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nsion_Folders\2025-26_\2025-26\PENSION CALCULATION-2026\"/>
    </mc:Choice>
  </mc:AlternateContent>
  <xr:revisionPtr revIDLastSave="0" documentId="13_ncr:1_{C349AEE9-C8C4-4E9D-B125-BB1A24E9AD88}" xr6:coauthVersionLast="47" xr6:coauthVersionMax="47" xr10:uidLastSave="{00000000-0000-0000-0000-000000000000}"/>
  <bookViews>
    <workbookView xWindow="-120" yWindow="-120" windowWidth="24240" windowHeight="13020" tabRatio="668" activeTab="6" xr2:uid="{00000000-000D-0000-FFFF-FFFF00000000}"/>
  </bookViews>
  <sheets>
    <sheet name="1982" sheetId="20" r:id="rId1"/>
    <sheet name="1988" sheetId="10" r:id="rId2"/>
    <sheet name="1999" sheetId="9" r:id="rId3"/>
    <sheet name="2017" sheetId="2" r:id="rId4"/>
    <sheet name="2018" sheetId="3" r:id="rId5"/>
    <sheet name="IPS" sheetId="5" r:id="rId6"/>
    <sheet name="PR" sheetId="7" r:id="rId7"/>
    <sheet name="LTA" sheetId="29" state="hidden" r:id="rId8"/>
    <sheet name="FAM DCRG" sheetId="23" state="hidden" r:id="rId9"/>
    <sheet name="Special Pension" sheetId="22" state="hidden" r:id="rId10"/>
    <sheet name="Rev PR" sheetId="27" r:id="rId11"/>
    <sheet name="Rev Auth" sheetId="26" state="hidden" r:id="rId12"/>
    <sheet name="Pay Scales" sheetId="8" r:id="rId13"/>
    <sheet name="DDO" sheetId="28" r:id="rId14"/>
  </sheets>
  <definedNames>
    <definedName name="_xlnm._FilterDatabase" localSheetId="2" hidden="1">'1999'!$C$4:$U$40</definedName>
    <definedName name="_xlnm._FilterDatabase" localSheetId="13" hidden="1">DDO!$A$1:$D$1</definedName>
    <definedName name="_xlpm.Days" hidden="1" xlm="1">#NAME?</definedName>
    <definedName name="_xlpm.M" hidden="1" xlm="1">#NAME?</definedName>
    <definedName name="_xlpm.Months" hidden="1" xlm="1">#NAME?</definedName>
    <definedName name="_xlpm.NetDays" hidden="1" xlm="1">#NAME?</definedName>
    <definedName name="_xlpm.RemDays" hidden="1" xlm="1">#NAME?</definedName>
    <definedName name="_xlpm.Y" hidden="1" xlm="1">#NAME?</definedName>
    <definedName name="_xlpm.Years" hidden="1" xlm="1">#NAME?</definedName>
    <definedName name="_xlnm.Print_Area" localSheetId="6">PR!$B$2:$J$59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9" i="7" l="1"/>
  <c r="C63" i="5"/>
  <c r="O122" i="5" l="1"/>
  <c r="C9" i="5"/>
  <c r="I125" i="5"/>
  <c r="F24" i="7"/>
  <c r="I141" i="5"/>
  <c r="E111" i="5"/>
  <c r="E112" i="5"/>
  <c r="G51" i="7"/>
  <c r="J93" i="5" a="1"/>
  <c r="E113" i="5"/>
  <c r="E114" i="5"/>
  <c r="E115" i="5"/>
  <c r="E116" i="5"/>
  <c r="E117" i="5"/>
  <c r="E118" i="5"/>
  <c r="E119" i="5"/>
  <c r="E120" i="5"/>
  <c r="E121" i="5"/>
  <c r="E122" i="5"/>
  <c r="E123" i="5"/>
  <c r="P92" i="5"/>
  <c r="F34" i="8"/>
  <c r="F4" i="7" s="1"/>
  <c r="H20" i="7"/>
  <c r="H19" i="7"/>
  <c r="H18" i="7"/>
  <c r="H17" i="7"/>
  <c r="N170" i="5"/>
  <c r="N171" i="5"/>
  <c r="P171" i="5" s="1"/>
  <c r="E69" i="5"/>
  <c r="E70" i="5"/>
  <c r="F4" i="5" a="1"/>
  <c r="F5" i="5" l="1"/>
  <c r="C14" i="5"/>
  <c r="F25" i="7"/>
  <c r="E124" i="5"/>
  <c r="O117" i="5" s="1"/>
  <c r="Q171" i="5"/>
  <c r="E21" i="27"/>
  <c r="E25" i="27"/>
  <c r="M15" i="5"/>
  <c r="M17" i="5" s="1"/>
  <c r="K15" i="5"/>
  <c r="K17" i="5" s="1"/>
  <c r="E64" i="5"/>
  <c r="F40" i="5" s="1"/>
  <c r="N169" i="5"/>
  <c r="Q169" i="5" s="1"/>
  <c r="N168" i="5"/>
  <c r="I71" i="5"/>
  <c r="P71" i="5" s="1"/>
  <c r="I69" i="5"/>
  <c r="J73" i="5"/>
  <c r="H90" i="5"/>
  <c r="H92" i="5"/>
  <c r="M117" i="5" l="1"/>
  <c r="C125" i="5"/>
  <c r="N117" i="5"/>
  <c r="E65" i="5"/>
  <c r="F41" i="5" s="1"/>
  <c r="P169" i="5"/>
  <c r="N72" i="5"/>
  <c r="M72" i="5"/>
  <c r="N70" i="5"/>
  <c r="M70" i="5"/>
  <c r="K41" i="7"/>
  <c r="D48" i="7" s="1"/>
  <c r="H71" i="5"/>
  <c r="H69" i="5"/>
  <c r="B14" i="5" l="1"/>
  <c r="D23" i="5" a="1"/>
  <c r="J71" i="5"/>
  <c r="F48" i="7"/>
  <c r="I48" i="7"/>
  <c r="P72" i="5"/>
  <c r="I3" i="7"/>
  <c r="I4" i="7"/>
  <c r="Q138" i="5" l="1"/>
  <c r="P138" i="5"/>
  <c r="N121" i="5"/>
  <c r="O121" i="5"/>
  <c r="M121" i="5"/>
  <c r="L22" i="7"/>
  <c r="L21" i="7"/>
  <c r="L18" i="7"/>
  <c r="L17" i="7"/>
  <c r="L16" i="7"/>
  <c r="L15" i="7"/>
  <c r="L14" i="7"/>
  <c r="L5" i="7"/>
  <c r="L4" i="7"/>
  <c r="K39" i="27"/>
  <c r="J40" i="27"/>
  <c r="J39" i="27"/>
  <c r="I59" i="7"/>
  <c r="F59" i="7"/>
  <c r="C14" i="7"/>
  <c r="E95" i="5"/>
  <c r="C49" i="7"/>
  <c r="C7" i="7"/>
  <c r="C6" i="7"/>
  <c r="C9" i="7"/>
  <c r="P168" i="5"/>
  <c r="P170" i="5"/>
  <c r="N167" i="5"/>
  <c r="P167" i="5" s="1"/>
  <c r="N166" i="5"/>
  <c r="Q166" i="5" s="1"/>
  <c r="N165" i="5"/>
  <c r="Q165" i="5" s="1"/>
  <c r="N164" i="5"/>
  <c r="P164" i="5" s="1"/>
  <c r="N163" i="5"/>
  <c r="Q163" i="5" s="1"/>
  <c r="N162" i="5"/>
  <c r="Q162" i="5" s="1"/>
  <c r="N161" i="5"/>
  <c r="P161" i="5" s="1"/>
  <c r="N160" i="5"/>
  <c r="Q160" i="5" s="1"/>
  <c r="N159" i="5"/>
  <c r="P159" i="5" s="1"/>
  <c r="N158" i="5"/>
  <c r="P158" i="5" s="1"/>
  <c r="N157" i="5"/>
  <c r="P157" i="5" s="1"/>
  <c r="N156" i="5"/>
  <c r="Q156" i="5" s="1"/>
  <c r="N155" i="5"/>
  <c r="P155" i="5" s="1"/>
  <c r="N154" i="5"/>
  <c r="Q154" i="5" s="1"/>
  <c r="N153" i="5"/>
  <c r="Q153" i="5" s="1"/>
  <c r="N152" i="5"/>
  <c r="P152" i="5" s="1"/>
  <c r="N151" i="5"/>
  <c r="Q151" i="5" s="1"/>
  <c r="N150" i="5"/>
  <c r="Q150" i="5" s="1"/>
  <c r="N149" i="5"/>
  <c r="P149" i="5" s="1"/>
  <c r="N148" i="5"/>
  <c r="P148" i="5" s="1"/>
  <c r="M147" i="5"/>
  <c r="P147" i="5" s="1"/>
  <c r="M146" i="5"/>
  <c r="P146" i="5" s="1"/>
  <c r="M145" i="5"/>
  <c r="P145" i="5" s="1"/>
  <c r="M144" i="5"/>
  <c r="P144" i="5" s="1"/>
  <c r="M143" i="5"/>
  <c r="P143" i="5" s="1"/>
  <c r="M142" i="5"/>
  <c r="Q142" i="5" s="1"/>
  <c r="M141" i="5"/>
  <c r="Q141" i="5" s="1"/>
  <c r="M140" i="5"/>
  <c r="P140" i="5" s="1"/>
  <c r="M139" i="5"/>
  <c r="Q139" i="5" s="1"/>
  <c r="P166" i="5" l="1"/>
  <c r="P162" i="5"/>
  <c r="Q161" i="5"/>
  <c r="P160" i="5"/>
  <c r="Q168" i="5"/>
  <c r="Q158" i="5"/>
  <c r="Q159" i="5"/>
  <c r="Q149" i="5"/>
  <c r="P165" i="5"/>
  <c r="Q157" i="5"/>
  <c r="P153" i="5"/>
  <c r="P150" i="5"/>
  <c r="Q148" i="5"/>
  <c r="Q147" i="5"/>
  <c r="P142" i="5"/>
  <c r="Q146" i="5"/>
  <c r="P154" i="5"/>
  <c r="P141" i="5"/>
  <c r="Q145" i="5"/>
  <c r="Q143" i="5"/>
  <c r="P163" i="5"/>
  <c r="P139" i="5"/>
  <c r="Q167" i="5"/>
  <c r="Q155" i="5"/>
  <c r="Q164" i="5"/>
  <c r="Q152" i="5"/>
  <c r="Q140" i="5"/>
  <c r="P151" i="5"/>
  <c r="Q144" i="5"/>
  <c r="P156" i="5"/>
  <c r="Q170" i="5"/>
  <c r="C41" i="7"/>
  <c r="C33" i="7"/>
  <c r="F9" i="7"/>
  <c r="F40" i="7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39" i="8"/>
  <c r="G38" i="8"/>
  <c r="F7" i="7" l="1"/>
  <c r="D40" i="7"/>
  <c r="I40" i="7"/>
  <c r="H27" i="27"/>
  <c r="C23" i="27" s="1"/>
  <c r="H26" i="27"/>
  <c r="C14" i="27" s="1"/>
  <c r="C15" i="27"/>
  <c r="B13" i="5"/>
  <c r="B38" i="5"/>
  <c r="B62" i="5"/>
  <c r="E15" i="5"/>
  <c r="E20" i="5"/>
  <c r="E21" i="5"/>
  <c r="E96" i="5"/>
  <c r="I13" i="27"/>
  <c r="I12" i="27"/>
  <c r="J8" i="27"/>
  <c r="J7" i="27"/>
  <c r="I7" i="27"/>
  <c r="I4" i="27"/>
  <c r="D12" i="29"/>
  <c r="C24" i="29"/>
  <c r="C66" i="29"/>
  <c r="C61" i="29"/>
  <c r="C56" i="29"/>
  <c r="C53" i="29"/>
  <c r="H73" i="29"/>
  <c r="H61" i="29"/>
  <c r="H66" i="29" s="1"/>
  <c r="D53" i="29"/>
  <c r="F49" i="29"/>
  <c r="G40" i="29"/>
  <c r="D40" i="29"/>
  <c r="D66" i="29" s="1"/>
  <c r="G39" i="29"/>
  <c r="D39" i="29"/>
  <c r="D61" i="29" s="1"/>
  <c r="G38" i="29"/>
  <c r="H37" i="29"/>
  <c r="G37" i="29"/>
  <c r="D37" i="29"/>
  <c r="C33" i="29"/>
  <c r="G29" i="29"/>
  <c r="D29" i="29"/>
  <c r="G28" i="29"/>
  <c r="D28" i="29"/>
  <c r="G27" i="29"/>
  <c r="C19" i="29"/>
  <c r="L6" i="29"/>
  <c r="C10" i="29" s="1"/>
  <c r="C6" i="29"/>
  <c r="H5" i="29"/>
  <c r="H51" i="29" s="1"/>
  <c r="L4" i="29"/>
  <c r="H6" i="29" s="1"/>
  <c r="E16" i="5"/>
  <c r="B46" i="7"/>
  <c r="F5" i="7"/>
  <c r="E7" i="27" s="1"/>
  <c r="D15" i="5" l="1"/>
  <c r="C27" i="5"/>
  <c r="D24" i="5" a="1"/>
  <c r="B11" i="5"/>
  <c r="C28" i="5" l="1"/>
  <c r="B16" i="5"/>
  <c r="D19" i="5"/>
  <c r="D20" i="5"/>
  <c r="D16" i="5"/>
  <c r="D17" i="5" s="1"/>
  <c r="B19" i="5"/>
  <c r="D18" i="5" l="1"/>
  <c r="D21" i="5" s="1"/>
  <c r="C29" i="5"/>
  <c r="H143" i="5"/>
  <c r="H142" i="5"/>
  <c r="H126" i="5"/>
  <c r="H135" i="5" s="1"/>
  <c r="H144" i="5" s="1"/>
  <c r="H154" i="5" s="1"/>
  <c r="H125" i="5"/>
  <c r="H132" i="5" s="1"/>
  <c r="H141" i="5" s="1"/>
  <c r="H152" i="5" s="1"/>
  <c r="F13" i="7" l="1"/>
  <c r="E24" i="27" l="1"/>
  <c r="H14" i="27"/>
  <c r="J97" i="5"/>
  <c r="F96" i="5" s="1"/>
  <c r="F55" i="7"/>
  <c r="F54" i="7"/>
  <c r="B96" i="5" l="1"/>
  <c r="C16" i="7"/>
  <c r="D27" i="29" l="1"/>
  <c r="D38" i="29"/>
  <c r="D56" i="29" s="1"/>
  <c r="M19" i="7"/>
  <c r="M20" i="7" s="1"/>
  <c r="I116" i="5"/>
  <c r="I139" i="5"/>
  <c r="I130" i="5"/>
  <c r="M103" i="5"/>
  <c r="L104" i="5" s="1"/>
  <c r="F11" i="7"/>
  <c r="I36" i="27" l="1"/>
  <c r="I40" i="27" s="1"/>
  <c r="J38" i="27"/>
  <c r="I115" i="5" l="1"/>
  <c r="G9" i="28"/>
  <c r="G8" i="28"/>
  <c r="G7" i="28"/>
  <c r="O116" i="5" l="1"/>
  <c r="O118" i="5" s="1"/>
  <c r="K117" i="5" s="1"/>
  <c r="M116" i="5"/>
  <c r="F23" i="7"/>
  <c r="K115" i="5"/>
  <c r="N116" i="5" s="1"/>
  <c r="Q11" i="5"/>
  <c r="N118" i="5" l="1"/>
  <c r="M118" i="5"/>
  <c r="F26" i="7" s="1"/>
  <c r="Q12" i="5"/>
  <c r="P11" i="5"/>
  <c r="K141" i="5"/>
  <c r="F20" i="27"/>
  <c r="F14" i="27"/>
  <c r="F24" i="27" s="1"/>
  <c r="E20" i="27"/>
  <c r="B30" i="27"/>
  <c r="E5" i="27"/>
  <c r="I11" i="27"/>
  <c r="E11" i="27" s="1"/>
  <c r="C11" i="27"/>
  <c r="C13" i="7"/>
  <c r="E9" i="27"/>
  <c r="C9" i="27"/>
  <c r="C8" i="27"/>
  <c r="C7" i="27"/>
  <c r="C6" i="27"/>
  <c r="C5" i="27"/>
  <c r="E4" i="27"/>
  <c r="C4" i="27"/>
  <c r="E3" i="27"/>
  <c r="C3" i="27"/>
  <c r="M11" i="26"/>
  <c r="M10" i="26"/>
  <c r="M9" i="26"/>
  <c r="M7" i="26"/>
  <c r="C28" i="26"/>
  <c r="I8" i="27"/>
  <c r="B10" i="5"/>
  <c r="C8" i="7" s="1"/>
  <c r="I117" i="5" l="1"/>
  <c r="O119" i="5"/>
  <c r="L23" i="7"/>
  <c r="R12" i="5"/>
  <c r="F27" i="5" s="1"/>
  <c r="P12" i="5"/>
  <c r="B95" i="5"/>
  <c r="C10" i="27"/>
  <c r="M18" i="7"/>
  <c r="J117" i="5" l="1"/>
  <c r="D35" i="26"/>
  <c r="C4" i="26"/>
  <c r="C32" i="26" s="1"/>
  <c r="N16" i="26"/>
  <c r="D40" i="26"/>
  <c r="C7" i="26"/>
  <c r="D36" i="26"/>
  <c r="I43" i="26"/>
  <c r="C8" i="26"/>
  <c r="C38" i="26"/>
  <c r="C36" i="26"/>
  <c r="C34" i="26"/>
  <c r="I4" i="26"/>
  <c r="I32" i="26" s="1"/>
  <c r="J23" i="22"/>
  <c r="D39" i="26" l="1"/>
  <c r="I34" i="23"/>
  <c r="H47" i="23"/>
  <c r="H42" i="23"/>
  <c r="H37" i="23"/>
  <c r="H34" i="23"/>
  <c r="I13" i="5" l="1"/>
  <c r="I63" i="5"/>
  <c r="E5" i="5"/>
  <c r="I21" i="5"/>
  <c r="D58" i="29"/>
  <c r="D68" i="29"/>
  <c r="D63" i="29"/>
  <c r="I49" i="23"/>
  <c r="I44" i="23"/>
  <c r="H63" i="5" l="1"/>
  <c r="Q13" i="5" a="1"/>
  <c r="H13" i="5"/>
  <c r="K21" i="5"/>
  <c r="M21" i="5"/>
  <c r="H21" i="5"/>
  <c r="E45" i="7"/>
  <c r="E44" i="7"/>
  <c r="E43" i="7"/>
  <c r="E42" i="7"/>
  <c r="C45" i="7"/>
  <c r="C44" i="7"/>
  <c r="C43" i="7"/>
  <c r="C42" i="7"/>
  <c r="C12" i="22"/>
  <c r="K125" i="5"/>
  <c r="J125" i="5"/>
  <c r="J141" i="5"/>
  <c r="B2" i="7" l="1"/>
  <c r="H31" i="23" l="1"/>
  <c r="S15" i="23"/>
  <c r="I32" i="23" s="1"/>
  <c r="H5" i="23"/>
  <c r="H6" i="23"/>
  <c r="J10" i="23"/>
  <c r="H19" i="23"/>
  <c r="K19" i="23"/>
  <c r="K18" i="23"/>
  <c r="K17" i="23"/>
  <c r="N24" i="23"/>
  <c r="N25" i="23"/>
  <c r="I24" i="23"/>
  <c r="I42" i="23" s="1"/>
  <c r="I25" i="23"/>
  <c r="I47" i="23" s="1"/>
  <c r="N23" i="23"/>
  <c r="N53" i="23" l="1"/>
  <c r="N4" i="23" l="1"/>
  <c r="N29" i="23" s="1"/>
  <c r="J21" i="22"/>
  <c r="C14" i="22"/>
  <c r="C11" i="22"/>
  <c r="C10" i="22"/>
  <c r="C9" i="22"/>
  <c r="C7" i="22"/>
  <c r="C6" i="22"/>
  <c r="D5" i="22"/>
  <c r="I6" i="22"/>
  <c r="K126" i="5" l="1"/>
  <c r="N18" i="23"/>
  <c r="C5" i="29" l="1"/>
  <c r="C51" i="29" s="1"/>
  <c r="D6" i="5"/>
  <c r="L19" i="22"/>
  <c r="L20" i="22"/>
  <c r="M14" i="22"/>
  <c r="L12" i="22"/>
  <c r="L11" i="22"/>
  <c r="L10" i="22"/>
  <c r="I26" i="22" s="1"/>
  <c r="L9" i="22"/>
  <c r="L8" i="22"/>
  <c r="L6" i="22"/>
  <c r="L5" i="22"/>
  <c r="E6" i="27" l="1"/>
  <c r="H4" i="23"/>
  <c r="H29" i="23" s="1"/>
  <c r="M24" i="22"/>
  <c r="F20" i="22"/>
  <c r="G20" i="22"/>
  <c r="M16" i="22"/>
  <c r="M17" i="22"/>
  <c r="C19" i="22"/>
  <c r="C20" i="22"/>
  <c r="E20" i="22"/>
  <c r="E21" i="22" s="1"/>
  <c r="L13" i="22" l="1"/>
  <c r="C21" i="22"/>
  <c r="I150" i="5" l="1"/>
  <c r="I149" i="5"/>
  <c r="H9" i="23" l="1"/>
  <c r="I151" i="5"/>
  <c r="I153" i="5" s="1"/>
  <c r="K153" i="5" l="1"/>
  <c r="J153" i="5"/>
  <c r="I23" i="23"/>
  <c r="I37" i="23" s="1"/>
  <c r="F27" i="7" l="1"/>
  <c r="G19" i="8" l="1"/>
  <c r="G20" i="8"/>
  <c r="G21" i="8"/>
  <c r="G22" i="8"/>
  <c r="G23" i="8"/>
  <c r="G24" i="8"/>
  <c r="G25" i="8"/>
  <c r="G26" i="8"/>
  <c r="G27" i="8"/>
  <c r="G28" i="8"/>
  <c r="G18" i="8"/>
  <c r="G6" i="8"/>
  <c r="G7" i="8"/>
  <c r="G8" i="8"/>
  <c r="G9" i="8"/>
  <c r="G10" i="8"/>
  <c r="G11" i="8"/>
  <c r="G12" i="8"/>
  <c r="G13" i="8"/>
  <c r="G14" i="8"/>
  <c r="G15" i="8"/>
  <c r="G5" i="8"/>
  <c r="I39" i="23" l="1"/>
  <c r="H7" i="23" l="1"/>
  <c r="D22" i="5" l="1" a="1"/>
  <c r="J4" i="7" l="1"/>
  <c r="J3" i="7"/>
  <c r="V3" i="20" l="1"/>
  <c r="V4" i="20" s="1"/>
  <c r="V5" i="20" s="1"/>
  <c r="V6" i="20" s="1"/>
  <c r="U3" i="20"/>
  <c r="U4" i="20" s="1"/>
  <c r="U5" i="20" s="1"/>
  <c r="U6" i="20" s="1"/>
  <c r="U7" i="20" s="1"/>
  <c r="U8" i="20" s="1"/>
  <c r="U9" i="20" s="1"/>
  <c r="T3" i="20"/>
  <c r="T4" i="20" s="1"/>
  <c r="T5" i="20" s="1"/>
  <c r="T6" i="20" s="1"/>
  <c r="T7" i="20" s="1"/>
  <c r="T8" i="20" s="1"/>
  <c r="T9" i="20" s="1"/>
  <c r="T10" i="20" s="1"/>
  <c r="S3" i="20"/>
  <c r="S4" i="20" s="1"/>
  <c r="S5" i="20" s="1"/>
  <c r="S6" i="20" s="1"/>
  <c r="S7" i="20" s="1"/>
  <c r="S8" i="20" s="1"/>
  <c r="S9" i="20" s="1"/>
  <c r="S10" i="20" s="1"/>
  <c r="R3" i="20"/>
  <c r="R4" i="20" s="1"/>
  <c r="R5" i="20" s="1"/>
  <c r="R6" i="20" s="1"/>
  <c r="R7" i="20" s="1"/>
  <c r="R8" i="20" s="1"/>
  <c r="R9" i="20" s="1"/>
  <c r="R10" i="20" s="1"/>
  <c r="R11" i="20" s="1"/>
  <c r="R12" i="20" s="1"/>
  <c r="R13" i="20" s="1"/>
  <c r="R14" i="20" s="1"/>
  <c r="R15" i="20" s="1"/>
  <c r="Q3" i="20"/>
  <c r="Q4" i="20" s="1"/>
  <c r="Q5" i="20" s="1"/>
  <c r="Q6" i="20" s="1"/>
  <c r="Q7" i="20" s="1"/>
  <c r="Q8" i="20" s="1"/>
  <c r="Q9" i="20" s="1"/>
  <c r="Q10" i="20" s="1"/>
  <c r="Q11" i="20" s="1"/>
  <c r="Q12" i="20" s="1"/>
  <c r="Q13" i="20" s="1"/>
  <c r="Q14" i="20" s="1"/>
  <c r="Q15" i="20" s="1"/>
  <c r="Q16" i="20" s="1"/>
  <c r="Q17" i="20" s="1"/>
  <c r="Q18" i="20" s="1"/>
  <c r="Q19" i="20" s="1"/>
  <c r="Q20" i="20" s="1"/>
  <c r="P3" i="20"/>
  <c r="P4" i="20" s="1"/>
  <c r="P5" i="20" s="1"/>
  <c r="P6" i="20" s="1"/>
  <c r="P7" i="20" s="1"/>
  <c r="P8" i="20" s="1"/>
  <c r="P9" i="20" s="1"/>
  <c r="P10" i="20" s="1"/>
  <c r="P11" i="20" s="1"/>
  <c r="P12" i="20" s="1"/>
  <c r="P13" i="20" s="1"/>
  <c r="P14" i="20" s="1"/>
  <c r="P15" i="20" s="1"/>
  <c r="P16" i="20" s="1"/>
  <c r="P17" i="20" s="1"/>
  <c r="P18" i="20" s="1"/>
  <c r="P19" i="20" s="1"/>
  <c r="P20" i="20" s="1"/>
  <c r="P21" i="20" s="1"/>
  <c r="O3" i="20"/>
  <c r="O4" i="20" s="1"/>
  <c r="O5" i="20" s="1"/>
  <c r="O6" i="20" s="1"/>
  <c r="O7" i="20" s="1"/>
  <c r="O8" i="20" s="1"/>
  <c r="O9" i="20" s="1"/>
  <c r="O10" i="20" s="1"/>
  <c r="O11" i="20" s="1"/>
  <c r="O12" i="20" s="1"/>
  <c r="O13" i="20" s="1"/>
  <c r="O14" i="20" s="1"/>
  <c r="O15" i="20" s="1"/>
  <c r="O16" i="20" s="1"/>
  <c r="O17" i="20" s="1"/>
  <c r="O18" i="20" s="1"/>
  <c r="O19" i="20" s="1"/>
  <c r="O20" i="20" s="1"/>
  <c r="N3" i="20"/>
  <c r="N4" i="20" s="1"/>
  <c r="N5" i="20" s="1"/>
  <c r="N6" i="20" s="1"/>
  <c r="N7" i="20" s="1"/>
  <c r="N8" i="20" s="1"/>
  <c r="N9" i="20" s="1"/>
  <c r="N10" i="20" s="1"/>
  <c r="N11" i="20" s="1"/>
  <c r="N12" i="20" s="1"/>
  <c r="N13" i="20" s="1"/>
  <c r="N14" i="20" s="1"/>
  <c r="N15" i="20" s="1"/>
  <c r="N16" i="20" s="1"/>
  <c r="N17" i="20" s="1"/>
  <c r="N18" i="20" s="1"/>
  <c r="N19" i="20" s="1"/>
  <c r="N20" i="20" s="1"/>
  <c r="N21" i="20" s="1"/>
  <c r="N22" i="20" s="1"/>
  <c r="M3" i="20"/>
  <c r="M4" i="20" s="1"/>
  <c r="M5" i="20" s="1"/>
  <c r="M6" i="20" s="1"/>
  <c r="M7" i="20" s="1"/>
  <c r="M8" i="20" s="1"/>
  <c r="M9" i="20" s="1"/>
  <c r="M10" i="20" s="1"/>
  <c r="M11" i="20" s="1"/>
  <c r="M12" i="20" s="1"/>
  <c r="M13" i="20" s="1"/>
  <c r="M14" i="20" s="1"/>
  <c r="M15" i="20" s="1"/>
  <c r="M16" i="20" s="1"/>
  <c r="M17" i="20" s="1"/>
  <c r="M18" i="20" s="1"/>
  <c r="M19" i="20" s="1"/>
  <c r="M20" i="20" s="1"/>
  <c r="M21" i="20" s="1"/>
  <c r="M22" i="20" s="1"/>
  <c r="M23" i="20" s="1"/>
  <c r="L3" i="20"/>
  <c r="L4" i="20" s="1"/>
  <c r="L5" i="20" s="1"/>
  <c r="L6" i="20" s="1"/>
  <c r="L7" i="20" s="1"/>
  <c r="L8" i="20" s="1"/>
  <c r="L9" i="20" s="1"/>
  <c r="L10" i="20" s="1"/>
  <c r="L11" i="20" s="1"/>
  <c r="L12" i="20" s="1"/>
  <c r="L13" i="20" s="1"/>
  <c r="L14" i="20" s="1"/>
  <c r="L15" i="20" s="1"/>
  <c r="L16" i="20" s="1"/>
  <c r="L17" i="20" s="1"/>
  <c r="L18" i="20" s="1"/>
  <c r="L19" i="20" s="1"/>
  <c r="L20" i="20" s="1"/>
  <c r="L21" i="20" s="1"/>
  <c r="L22" i="20" s="1"/>
  <c r="L23" i="20" s="1"/>
  <c r="K3" i="20"/>
  <c r="K4" i="20" s="1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J3" i="20"/>
  <c r="J4" i="20" s="1"/>
  <c r="J5" i="20" s="1"/>
  <c r="J6" i="20" s="1"/>
  <c r="J7" i="20" s="1"/>
  <c r="J8" i="20" s="1"/>
  <c r="J9" i="20" s="1"/>
  <c r="J10" i="20" s="1"/>
  <c r="J11" i="20" s="1"/>
  <c r="J12" i="20" s="1"/>
  <c r="J13" i="20" s="1"/>
  <c r="J14" i="20" s="1"/>
  <c r="J15" i="20" s="1"/>
  <c r="J16" i="20" s="1"/>
  <c r="J17" i="20" s="1"/>
  <c r="J18" i="20" s="1"/>
  <c r="J19" i="20" s="1"/>
  <c r="J20" i="20" s="1"/>
  <c r="J21" i="20" s="1"/>
  <c r="J22" i="20" s="1"/>
  <c r="J23" i="20" s="1"/>
  <c r="J24" i="20" s="1"/>
  <c r="J25" i="20" s="1"/>
  <c r="J26" i="20" s="1"/>
  <c r="I3" i="20"/>
  <c r="I4" i="20" s="1"/>
  <c r="I5" i="20" s="1"/>
  <c r="I6" i="20" s="1"/>
  <c r="I7" i="20" s="1"/>
  <c r="I8" i="20" s="1"/>
  <c r="I9" i="20" s="1"/>
  <c r="I10" i="20" s="1"/>
  <c r="I11" i="20" s="1"/>
  <c r="I12" i="20" s="1"/>
  <c r="I13" i="20" s="1"/>
  <c r="I14" i="20" s="1"/>
  <c r="I15" i="20" s="1"/>
  <c r="I16" i="20" s="1"/>
  <c r="I17" i="20" s="1"/>
  <c r="I18" i="20" s="1"/>
  <c r="I19" i="20" s="1"/>
  <c r="I20" i="20" s="1"/>
  <c r="H3" i="20"/>
  <c r="H4" i="20" s="1"/>
  <c r="H5" i="20" s="1"/>
  <c r="H6" i="20" s="1"/>
  <c r="G3" i="20"/>
  <c r="G4" i="20" s="1"/>
  <c r="G5" i="20" s="1"/>
  <c r="G6" i="20" s="1"/>
  <c r="G7" i="20" s="1"/>
  <c r="G8" i="20" s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H7" i="20" l="1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H25" i="20" s="1"/>
  <c r="F3" i="20"/>
  <c r="F4" i="20" s="1"/>
  <c r="F5" i="20" s="1"/>
  <c r="F6" i="20" s="1"/>
  <c r="F7" i="20" s="1"/>
  <c r="F8" i="20" s="1"/>
  <c r="F9" i="20" s="1"/>
  <c r="F10" i="20" s="1"/>
  <c r="F11" i="20" s="1"/>
  <c r="F12" i="20" s="1"/>
  <c r="F13" i="20" s="1"/>
  <c r="F14" i="20" s="1"/>
  <c r="F15" i="20" s="1"/>
  <c r="F16" i="20" s="1"/>
  <c r="F17" i="20" s="1"/>
  <c r="F18" i="20" s="1"/>
  <c r="F19" i="20" s="1"/>
  <c r="F20" i="20" s="1"/>
  <c r="F21" i="20" s="1"/>
  <c r="F22" i="20" s="1"/>
  <c r="F23" i="20" s="1"/>
  <c r="F24" i="20" s="1"/>
  <c r="F25" i="20" s="1"/>
  <c r="E3" i="20"/>
  <c r="E4" i="20" s="1"/>
  <c r="E5" i="20" s="1"/>
  <c r="E6" i="20" s="1"/>
  <c r="E7" i="20" s="1"/>
  <c r="E8" i="20" s="1"/>
  <c r="E9" i="20" s="1"/>
  <c r="E10" i="20" s="1"/>
  <c r="E11" i="20" s="1"/>
  <c r="E12" i="20" s="1"/>
  <c r="E13" i="20" s="1"/>
  <c r="E14" i="20" s="1"/>
  <c r="E15" i="20" s="1"/>
  <c r="E16" i="20" s="1"/>
  <c r="E17" i="20" s="1"/>
  <c r="E18" i="20" s="1"/>
  <c r="E19" i="20" s="1"/>
  <c r="E20" i="20" s="1"/>
  <c r="E21" i="20" s="1"/>
  <c r="E22" i="20" s="1"/>
  <c r="E23" i="20" s="1"/>
  <c r="E24" i="20" s="1"/>
  <c r="E25" i="20" s="1"/>
  <c r="D3" i="20"/>
  <c r="D4" i="20" s="1"/>
  <c r="D5" i="20" s="1"/>
  <c r="D6" i="20" s="1"/>
  <c r="D7" i="20" s="1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C3" i="20"/>
  <c r="C4" i="20" s="1"/>
  <c r="C5" i="20" s="1"/>
  <c r="C6" i="20" s="1"/>
  <c r="C7" i="20" s="1"/>
  <c r="C8" i="20" s="1"/>
  <c r="C9" i="20" s="1"/>
  <c r="C10" i="20" s="1"/>
  <c r="C11" i="20" s="1"/>
  <c r="C12" i="20" s="1"/>
  <c r="C13" i="20" s="1"/>
  <c r="C14" i="20" s="1"/>
  <c r="C15" i="20" s="1"/>
  <c r="C16" i="20" s="1"/>
  <c r="C17" i="20" s="1"/>
  <c r="C18" i="20" s="1"/>
  <c r="C19" i="20" s="1"/>
  <c r="C20" i="20" s="1"/>
  <c r="C21" i="20" s="1"/>
  <c r="C22" i="20" s="1"/>
  <c r="H16" i="7" l="1"/>
  <c r="J9" i="27" s="1"/>
  <c r="C38" i="7" l="1"/>
  <c r="I9" i="27"/>
  <c r="E10" i="27" s="1"/>
  <c r="H38" i="29"/>
  <c r="D57" i="29" s="1"/>
  <c r="H27" i="29"/>
  <c r="G36" i="7"/>
  <c r="O23" i="23"/>
  <c r="I38" i="23" s="1"/>
  <c r="D38" i="26" l="1"/>
  <c r="K20" i="27"/>
  <c r="K21" i="27" s="1"/>
  <c r="F16" i="27" l="1"/>
  <c r="N13" i="26"/>
  <c r="F17" i="27"/>
  <c r="N15" i="26"/>
  <c r="H28" i="29" l="1"/>
  <c r="H39" i="29"/>
  <c r="D62" i="29" s="1"/>
  <c r="H29" i="29"/>
  <c r="H40" i="29"/>
  <c r="D67" i="29" s="1"/>
  <c r="O25" i="23"/>
  <c r="I48" i="23" s="1"/>
  <c r="O24" i="23"/>
  <c r="I43" i="23" s="1"/>
  <c r="J126" i="5" l="1"/>
  <c r="F6" i="7"/>
  <c r="F3" i="7"/>
  <c r="V7" i="3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U7" i="3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T7" i="3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S7" i="3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R7" i="3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Q7" i="3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P7" i="3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O7" i="3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N7" i="3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M7" i="3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L7" i="3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K7" i="3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J7" i="3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I7" i="3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H7" i="3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G7" i="3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F7" i="3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E7" i="3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V7" i="2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T7" i="2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S7" i="2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R7" i="2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Q7" i="2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P7" i="2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O7" i="2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N7" i="2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M7" i="2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L7" i="2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K7" i="2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J7" i="2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I7" i="2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H7" i="2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F7" i="2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E7" i="2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H10" i="23" l="1"/>
  <c r="I126" i="5"/>
  <c r="G37" i="7"/>
  <c r="J127" i="5"/>
  <c r="I127" i="5" l="1"/>
  <c r="I128" i="5" s="1"/>
  <c r="I140" i="5" l="1"/>
  <c r="I131" i="5"/>
  <c r="I133" i="5" s="1"/>
  <c r="I134" i="5" l="1"/>
  <c r="I143" i="5" s="1"/>
  <c r="I142" i="5"/>
  <c r="K133" i="5"/>
  <c r="K142" i="5" s="1"/>
  <c r="H11" i="23"/>
  <c r="J133" i="5"/>
  <c r="J142" i="5" l="1"/>
  <c r="J134" i="5"/>
  <c r="J143" i="5" s="1"/>
  <c r="K134" i="5"/>
  <c r="K143" i="5" s="1"/>
  <c r="F5" i="8"/>
  <c r="I144" i="5" l="1"/>
  <c r="K144" i="5"/>
  <c r="J144" i="5"/>
  <c r="N10" i="26" l="1"/>
  <c r="O10" i="26" s="1"/>
  <c r="F50" i="7" l="1"/>
  <c r="M24" i="7" l="1"/>
  <c r="J17" i="23"/>
  <c r="J145" i="5" l="1"/>
  <c r="I145" i="5" l="1"/>
  <c r="I146" i="5" s="1"/>
  <c r="F6" i="8"/>
  <c r="F7" i="8" l="1"/>
  <c r="C30" i="5"/>
  <c r="C31" i="5" l="1"/>
  <c r="F8" i="8"/>
  <c r="C32" i="5" l="1"/>
  <c r="F9" i="8"/>
  <c r="C33" i="5" l="1"/>
  <c r="F10" i="8"/>
  <c r="C34" i="5" l="1"/>
  <c r="F11" i="8"/>
  <c r="C35" i="5" l="1"/>
  <c r="F12" i="8"/>
  <c r="F13" i="8" l="1"/>
  <c r="C36" i="5"/>
  <c r="C37" i="5" l="1"/>
  <c r="C39" i="5" s="1"/>
  <c r="F14" i="8"/>
  <c r="F15" i="8" l="1"/>
  <c r="I14" i="5" s="1" a="1"/>
  <c r="F32" i="8"/>
  <c r="B39" i="5" l="1"/>
  <c r="C48" i="5"/>
  <c r="C49" i="5" l="1"/>
  <c r="F18" i="8"/>
  <c r="C50" i="5" l="1"/>
  <c r="F19" i="8"/>
  <c r="F20" i="8" l="1"/>
  <c r="C51" i="5"/>
  <c r="C52" i="5" s="1"/>
  <c r="C53" i="5" s="1"/>
  <c r="C54" i="5" l="1"/>
  <c r="F21" i="8"/>
  <c r="F22" i="8" l="1"/>
  <c r="F23" i="8" l="1"/>
  <c r="C55" i="5" l="1"/>
  <c r="F24" i="8"/>
  <c r="F25" i="8" l="1"/>
  <c r="C56" i="5"/>
  <c r="C57" i="5" l="1"/>
  <c r="F26" i="8"/>
  <c r="C58" i="5" l="1"/>
  <c r="F27" i="8"/>
  <c r="C59" i="5" l="1"/>
  <c r="C60" i="5" l="1"/>
  <c r="C61" i="5" l="1"/>
  <c r="F28" i="8" l="1"/>
  <c r="B63" i="5" l="1"/>
  <c r="I22" i="5" a="1"/>
  <c r="C72" i="5"/>
  <c r="C73" i="5" l="1"/>
  <c r="C74" i="5" s="1"/>
  <c r="C75" i="5" s="1"/>
  <c r="C76" i="5" s="1"/>
  <c r="C77" i="5" s="1"/>
  <c r="C78" i="5" l="1"/>
  <c r="C79" i="5" s="1"/>
  <c r="C80" i="5" s="1"/>
  <c r="C81" i="5" s="1"/>
  <c r="C82" i="5" s="1"/>
  <c r="C83" i="5" s="1"/>
  <c r="P69" i="5" l="1"/>
  <c r="P70" i="5" s="1"/>
  <c r="J69" i="5" l="1"/>
  <c r="F36" i="7" l="1"/>
  <c r="I21" i="27" l="1"/>
  <c r="E17" i="27" s="1"/>
  <c r="N14" i="26" s="1"/>
  <c r="O14" i="26" s="1"/>
  <c r="F37" i="7"/>
  <c r="I20" i="27" l="1"/>
  <c r="E16" i="27" s="1"/>
  <c r="N12" i="26" s="1"/>
  <c r="O12" i="26" s="1"/>
  <c r="C19" i="26" s="1"/>
  <c r="N11" i="26" l="1"/>
  <c r="O11" i="26" s="1"/>
  <c r="H59" i="5" l="1"/>
  <c r="I59" i="5" s="1"/>
  <c r="H60" i="5"/>
  <c r="I60" i="5" s="1"/>
  <c r="H61" i="5"/>
  <c r="I61" i="5" s="1"/>
  <c r="M63" i="5" l="1"/>
  <c r="P63" i="5"/>
  <c r="P64" i="5" s="1"/>
  <c r="D59" i="5" l="1" a="1"/>
  <c r="J59" i="5" l="1"/>
  <c r="D60" i="5" a="1"/>
  <c r="J60" i="5" l="1"/>
  <c r="D61" i="5" a="1"/>
  <c r="J61" i="5" s="1"/>
  <c r="M64" i="5" l="1"/>
  <c r="N64" i="5" s="1"/>
  <c r="P85" i="5" l="1"/>
  <c r="J85" i="5" l="1" a="1"/>
  <c r="J63" i="5" l="1"/>
  <c r="J87" i="5" l="1" a="1"/>
  <c r="J91" i="5" l="1" a="1"/>
  <c r="J93" i="5" l="1"/>
  <c r="J91" i="5"/>
  <c r="J87" i="5"/>
  <c r="J85" i="5"/>
  <c r="D61" i="5"/>
  <c r="D60" i="5"/>
  <c r="D59" i="5"/>
  <c r="D24" i="5"/>
  <c r="D23" i="5"/>
  <c r="I22" i="5"/>
  <c r="D22" i="5"/>
  <c r="I14" i="5"/>
  <c r="Q13" i="5"/>
  <c r="F4" i="5"/>
  <c r="C10" i="5" s="1"/>
  <c r="F42" i="7" s="1"/>
  <c r="F43" i="7" s="1"/>
  <c r="K120" i="5" l="1"/>
  <c r="F6" i="5"/>
  <c r="I120" i="5"/>
  <c r="J120" i="5"/>
  <c r="M122" i="5"/>
  <c r="N122" i="5"/>
  <c r="H72" i="5"/>
  <c r="H70" i="5"/>
  <c r="L103" i="5"/>
  <c r="G34" i="7"/>
  <c r="K121" i="5"/>
  <c r="I121" i="5"/>
  <c r="J121" i="5"/>
  <c r="J122" i="5" s="1"/>
  <c r="E66" i="5"/>
  <c r="H64" i="5"/>
  <c r="C95" i="5"/>
  <c r="I14" i="27"/>
  <c r="F8" i="7"/>
  <c r="L10" i="23" s="1"/>
  <c r="D16" i="29"/>
  <c r="F22" i="7"/>
  <c r="R13" i="5"/>
  <c r="P13" i="5"/>
  <c r="D25" i="5"/>
  <c r="I122" i="5" l="1"/>
  <c r="I123" i="5" s="1"/>
  <c r="F28" i="7"/>
  <c r="I90" i="5"/>
  <c r="J92" i="5" a="1"/>
  <c r="J92" i="5" s="1"/>
  <c r="I91" i="5" a="1"/>
  <c r="I91" i="5" s="1"/>
  <c r="J105" i="5"/>
  <c r="M29" i="7" s="1"/>
  <c r="I92" i="5"/>
  <c r="K92" i="5" s="1"/>
  <c r="H105" i="5"/>
  <c r="L29" i="7" s="1"/>
  <c r="I93" i="5" a="1"/>
  <c r="I93" i="5" s="1"/>
  <c r="I85" i="5" a="1"/>
  <c r="I85" i="5" s="1"/>
  <c r="K85" i="5" s="1"/>
  <c r="I72" i="5" a="1"/>
  <c r="I72" i="5" s="1"/>
  <c r="K71" i="5"/>
  <c r="I64" i="5" a="1"/>
  <c r="I64" i="5" s="1"/>
  <c r="I70" i="5" a="1"/>
  <c r="I70" i="5" s="1"/>
  <c r="K69" i="5"/>
  <c r="I84" i="5"/>
  <c r="K63" i="5"/>
  <c r="J84" i="5" a="1"/>
  <c r="J84" i="5" s="1"/>
  <c r="J90" i="5" a="1"/>
  <c r="J90" i="5" s="1"/>
  <c r="K91" i="5"/>
  <c r="K90" i="5"/>
  <c r="J132" i="5"/>
  <c r="J152" i="5"/>
  <c r="I132" i="5"/>
  <c r="I152" i="5"/>
  <c r="F42" i="5"/>
  <c r="E17" i="5"/>
  <c r="F7" i="5"/>
  <c r="I15" i="5"/>
  <c r="E6" i="5"/>
  <c r="E67" i="5" s="1"/>
  <c r="I23" i="5"/>
  <c r="I65" i="5"/>
  <c r="I86" i="5"/>
  <c r="H86" i="5" s="1"/>
  <c r="I87" i="5" a="1"/>
  <c r="I87" i="5" s="1"/>
  <c r="K87" i="5" s="1"/>
  <c r="I66" i="5" a="1"/>
  <c r="I66" i="5" s="1"/>
  <c r="M66" i="5"/>
  <c r="N66" i="5"/>
  <c r="P86" i="5"/>
  <c r="J86" i="5" a="1"/>
  <c r="J86" i="5" s="1"/>
  <c r="K152" i="5"/>
  <c r="K132" i="5"/>
  <c r="K86" i="5" l="1"/>
  <c r="H29" i="5"/>
  <c r="I29" i="5" s="1"/>
  <c r="K84" i="5"/>
  <c r="H84" i="5"/>
  <c r="H93" i="5"/>
  <c r="N93" i="5" s="1"/>
  <c r="L93" i="5"/>
  <c r="K93" i="5"/>
  <c r="H28" i="5"/>
  <c r="I28" i="5" s="1"/>
  <c r="K66" i="5"/>
  <c r="J66" i="5"/>
  <c r="K70" i="5"/>
  <c r="J70" i="5"/>
  <c r="K64" i="5"/>
  <c r="J64" i="5"/>
  <c r="I17" i="5"/>
  <c r="I25" i="5"/>
  <c r="I67" i="5"/>
  <c r="E7" i="5"/>
  <c r="E68" i="5" s="1"/>
  <c r="I88" i="5"/>
  <c r="H88" i="5" s="1"/>
  <c r="I89" i="5" a="1"/>
  <c r="I89" i="5" s="1"/>
  <c r="I68" i="5" a="1"/>
  <c r="I68" i="5" s="1"/>
  <c r="P88" i="5"/>
  <c r="J89" i="5" a="1"/>
  <c r="J89" i="5" s="1"/>
  <c r="J88" i="5" a="1"/>
  <c r="J88" i="5" s="1"/>
  <c r="H34" i="5"/>
  <c r="I34" i="5" s="1"/>
  <c r="H91" i="5"/>
  <c r="N91" i="5" s="1"/>
  <c r="L91" i="5"/>
  <c r="H35" i="5"/>
  <c r="I35" i="5" s="1"/>
  <c r="H37" i="5"/>
  <c r="L87" i="5"/>
  <c r="H87" i="5"/>
  <c r="N87" i="5" s="1"/>
  <c r="J72" i="5"/>
  <c r="K72" i="5"/>
  <c r="H15" i="5"/>
  <c r="N15" i="5"/>
  <c r="O15" i="5" s="1" a="1"/>
  <c r="O15" i="5" s="1"/>
  <c r="N16" i="5"/>
  <c r="O16" i="5" s="1" a="1"/>
  <c r="O16" i="5" s="1"/>
  <c r="J15" i="5" a="1"/>
  <c r="J15" i="5" s="1"/>
  <c r="J16" i="5" a="1"/>
  <c r="J16" i="5" s="1"/>
  <c r="L15" i="5" a="1"/>
  <c r="L15" i="5" s="1"/>
  <c r="I16" i="5" a="1"/>
  <c r="I16" i="5" s="1"/>
  <c r="L16" i="5" a="1"/>
  <c r="L16" i="5" s="1"/>
  <c r="Q15" i="5" a="1"/>
  <c r="Q15" i="5" s="1"/>
  <c r="H27" i="5"/>
  <c r="H33" i="5"/>
  <c r="I33" i="5" s="1"/>
  <c r="L85" i="5"/>
  <c r="H85" i="5"/>
  <c r="N85" i="5" s="1"/>
  <c r="K154" i="5"/>
  <c r="J154" i="5"/>
  <c r="J155" i="5" s="1"/>
  <c r="I154" i="5"/>
  <c r="I155" i="5" s="1"/>
  <c r="H30" i="5"/>
  <c r="I30" i="5" s="1"/>
  <c r="H65" i="5"/>
  <c r="H66" i="5" s="1"/>
  <c r="P65" i="5"/>
  <c r="P66" i="5" s="1"/>
  <c r="J65" i="5"/>
  <c r="K65" i="5"/>
  <c r="H31" i="5"/>
  <c r="I31" i="5" s="1"/>
  <c r="I135" i="5"/>
  <c r="I136" i="5" s="1"/>
  <c r="K135" i="5"/>
  <c r="J135" i="5"/>
  <c r="J136" i="5" s="1"/>
  <c r="H32" i="5"/>
  <c r="I32" i="5" s="1"/>
  <c r="M23" i="5"/>
  <c r="K23" i="5"/>
  <c r="H23" i="5"/>
  <c r="I24" i="5" a="1"/>
  <c r="I24" i="5" s="1"/>
  <c r="E18" i="5"/>
  <c r="F43" i="5"/>
  <c r="I156" i="5" l="1"/>
  <c r="E19" i="5"/>
  <c r="F44" i="5"/>
  <c r="I137" i="5"/>
  <c r="J101" i="5" s="1"/>
  <c r="H67" i="5"/>
  <c r="H68" i="5" s="1"/>
  <c r="H25" i="5"/>
  <c r="K25" i="5"/>
  <c r="M25" i="5"/>
  <c r="I26" i="5" a="1"/>
  <c r="I26" i="5" s="1"/>
  <c r="J25" i="5" a="1"/>
  <c r="N25" i="5"/>
  <c r="N26" i="5"/>
  <c r="O26" i="5" s="1" a="1"/>
  <c r="O26" i="5" s="1"/>
  <c r="O25" i="5" a="1"/>
  <c r="L89" i="5"/>
  <c r="H89" i="5"/>
  <c r="N89" i="5" s="1"/>
  <c r="O17" i="5" a="1"/>
  <c r="O17" i="5" s="1"/>
  <c r="O18" i="5" a="1"/>
  <c r="O18" i="5" s="1"/>
  <c r="H17" i="5"/>
  <c r="N17" i="5"/>
  <c r="N18" i="5"/>
  <c r="L17" i="5" a="1"/>
  <c r="L17" i="5" s="1"/>
  <c r="J18" i="5" a="1"/>
  <c r="J18" i="5" s="1"/>
  <c r="J17" i="5" a="1"/>
  <c r="J17" i="5" s="1"/>
  <c r="I18" i="5" a="1"/>
  <c r="I18" i="5" s="1"/>
  <c r="L18" i="5" a="1"/>
  <c r="L18" i="5" s="1"/>
  <c r="Q17" i="5" a="1"/>
  <c r="K88" i="5"/>
  <c r="K89" i="5"/>
  <c r="C85" i="5"/>
  <c r="I27" i="5"/>
  <c r="D27" i="5" a="1"/>
  <c r="P15" i="5"/>
  <c r="R15" i="5"/>
  <c r="I37" i="5"/>
  <c r="E39" i="5"/>
  <c r="D27" i="5" l="1"/>
  <c r="J26" i="5" a="1"/>
  <c r="J26" i="5" s="1"/>
  <c r="J25" i="5"/>
  <c r="C86" i="5"/>
  <c r="F29" i="7"/>
  <c r="H36" i="5"/>
  <c r="I36" i="5" s="1"/>
  <c r="Q17" i="5"/>
  <c r="L25" i="5" a="1"/>
  <c r="O25" i="5"/>
  <c r="R17" i="5" l="1"/>
  <c r="Q20" i="5"/>
  <c r="P17" i="5"/>
  <c r="C88" i="5"/>
  <c r="C89" i="5" s="1"/>
  <c r="E27" i="5"/>
  <c r="D28" i="5" a="1"/>
  <c r="L26" i="5" a="1"/>
  <c r="L26" i="5" s="1"/>
  <c r="L25" i="5"/>
  <c r="J27" i="5"/>
  <c r="D28" i="5" l="1"/>
  <c r="D29" i="5" s="1" a="1"/>
  <c r="D29" i="5" s="1"/>
  <c r="Q21" i="5" a="1"/>
  <c r="Q21" i="5" s="1"/>
  <c r="H48" i="5" s="1"/>
  <c r="I48" i="5" s="1"/>
  <c r="R20" i="5"/>
  <c r="P20" i="5"/>
  <c r="C90" i="5"/>
  <c r="H49" i="5" l="1"/>
  <c r="I49" i="5" s="1"/>
  <c r="J29" i="5"/>
  <c r="D30" i="5" a="1"/>
  <c r="D30" i="5" s="1"/>
  <c r="C91" i="5"/>
  <c r="P21" i="5"/>
  <c r="R21" i="5"/>
  <c r="F48" i="5" s="1"/>
  <c r="H50" i="5"/>
  <c r="I50" i="5" s="1"/>
  <c r="J28" i="5" s="1"/>
  <c r="H52" i="5"/>
  <c r="I52" i="5" s="1"/>
  <c r="Q23" i="5" a="1"/>
  <c r="Q23" i="5" s="1"/>
  <c r="H58" i="5" s="1"/>
  <c r="I58" i="5" s="1"/>
  <c r="H54" i="5"/>
  <c r="I54" i="5" s="1"/>
  <c r="H51" i="5"/>
  <c r="I51" i="5" s="1"/>
  <c r="H53" i="5"/>
  <c r="I53" i="5" s="1"/>
  <c r="H56" i="5" l="1"/>
  <c r="I56" i="5" s="1"/>
  <c r="H55" i="5"/>
  <c r="I55" i="5" s="1"/>
  <c r="P23" i="5"/>
  <c r="R23" i="5"/>
  <c r="H57" i="5"/>
  <c r="Q25" i="5" a="1"/>
  <c r="Q25" i="5" s="1"/>
  <c r="C92" i="5"/>
  <c r="J30" i="5"/>
  <c r="D31" i="5" a="1"/>
  <c r="D31" i="5" s="1"/>
  <c r="E63" i="5" l="1"/>
  <c r="D70" i="5"/>
  <c r="I57" i="5"/>
  <c r="J31" i="5"/>
  <c r="D32" i="5" a="1"/>
  <c r="D32" i="5" s="1"/>
  <c r="C93" i="5"/>
  <c r="R25" i="5"/>
  <c r="P25" i="5"/>
  <c r="C94" i="5" l="1"/>
  <c r="J32" i="5"/>
  <c r="D33" i="5" a="1"/>
  <c r="D33" i="5" s="1"/>
  <c r="O63" i="5" a="1"/>
  <c r="O63" i="5" s="1"/>
  <c r="O65" i="5" s="1" a="1"/>
  <c r="O65" i="5" s="1"/>
  <c r="F72" i="5"/>
  <c r="M65" i="5" l="1"/>
  <c r="O67" i="5" a="1"/>
  <c r="O67" i="5" s="1"/>
  <c r="D34" i="5" a="1"/>
  <c r="J33" i="5"/>
  <c r="D34" i="5" l="1"/>
  <c r="M67" i="5"/>
  <c r="O69" i="5" a="1"/>
  <c r="O69" i="5" s="1"/>
  <c r="P67" i="5"/>
  <c r="P68" i="5" s="1"/>
  <c r="D35" i="5" l="1" a="1"/>
  <c r="D35" i="5" s="1"/>
  <c r="J34" i="5"/>
  <c r="O71" i="5" a="1"/>
  <c r="O71" i="5" s="1"/>
  <c r="M69" i="5"/>
  <c r="J14" i="5" a="1"/>
  <c r="J14" i="5" s="1"/>
  <c r="M71" i="5" l="1"/>
  <c r="R85" i="5"/>
  <c r="D36" i="5" a="1"/>
  <c r="D36" i="5" s="1"/>
  <c r="N13" i="5" s="1"/>
  <c r="J35" i="5"/>
  <c r="N14" i="5" l="1"/>
  <c r="O14" i="5" s="1" a="1"/>
  <c r="O14" i="5" s="1"/>
  <c r="O13" i="5" a="1"/>
  <c r="D37" i="5" a="1"/>
  <c r="J36" i="5"/>
  <c r="R88" i="5"/>
  <c r="O85" i="5"/>
  <c r="O86" i="5" s="1"/>
  <c r="O88" i="5" s="1"/>
  <c r="O90" i="5" s="1"/>
  <c r="O92" i="5" s="1"/>
  <c r="O13" i="5" l="1"/>
  <c r="J13" i="5" s="1" a="1"/>
  <c r="J13" i="5" s="1"/>
  <c r="D37" i="5"/>
  <c r="J37" i="5" s="1"/>
  <c r="L13" i="5" l="1" a="1"/>
  <c r="D43" i="5"/>
  <c r="D44" i="5"/>
  <c r="D39" i="5"/>
  <c r="L14" i="5" l="1" a="1"/>
  <c r="L14" i="5" s="1"/>
  <c r="L13" i="5"/>
  <c r="D41" i="5"/>
  <c r="B40" i="5"/>
  <c r="D40" i="5"/>
  <c r="D45" i="5" s="1"/>
  <c r="D46" i="5" s="1"/>
  <c r="D48" i="5" s="1" a="1"/>
  <c r="D48" i="5" s="1"/>
  <c r="D49" i="5" s="1" a="1"/>
  <c r="D49" i="5" s="1"/>
  <c r="J48" i="5" l="1"/>
  <c r="J49" i="5"/>
  <c r="D50" i="5" a="1"/>
  <c r="D50" i="5" s="1"/>
  <c r="J21" i="5" a="1"/>
  <c r="N21" i="5"/>
  <c r="O21" i="5" l="1" a="1"/>
  <c r="N22" i="5"/>
  <c r="O22" i="5" s="1" a="1"/>
  <c r="O22" i="5" s="1"/>
  <c r="D51" i="5" a="1"/>
  <c r="D51" i="5" s="1"/>
  <c r="J50" i="5"/>
  <c r="J21" i="5"/>
  <c r="J22" i="5" s="1" a="1"/>
  <c r="J22" i="5" s="1"/>
  <c r="J51" i="5" l="1"/>
  <c r="D52" i="5" a="1"/>
  <c r="D52" i="5" s="1"/>
  <c r="O21" i="5"/>
  <c r="L21" i="5" s="1" a="1"/>
  <c r="D53" i="5" l="1" a="1"/>
  <c r="D53" i="5" s="1"/>
  <c r="J52" i="5"/>
  <c r="L21" i="5"/>
  <c r="L22" i="5" s="1" a="1"/>
  <c r="L22" i="5" s="1"/>
  <c r="J53" i="5" l="1"/>
  <c r="D54" i="5" a="1"/>
  <c r="D54" i="5" s="1"/>
  <c r="D55" i="5" l="1" a="1"/>
  <c r="D55" i="5" s="1"/>
  <c r="J54" i="5"/>
  <c r="J55" i="5" l="1"/>
  <c r="D56" i="5" a="1"/>
  <c r="D56" i="5" s="1"/>
  <c r="D57" i="5" l="1" a="1"/>
  <c r="D57" i="5" s="1"/>
  <c r="D58" i="5" s="1" a="1"/>
  <c r="D58" i="5" s="1"/>
  <c r="J58" i="5" s="1"/>
  <c r="J56" i="5"/>
  <c r="N23" i="5"/>
  <c r="N24" i="5" l="1"/>
  <c r="O24" i="5" s="1" a="1"/>
  <c r="O24" i="5" s="1"/>
  <c r="O23" i="5" a="1"/>
  <c r="J57" i="5"/>
  <c r="D63" i="5"/>
  <c r="D64" i="5" l="1"/>
  <c r="I73" i="5" s="1"/>
  <c r="D65" i="5" s="1"/>
  <c r="D67" i="5" s="1"/>
  <c r="O23" i="5"/>
  <c r="J23" i="5" s="1" a="1"/>
  <c r="J23" i="5" s="1"/>
  <c r="J24" i="5" s="1" a="1"/>
  <c r="J24" i="5" s="1"/>
  <c r="L23" i="5" l="1" a="1"/>
  <c r="L23" i="5" s="1"/>
  <c r="L24" i="5" s="1" a="1"/>
  <c r="L24" i="5" s="1"/>
  <c r="D68" i="5"/>
  <c r="D69" i="5" s="1"/>
  <c r="B68" i="5"/>
  <c r="D72" i="5"/>
  <c r="D73" i="5" l="1"/>
  <c r="E73" i="5"/>
  <c r="E72" i="5"/>
  <c r="E74" i="5" l="1"/>
  <c r="D74" i="5"/>
  <c r="E75" i="5" l="1"/>
  <c r="D75" i="5"/>
  <c r="E76" i="5" l="1"/>
  <c r="D76" i="5"/>
  <c r="E77" i="5" l="1"/>
  <c r="D77" i="5"/>
  <c r="E78" i="5" l="1"/>
  <c r="D78" i="5"/>
  <c r="E79" i="5" l="1"/>
  <c r="D79" i="5"/>
  <c r="M68" i="5"/>
  <c r="N68" i="5" s="1"/>
  <c r="K68" i="5" s="1"/>
  <c r="K67" i="5"/>
  <c r="J67" i="5"/>
  <c r="J68" i="5" l="1"/>
  <c r="E80" i="5"/>
  <c r="D80" i="5"/>
  <c r="D81" i="5" l="1"/>
  <c r="E81" i="5"/>
  <c r="E82" i="5" l="1"/>
  <c r="D82" i="5"/>
  <c r="E83" i="5" l="1"/>
  <c r="D83" i="5"/>
  <c r="Q86" i="5" l="1"/>
  <c r="R86" i="5" s="1"/>
  <c r="F84" i="5"/>
  <c r="Q85" i="5"/>
  <c r="D84" i="5" l="1" a="1"/>
  <c r="D84" i="5" s="1"/>
  <c r="D85" i="5" s="1"/>
  <c r="E84" i="5"/>
  <c r="E85" i="5" l="1"/>
  <c r="D86" i="5"/>
  <c r="E86" i="5" l="1"/>
  <c r="Q88" i="5"/>
  <c r="Q89" i="5"/>
  <c r="R89" i="5" s="1"/>
  <c r="F87" i="5"/>
  <c r="D87" i="5" l="1" a="1"/>
  <c r="E87" i="5"/>
  <c r="D87" i="5" l="1"/>
  <c r="D88" i="5" s="1"/>
  <c r="E88" i="5" l="1"/>
  <c r="D89" i="5"/>
  <c r="E89" i="5" l="1"/>
  <c r="D90" i="5"/>
  <c r="E90" i="5" l="1"/>
  <c r="D91" i="5"/>
  <c r="E91" i="5" l="1"/>
  <c r="D92" i="5"/>
  <c r="P90" i="5" l="1"/>
  <c r="E92" i="5"/>
  <c r="D93" i="5"/>
  <c r="E93" i="5" l="1"/>
  <c r="D94" i="5"/>
  <c r="E94" i="5" l="1"/>
  <c r="D95" i="5"/>
  <c r="J99" i="5" l="1"/>
  <c r="I100" i="5"/>
  <c r="J100" i="5" s="1"/>
  <c r="K104" i="5" l="1"/>
  <c r="K103" i="5" s="1"/>
  <c r="B49" i="7"/>
  <c r="I37" i="7"/>
  <c r="I33" i="7"/>
  <c r="B41" i="7"/>
  <c r="I35" i="7"/>
  <c r="E31" i="7"/>
  <c r="B33" i="7"/>
  <c r="K102" i="5"/>
  <c r="I34" i="7" s="1"/>
  <c r="C31" i="7"/>
  <c r="F31" i="7"/>
  <c r="B31" i="7"/>
  <c r="L11" i="23"/>
  <c r="J106" i="5"/>
  <c r="I17" i="27"/>
  <c r="J104" i="5"/>
  <c r="C13" i="22"/>
  <c r="L14" i="22" s="1"/>
  <c r="F30" i="7"/>
  <c r="J107" i="5"/>
  <c r="J102" i="5"/>
  <c r="F44" i="7" s="1"/>
  <c r="F35" i="7" l="1"/>
  <c r="I26" i="27"/>
  <c r="G45" i="7"/>
  <c r="F45" i="7"/>
  <c r="J109" i="5"/>
  <c r="F51" i="7" s="1"/>
  <c r="G50" i="7"/>
  <c r="L17" i="22"/>
  <c r="L22" i="22"/>
  <c r="L16" i="22"/>
  <c r="L23" i="22" s="1"/>
  <c r="F34" i="7"/>
  <c r="L20" i="29"/>
  <c r="J103" i="5"/>
  <c r="I36" i="7" s="1"/>
  <c r="I19" i="27"/>
  <c r="E8" i="27"/>
  <c r="I18" i="27"/>
  <c r="I23" i="27"/>
  <c r="E19" i="27" s="1"/>
  <c r="N9" i="26" s="1"/>
  <c r="O9" i="26" s="1"/>
  <c r="C16" i="26" s="1"/>
  <c r="J108" i="5"/>
  <c r="J110" i="5" s="1"/>
  <c r="F53" i="7" s="1"/>
  <c r="N19" i="23" s="1"/>
  <c r="M26" i="7"/>
  <c r="M31" i="7" l="1"/>
  <c r="G35" i="7"/>
  <c r="G44" i="7"/>
  <c r="I27" i="27"/>
  <c r="E23" i="27" s="1"/>
  <c r="M25" i="7"/>
  <c r="L21" i="29" s="1"/>
  <c r="M21" i="29" s="1"/>
  <c r="C21" i="29" s="1"/>
  <c r="E14" i="27"/>
  <c r="N8" i="26" s="1"/>
  <c r="O8" i="26" s="1"/>
  <c r="L24" i="22"/>
  <c r="L22" i="29"/>
  <c r="M22" i="29" s="1"/>
  <c r="C32" i="29" s="1"/>
  <c r="E13" i="27"/>
  <c r="K19" i="27"/>
  <c r="M20" i="29"/>
  <c r="C20" i="29"/>
  <c r="N17" i="23"/>
  <c r="F56" i="7"/>
  <c r="M27" i="7" l="1"/>
  <c r="J19" i="23"/>
  <c r="F57" i="7"/>
  <c r="J20" i="23" s="1"/>
  <c r="K20" i="23" s="1"/>
  <c r="N6" i="26"/>
  <c r="F13" i="27"/>
  <c r="E15" i="27"/>
  <c r="N7" i="26" l="1"/>
  <c r="O7" i="26" s="1"/>
  <c r="N5" i="26"/>
  <c r="O5" i="26" s="1"/>
  <c r="C11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Note</author>
  </authors>
  <commentList>
    <comment ref="L21" authorId="0" shapeId="0" xr:uid="{A58BC43C-2296-4FB3-B273-B721D44F06CB}">
      <text>
        <r>
          <rPr>
            <b/>
            <sz val="11"/>
            <color indexed="81"/>
            <rFont val="Times New Roman"/>
            <family val="1"/>
          </rPr>
          <t>On Due Date</t>
        </r>
      </text>
    </comment>
    <comment ref="L22" authorId="0" shapeId="0" xr:uid="{819AF4A9-FA2E-49A0-B09C-F811B86F3E80}">
      <text>
        <r>
          <rPr>
            <b/>
            <sz val="11"/>
            <color indexed="81"/>
            <rFont val="Times New Roman"/>
            <family val="1"/>
          </rPr>
          <t>On Increment Date</t>
        </r>
      </text>
    </comment>
    <comment ref="L23" authorId="0" shapeId="0" xr:uid="{688A1F94-6C6F-4E68-BCA7-BDE1782E7026}">
      <text>
        <r>
          <rPr>
            <b/>
            <sz val="11"/>
            <color indexed="81"/>
            <rFont val="Times New Roman"/>
            <family val="1"/>
          </rPr>
          <t>On Due Date</t>
        </r>
      </text>
    </comment>
    <comment ref="L24" authorId="0" shapeId="0" xr:uid="{D92A0935-86EF-45A0-9E20-A5DC4CCEDF29}">
      <text>
        <r>
          <rPr>
            <b/>
            <sz val="11"/>
            <color indexed="81"/>
            <rFont val="Times New Roman"/>
            <family val="1"/>
          </rPr>
          <t>On Increment Date</t>
        </r>
      </text>
    </comment>
    <comment ref="L25" authorId="0" shapeId="0" xr:uid="{2A169219-305A-490F-BFD4-F6F6178D0AA0}">
      <text>
        <r>
          <rPr>
            <b/>
            <sz val="11"/>
            <color indexed="81"/>
            <rFont val="Times New Roman"/>
            <family val="1"/>
          </rPr>
          <t>On Due Date</t>
        </r>
      </text>
    </comment>
    <comment ref="L26" authorId="0" shapeId="0" xr:uid="{92C118A0-7F53-4B8E-BF0B-F55620DB0FA5}">
      <text>
        <r>
          <rPr>
            <b/>
            <sz val="11"/>
            <color indexed="81"/>
            <rFont val="Times New Roman"/>
            <family val="1"/>
          </rPr>
          <t>On Increment Date</t>
        </r>
      </text>
    </comment>
    <comment ref="M64" authorId="0" shapeId="0" xr:uid="{8293D337-6DE4-4E06-BEA4-908E99453E25}">
      <text>
        <r>
          <rPr>
            <b/>
            <sz val="11"/>
            <color indexed="81"/>
            <rFont val="Times New Roman"/>
            <family val="1"/>
          </rPr>
          <t>1st Increment</t>
        </r>
      </text>
    </comment>
    <comment ref="N64" authorId="0" shapeId="0" xr:uid="{A000F790-EE1A-4020-B6F1-45A1BDD4DED5}">
      <text>
        <r>
          <rPr>
            <b/>
            <sz val="11"/>
            <color indexed="81"/>
            <rFont val="Times New Roman"/>
            <family val="1"/>
          </rPr>
          <t>2nd Increment</t>
        </r>
      </text>
    </comment>
    <comment ref="M66" authorId="0" shapeId="0" xr:uid="{BA1FA337-4E3A-4114-A66E-96C347797ED1}">
      <text>
        <r>
          <rPr>
            <b/>
            <sz val="11"/>
            <color indexed="81"/>
            <rFont val="Times New Roman"/>
            <family val="1"/>
          </rPr>
          <t>1st Increment</t>
        </r>
      </text>
    </comment>
    <comment ref="N66" authorId="0" shapeId="0" xr:uid="{765C3BAB-2A57-400F-99FC-F511347C9FA3}">
      <text>
        <r>
          <rPr>
            <b/>
            <sz val="11"/>
            <color indexed="81"/>
            <rFont val="Times New Roman"/>
            <family val="1"/>
          </rPr>
          <t>2nd Increment</t>
        </r>
      </text>
    </comment>
    <comment ref="M68" authorId="0" shapeId="0" xr:uid="{6131E3D3-E915-494F-A3EF-8D848A14217A}">
      <text>
        <r>
          <rPr>
            <b/>
            <sz val="11"/>
            <color indexed="81"/>
            <rFont val="Times New Roman"/>
            <family val="1"/>
          </rPr>
          <t>1st Increment</t>
        </r>
      </text>
    </comment>
    <comment ref="N68" authorId="0" shapeId="0" xr:uid="{12149374-0467-43E3-B5D7-014A5B458CBB}">
      <text>
        <r>
          <rPr>
            <b/>
            <sz val="11"/>
            <color indexed="81"/>
            <rFont val="Times New Roman"/>
            <family val="1"/>
          </rPr>
          <t>2nd Increment</t>
        </r>
      </text>
    </comment>
    <comment ref="M70" authorId="0" shapeId="0" xr:uid="{A83E19E0-3D9A-4001-A174-F69368C99B3D}">
      <text>
        <r>
          <rPr>
            <b/>
            <sz val="11"/>
            <color indexed="81"/>
            <rFont val="Times New Roman"/>
            <family val="1"/>
          </rPr>
          <t>1st Increment</t>
        </r>
      </text>
    </comment>
    <comment ref="N70" authorId="0" shapeId="0" xr:uid="{7181B962-FC96-405B-93AA-6C5BFCF988D3}">
      <text>
        <r>
          <rPr>
            <b/>
            <sz val="11"/>
            <color indexed="81"/>
            <rFont val="Times New Roman"/>
            <family val="1"/>
          </rPr>
          <t>2nd Increment</t>
        </r>
      </text>
    </comment>
    <comment ref="M72" authorId="0" shapeId="0" xr:uid="{24229581-A9BE-49FF-AE4D-F1F44FFFE61C}">
      <text>
        <r>
          <rPr>
            <b/>
            <sz val="11"/>
            <color indexed="81"/>
            <rFont val="Times New Roman"/>
            <family val="1"/>
          </rPr>
          <t>1st Increment</t>
        </r>
      </text>
    </comment>
    <comment ref="N72" authorId="0" shapeId="0" xr:uid="{78620889-B7A4-4281-A97B-7F753155587B}">
      <text>
        <r>
          <rPr>
            <b/>
            <sz val="11"/>
            <color indexed="81"/>
            <rFont val="Times New Roman"/>
            <family val="1"/>
          </rPr>
          <t>2nd Increment</t>
        </r>
      </text>
    </comment>
    <comment ref="R85" authorId="0" shapeId="0" xr:uid="{2A4DEB60-E54C-4C0B-9B5F-26A247F928C5}">
      <text>
        <r>
          <rPr>
            <b/>
            <sz val="14"/>
            <color indexed="81"/>
            <rFont val="Times New Roman"/>
            <family val="1"/>
          </rPr>
          <t>Level</t>
        </r>
      </text>
    </comment>
    <comment ref="R86" authorId="0" shapeId="0" xr:uid="{1BE11E2E-0107-40E4-86E7-3B921E113B31}">
      <text>
        <r>
          <rPr>
            <b/>
            <sz val="14"/>
            <color indexed="81"/>
            <rFont val="Times New Roman"/>
            <family val="1"/>
          </rPr>
          <t>Cell</t>
        </r>
      </text>
    </comment>
    <comment ref="R88" authorId="0" shapeId="0" xr:uid="{79607401-03DC-437D-AB87-919DEF51248C}">
      <text>
        <r>
          <rPr>
            <b/>
            <sz val="14"/>
            <color indexed="81"/>
            <rFont val="Times New Roman"/>
            <family val="1"/>
          </rPr>
          <t>Level</t>
        </r>
      </text>
    </comment>
    <comment ref="R89" authorId="0" shapeId="0" xr:uid="{18941248-00C2-4E80-9717-0A8E420433A3}">
      <text>
        <r>
          <rPr>
            <b/>
            <sz val="14"/>
            <color indexed="81"/>
            <rFont val="Times New Roman"/>
            <family val="1"/>
          </rPr>
          <t>Cell</t>
        </r>
      </text>
    </comment>
    <comment ref="K102" authorId="1" shapeId="0" xr:uid="{B3EF16C3-52CD-44BE-9B2F-6D21D7FD36E6}">
      <text>
        <r>
          <rPr>
            <b/>
            <sz val="11"/>
            <color indexed="81"/>
            <rFont val="Times New Roman"/>
            <family val="1"/>
          </rPr>
          <t>After Notional Increment</t>
        </r>
      </text>
    </comment>
    <comment ref="K103" authorId="1" shapeId="0" xr:uid="{65218156-2F5C-4BCC-9D78-70A6B07B846F}">
      <text>
        <r>
          <rPr>
            <b/>
            <sz val="11"/>
            <color indexed="81"/>
            <rFont val="Times New Roman"/>
            <family val="1"/>
          </rPr>
          <t>After Notional Increment</t>
        </r>
      </text>
    </comment>
    <comment ref="L103" authorId="0" shapeId="0" xr:uid="{00000000-0006-0000-0500-000001000000}">
      <text>
        <r>
          <rPr>
            <b/>
            <sz val="12"/>
            <color indexed="81"/>
            <rFont val="Times New Roman"/>
            <family val="1"/>
          </rPr>
          <t>W.E.F.</t>
        </r>
      </text>
    </comment>
    <comment ref="M103" authorId="0" shapeId="0" xr:uid="{00000000-0006-0000-0500-000002000000}">
      <text>
        <r>
          <rPr>
            <b/>
            <sz val="12"/>
            <color indexed="81"/>
            <rFont val="Times New Roman"/>
            <family val="1"/>
          </rPr>
          <t>Upto</t>
        </r>
      </text>
    </comment>
    <comment ref="K104" authorId="1" shapeId="0" xr:uid="{50CB9DB8-A1FF-4571-8E0D-CE7715DC19E6}">
      <text>
        <r>
          <rPr>
            <b/>
            <sz val="11"/>
            <color indexed="81"/>
            <rFont val="Times New Roman"/>
            <family val="1"/>
          </rPr>
          <t>After Notional Increment</t>
        </r>
      </text>
    </comment>
    <comment ref="L104" authorId="0" shapeId="0" xr:uid="{00000000-0006-0000-0500-000003000000}">
      <text>
        <r>
          <rPr>
            <b/>
            <sz val="12"/>
            <color indexed="81"/>
            <rFont val="Times New Roman"/>
            <family val="1"/>
          </rPr>
          <t>W.E.F.</t>
        </r>
      </text>
    </comment>
    <comment ref="K106" authorId="0" shapeId="0" xr:uid="{00000000-0006-0000-0500-000004000000}">
      <text>
        <r>
          <rPr>
            <sz val="12"/>
            <color indexed="81"/>
            <rFont val="Times New Roman"/>
            <family val="1"/>
          </rPr>
          <t>Un-availed earned leave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145" authorId="0" shapeId="0" xr:uid="{00000000-0006-0000-0C00-000001000000}">
      <text>
        <r>
          <rPr>
            <b/>
            <sz val="11"/>
            <color indexed="81"/>
            <rFont val="Times New Roman"/>
            <family val="1"/>
          </rPr>
          <t>Pay Scale (2100-4530)</t>
        </r>
      </text>
    </comment>
    <comment ref="E146" authorId="0" shapeId="0" xr:uid="{00000000-0006-0000-0C00-000002000000}">
      <text>
        <r>
          <rPr>
            <b/>
            <sz val="11"/>
            <color indexed="81"/>
            <rFont val="Times New Roman"/>
            <family val="1"/>
          </rPr>
          <t>Pay Scale (2100-5000)</t>
        </r>
      </text>
    </comment>
    <comment ref="G182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8 Years from ₹7450 scale.[FR22(i)(a)(2)]</t>
        </r>
      </text>
    </comment>
    <comment ref="D183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On promotion.</t>
        </r>
      </text>
    </comment>
    <comment ref="G183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17 years from ₹7450 scale. [FR22(i)(a)(2)]</t>
        </r>
      </text>
    </comment>
    <comment ref="H184" authorId="0" shapeId="0" xr:uid="{00000000-0006-0000-0C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25 years of continuous service.</t>
        </r>
      </text>
    </comment>
    <comment ref="F186" authorId="0" shapeId="0" xr:uid="{00000000-0006-0000-0C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4 Years from ₹1450 scale.</t>
        </r>
      </text>
    </comment>
    <comment ref="G186" authorId="0" shapeId="0" xr:uid="{00000000-0006-0000-0C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8 Years from ₹5000 scale.[FR22(i)(a)(2)]</t>
        </r>
      </text>
    </comment>
    <comment ref="H186" authorId="0" shapeId="0" xr:uid="{00000000-0006-0000-0C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10 Years from Grade pay ₹4200.</t>
        </r>
      </text>
    </comment>
    <comment ref="D187" authorId="0" shapeId="0" xr:uid="{00000000-0006-0000-0C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On promotion.</t>
        </r>
      </text>
    </comment>
    <comment ref="G187" authorId="0" shapeId="0" xr:uid="{00000000-0006-0000-0C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17 years from ₹7450 scale.[FR22(i)(a)(1)]</t>
        </r>
      </text>
    </comment>
    <comment ref="H187" authorId="0" shapeId="0" xr:uid="{00000000-0006-0000-0C00-00000C000000}">
      <text>
        <r>
          <rPr>
            <sz val="9"/>
            <color indexed="81"/>
            <rFont val="Tahoma"/>
            <family val="2"/>
          </rPr>
          <t>After 17 years from Grade pay ₹4200 or after 8 years from ₹4400 whichever is later.</t>
        </r>
      </text>
    </comment>
    <comment ref="H188" authorId="0" shapeId="0" xr:uid="{6C01B8D4-AA0B-4C1B-AF29-33199F343026}">
      <text>
        <r>
          <rPr>
            <sz val="9"/>
            <color indexed="81"/>
            <rFont val="Tahoma"/>
            <family val="2"/>
          </rPr>
          <t>After 25 years of continuous service.</t>
        </r>
      </text>
    </comment>
    <comment ref="F190" authorId="0" shapeId="0" xr:uid="{00000000-0006-0000-0C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4 years on scale ₹1450.</t>
        </r>
      </text>
    </comment>
    <comment ref="G190" authorId="0" shapeId="0" xr:uid="{00000000-0006-0000-0C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4 years on scale ₹5000.</t>
        </r>
      </text>
    </comment>
    <comment ref="G191" authorId="0" shapeId="0" xr:uid="{00000000-0006-0000-0C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8 years on scale ₹7450.</t>
        </r>
      </text>
    </comment>
    <comment ref="H191" authorId="0" shapeId="0" xr:uid="{00000000-0006-0000-0C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8 years on GP ₹4800.</t>
        </r>
      </text>
    </comment>
    <comment ref="H192" authorId="0" shapeId="0" xr:uid="{00000000-0006-0000-0C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After 25 years of continuous service.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<sst xmlns="http://schemas.openxmlformats.org/spreadsheetml/2006/main" count="2933" uniqueCount="2512">
  <si>
    <t>Scale of Pay as per ROP 1982</t>
  </si>
  <si>
    <t>Scale of Pay as per ROP 1988</t>
  </si>
  <si>
    <t>(2100 4530)</t>
  </si>
  <si>
    <t>(2100 5000)</t>
  </si>
  <si>
    <t>Scale of Pay as per ROP 1999</t>
  </si>
  <si>
    <t>TRIPURA STATE PAY MATRIX-2017</t>
  </si>
  <si>
    <t>Pay Band</t>
  </si>
  <si>
    <t>4840-13000</t>
  </si>
  <si>
    <t>5700-24000</t>
  </si>
  <si>
    <t>10230-34800</t>
  </si>
  <si>
    <t>15600-39100</t>
  </si>
  <si>
    <t>Grade Pay</t>
  </si>
  <si>
    <t>Level</t>
  </si>
  <si>
    <t>Index</t>
  </si>
  <si>
    <t>TRIPURA STATE PAY MATRIX-2018</t>
  </si>
  <si>
    <t>Regular Pension Case</t>
  </si>
  <si>
    <t>(This Calculation sheet is crafted by Shri Nabajyoti Debnath, Sr. Accountant)</t>
  </si>
  <si>
    <t>Name</t>
  </si>
  <si>
    <t>Shri</t>
  </si>
  <si>
    <t>Designation</t>
  </si>
  <si>
    <t>Group/Class</t>
  </si>
  <si>
    <t>Application No.</t>
  </si>
  <si>
    <t>PR No.</t>
  </si>
  <si>
    <t>Date of Birth</t>
  </si>
  <si>
    <t>Date of Joining</t>
  </si>
  <si>
    <t>Date of Regular</t>
  </si>
  <si>
    <t>As per ROP'1988</t>
  </si>
  <si>
    <t>Modified Pay Scale (ROP 1982)</t>
  </si>
  <si>
    <t>LTA Pension</t>
  </si>
  <si>
    <t>Upgradations</t>
  </si>
  <si>
    <t>Dates</t>
  </si>
  <si>
    <t>Pay</t>
  </si>
  <si>
    <t>Rule</t>
  </si>
  <si>
    <t>Cell</t>
  </si>
  <si>
    <t>FR-22(a)(i)</t>
  </si>
  <si>
    <t>FR-22(C)</t>
  </si>
  <si>
    <t>Existing Pay Scale (ROP 1982)</t>
  </si>
  <si>
    <t>Pay fixed as modified scale at</t>
  </si>
  <si>
    <t>Total</t>
  </si>
  <si>
    <t>15% Financial Benefit</t>
  </si>
  <si>
    <t>20% Interim Relief</t>
  </si>
  <si>
    <t>As per ROP'1999</t>
  </si>
  <si>
    <t>Increment for 5 yrs. on same post</t>
  </si>
  <si>
    <t>Increment for 10 yrs. on same post</t>
  </si>
  <si>
    <t>Increment for 15 yrs. of total service</t>
  </si>
  <si>
    <t>Total Pay</t>
  </si>
  <si>
    <t>Pay as on</t>
  </si>
  <si>
    <t>Fixed at</t>
  </si>
  <si>
    <t>30% Fixation Benefit</t>
  </si>
  <si>
    <t>Fixed Interim Relief</t>
  </si>
  <si>
    <t>Pay on 01-01-1996</t>
  </si>
  <si>
    <t>10% IR on pay as on 01-01-1996</t>
  </si>
  <si>
    <t>(Min.₹100/-, Max.₹300/-)</t>
  </si>
  <si>
    <t>Rounded off to</t>
  </si>
  <si>
    <t>Option for Pre-Revised Scale</t>
  </si>
  <si>
    <t>As per ROP'2015</t>
  </si>
  <si>
    <t>Bunching Benefit</t>
  </si>
  <si>
    <t>(1st)</t>
  </si>
  <si>
    <t>(2nd)</t>
  </si>
  <si>
    <t>Training Incentive (If any)</t>
  </si>
  <si>
    <t>Total Pay after Bunching Benefit</t>
  </si>
  <si>
    <t>Fixed at next above 10 (Ten)</t>
  </si>
  <si>
    <t>After 1st Bunching</t>
  </si>
  <si>
    <t>As per ROP'2017</t>
  </si>
  <si>
    <t>As per ROP'2018</t>
  </si>
  <si>
    <t>Correct Fixation</t>
  </si>
  <si>
    <t>Correct Last Pay</t>
  </si>
  <si>
    <t>Observation</t>
  </si>
  <si>
    <t>Last Pay</t>
  </si>
  <si>
    <t>Notional Increment</t>
  </si>
  <si>
    <t>Six Monthly Units</t>
  </si>
  <si>
    <t>Superannuation Pension</t>
  </si>
  <si>
    <t>Enhanced Family Pension</t>
  </si>
  <si>
    <t>Sr.Acctt.</t>
  </si>
  <si>
    <t>A.A.O.</t>
  </si>
  <si>
    <t>Sr.A.O.</t>
  </si>
  <si>
    <t>Family Pension</t>
  </si>
  <si>
    <t>Leave Salary Admissible</t>
  </si>
  <si>
    <t>DCRG Admissible</t>
  </si>
  <si>
    <t xml:space="preserve">Leave Salary Paid </t>
  </si>
  <si>
    <t>Dies-Non</t>
  </si>
  <si>
    <t>Provisional DCRG Paid</t>
  </si>
  <si>
    <t>Flag-Aᴿ</t>
  </si>
  <si>
    <t>From</t>
  </si>
  <si>
    <t>To</t>
  </si>
  <si>
    <t>Total Days</t>
  </si>
  <si>
    <t>Leave Salary Overdrawn</t>
  </si>
  <si>
    <t>Pay &amp; Allowances Overdrawn</t>
  </si>
  <si>
    <t>GPF Minus Balance</t>
  </si>
  <si>
    <t>Non-Qualifying Service</t>
  </si>
  <si>
    <t>DA Rates</t>
  </si>
  <si>
    <t>Boy Service From</t>
  </si>
  <si>
    <t>Years</t>
  </si>
  <si>
    <t>Months</t>
  </si>
  <si>
    <t>Days</t>
  </si>
  <si>
    <t>Rate</t>
  </si>
  <si>
    <t>Boy Service Upto</t>
  </si>
  <si>
    <t>Boy Service</t>
  </si>
  <si>
    <t>Only Days</t>
  </si>
  <si>
    <t>Year</t>
  </si>
  <si>
    <t>Month</t>
  </si>
  <si>
    <t>QS</t>
  </si>
  <si>
    <t>Net QS</t>
  </si>
  <si>
    <t>Counting Units</t>
  </si>
  <si>
    <t>Units</t>
  </si>
  <si>
    <t>Family Pension Case</t>
  </si>
  <si>
    <t>DRW Sup Pension Case</t>
  </si>
  <si>
    <t>DRW From</t>
  </si>
  <si>
    <t>Qualifying Service</t>
  </si>
  <si>
    <t>DRW Upto</t>
  </si>
  <si>
    <t>Total DRW</t>
  </si>
  <si>
    <t>Admissible DRW</t>
  </si>
  <si>
    <t>DRW Fam Pension Case</t>
  </si>
  <si>
    <t>VRS Pension Case</t>
  </si>
  <si>
    <t>Count Weightage</t>
  </si>
  <si>
    <t>33 Yrs from Joining</t>
  </si>
  <si>
    <t>60 Yrs from D.O.B.</t>
  </si>
  <si>
    <t>Weightage upto</t>
  </si>
  <si>
    <t>Weightage</t>
  </si>
  <si>
    <t>Dealing Assistant</t>
  </si>
  <si>
    <t>1)</t>
  </si>
  <si>
    <t>:</t>
  </si>
  <si>
    <t>LPC at Page No-</t>
  </si>
  <si>
    <t>2)</t>
  </si>
  <si>
    <t>3)</t>
  </si>
  <si>
    <t>Name &amp; Designation</t>
  </si>
  <si>
    <t>4)</t>
  </si>
  <si>
    <t>Address after Retirement-</t>
  </si>
  <si>
    <t>5)</t>
  </si>
  <si>
    <t>District-</t>
  </si>
  <si>
    <t>6)</t>
  </si>
  <si>
    <t>Pin-</t>
  </si>
  <si>
    <t>7)</t>
  </si>
  <si>
    <t>Sub-Treasury-</t>
  </si>
  <si>
    <t>Mobile-</t>
  </si>
  <si>
    <t>8)</t>
  </si>
  <si>
    <t>DDO Address</t>
  </si>
  <si>
    <t>Employee Code-</t>
  </si>
  <si>
    <t>Beneficiary ID-</t>
  </si>
  <si>
    <t>9)</t>
  </si>
  <si>
    <t>DDO Code-</t>
  </si>
  <si>
    <t>10)</t>
  </si>
  <si>
    <t>Relation</t>
  </si>
  <si>
    <t>Disable</t>
  </si>
  <si>
    <t>i)</t>
  </si>
  <si>
    <t>Sanctioned</t>
  </si>
  <si>
    <t>ii)</t>
  </si>
  <si>
    <t>iii)</t>
  </si>
  <si>
    <t>iv)</t>
  </si>
  <si>
    <t>Age on Next Birthday (in Years)-</t>
  </si>
  <si>
    <t>v)</t>
  </si>
  <si>
    <t>Commutation Ratio-</t>
  </si>
  <si>
    <t>11)</t>
  </si>
  <si>
    <t>Qualifying Service:-</t>
  </si>
  <si>
    <t>Gross Qualifying Service</t>
  </si>
  <si>
    <t>Total D.R.W. Service</t>
  </si>
  <si>
    <t>Gratuity</t>
  </si>
  <si>
    <t>Admissible D.R.W. Service</t>
  </si>
  <si>
    <t>Commutation</t>
  </si>
  <si>
    <t>Leave Salary</t>
  </si>
  <si>
    <t>vi)</t>
  </si>
  <si>
    <t>Total One-Time Benefit</t>
  </si>
  <si>
    <t>vii)</t>
  </si>
  <si>
    <t>Net Qualifying Service</t>
  </si>
  <si>
    <t>12)</t>
  </si>
  <si>
    <t>Net Service Units</t>
  </si>
  <si>
    <t>13)</t>
  </si>
  <si>
    <t>Last Pay Drawn</t>
  </si>
  <si>
    <t>Medical Allowance</t>
  </si>
  <si>
    <t>(P.T.O.)</t>
  </si>
  <si>
    <t>Monthly Pension</t>
  </si>
  <si>
    <t>Basic Superannuation Pension</t>
  </si>
  <si>
    <t>Reduced Superannuation Pension</t>
  </si>
  <si>
    <t>Normal Family Pension</t>
  </si>
  <si>
    <t>Total DCRG Admissible</t>
  </si>
  <si>
    <t>Provisional DCRG Sanctioned*</t>
  </si>
  <si>
    <t>*(Provisional Pension &amp; Provisional Gratuity is to be adjusted at Treasury)</t>
  </si>
  <si>
    <t>Provisional Pension Sanctioned*</t>
  </si>
  <si>
    <t>On Condition</t>
  </si>
  <si>
    <t>Minus Balance of GPF</t>
  </si>
  <si>
    <t>Total Recovery</t>
  </si>
  <si>
    <t>viii)</t>
  </si>
  <si>
    <t>Payable Net DCRG</t>
  </si>
  <si>
    <r>
      <t>महालेखाकार</t>
    </r>
    <r>
      <rPr>
        <sz val="14"/>
        <color rgb="FF000000"/>
        <rFont val="Mangal"/>
        <family val="1"/>
      </rPr>
      <t xml:space="preserve"> </t>
    </r>
    <r>
      <rPr>
        <b/>
        <sz val="14"/>
        <color rgb="FF000000"/>
        <rFont val="Mangal"/>
        <family val="1"/>
      </rPr>
      <t>का</t>
    </r>
    <r>
      <rPr>
        <sz val="14"/>
        <color rgb="FF000000"/>
        <rFont val="Mangal"/>
        <family val="1"/>
      </rPr>
      <t xml:space="preserve"> </t>
    </r>
    <r>
      <rPr>
        <b/>
        <sz val="14"/>
        <color rgb="FF212121"/>
        <rFont val="Mangal"/>
        <family val="1"/>
      </rPr>
      <t>कार्यालय(लेखा</t>
    </r>
    <r>
      <rPr>
        <sz val="14"/>
        <color rgb="FF212121"/>
        <rFont val="Mangal"/>
        <family val="1"/>
      </rPr>
      <t xml:space="preserve"> </t>
    </r>
    <r>
      <rPr>
        <b/>
        <sz val="14"/>
        <color rgb="FF212121"/>
        <rFont val="Mangal"/>
        <family val="1"/>
      </rPr>
      <t>एवं</t>
    </r>
    <r>
      <rPr>
        <sz val="14"/>
        <color rgb="FF212121"/>
        <rFont val="Mangal"/>
        <family val="1"/>
      </rPr>
      <t xml:space="preserve"> </t>
    </r>
    <r>
      <rPr>
        <b/>
        <sz val="14"/>
        <color rgb="FF212121"/>
        <rFont val="Mangal"/>
        <family val="1"/>
      </rPr>
      <t>हक)</t>
    </r>
    <r>
      <rPr>
        <sz val="14"/>
        <color rgb="FF212121"/>
        <rFont val="Mangal"/>
        <family val="1"/>
      </rPr>
      <t xml:space="preserve">, </t>
    </r>
    <r>
      <rPr>
        <b/>
        <sz val="14"/>
        <color rgb="FF212121"/>
        <rFont val="Mangal"/>
        <family val="1"/>
      </rPr>
      <t>त्रिपुरा</t>
    </r>
    <r>
      <rPr>
        <sz val="14"/>
        <color rgb="FF212121"/>
        <rFont val="Mangal"/>
        <family val="1"/>
      </rPr>
      <t xml:space="preserve">, </t>
    </r>
    <r>
      <rPr>
        <b/>
        <sz val="14"/>
        <color rgb="FF212121"/>
        <rFont val="Mangal"/>
        <family val="1"/>
      </rPr>
      <t>अगरतला</t>
    </r>
  </si>
  <si>
    <t>Office of the Accountant General(A&amp;E), Tripura, Agartala</t>
  </si>
  <si>
    <r>
      <t xml:space="preserve">Pin-799006, </t>
    </r>
    <r>
      <rPr>
        <sz val="10"/>
        <color theme="1"/>
        <rFont val="Times New Roman"/>
        <family val="1"/>
      </rPr>
      <t>दूरभाष</t>
    </r>
    <r>
      <rPr>
        <sz val="9"/>
        <color theme="1"/>
        <rFont val="Times New Roman"/>
        <family val="1"/>
      </rPr>
      <t xml:space="preserve">/Ph: 0381-2350139, </t>
    </r>
    <r>
      <rPr>
        <sz val="10"/>
        <color theme="1"/>
        <rFont val="Times New Roman"/>
        <family val="1"/>
      </rPr>
      <t>फैक्स</t>
    </r>
    <r>
      <rPr>
        <sz val="9"/>
        <color theme="1"/>
        <rFont val="Times New Roman"/>
        <family val="1"/>
      </rPr>
      <t xml:space="preserve">/Fax: 0381-2350103, </t>
    </r>
    <r>
      <rPr>
        <sz val="10"/>
        <color theme="1"/>
        <rFont val="Times New Roman"/>
        <family val="1"/>
      </rPr>
      <t>ई-मेल</t>
    </r>
    <r>
      <rPr>
        <sz val="9"/>
        <color theme="1"/>
        <rFont val="Times New Roman"/>
        <family val="1"/>
      </rPr>
      <t>/E-mail: agaetripura@cag.gov.in</t>
    </r>
  </si>
  <si>
    <t>Application No</t>
  </si>
  <si>
    <t>PPO No</t>
  </si>
  <si>
    <t>Treasury</t>
  </si>
  <si>
    <t>The Treasury Officer,</t>
  </si>
  <si>
    <t>Subject: -</t>
  </si>
  <si>
    <t>Sir/Madam,</t>
  </si>
  <si>
    <t>As per Sub-Rule (1)(b)(i) of Rule 51 &amp; Sub-Rule (6) of Rule 50 of CCS (Pension) Rules 1972</t>
  </si>
  <si>
    <t>DCRG</t>
  </si>
  <si>
    <t>Serial No.</t>
  </si>
  <si>
    <t>Name of family members</t>
  </si>
  <si>
    <t>Relationship</t>
  </si>
  <si>
    <t>Payable on equal share</t>
  </si>
  <si>
    <t>Details of D.C.R.G.:-</t>
  </si>
  <si>
    <t>Details of family members eligible for D.C.R.G. :-</t>
  </si>
  <si>
    <t>Payable Share</t>
  </si>
  <si>
    <t>Nomination</t>
  </si>
  <si>
    <t>Enclo:-Service book.(only for DDO)</t>
  </si>
  <si>
    <t>Sr. Accounts Officer</t>
  </si>
  <si>
    <t>Copy to-</t>
  </si>
  <si>
    <t>He/She is requested to appear before the Treasury/Sub-Treasury officer for further necessary action.</t>
  </si>
  <si>
    <r>
      <t>महालेखाकार</t>
    </r>
    <r>
      <rPr>
        <sz val="12"/>
        <color rgb="FF000000"/>
        <rFont val="Mangal"/>
        <family val="1"/>
      </rPr>
      <t xml:space="preserve"> </t>
    </r>
    <r>
      <rPr>
        <b/>
        <sz val="12"/>
        <color rgb="FF000000"/>
        <rFont val="Mangal"/>
        <family val="1"/>
      </rPr>
      <t>का</t>
    </r>
    <r>
      <rPr>
        <sz val="12"/>
        <color rgb="FF000000"/>
        <rFont val="Mangal"/>
        <family val="1"/>
      </rPr>
      <t xml:space="preserve"> </t>
    </r>
    <r>
      <rPr>
        <b/>
        <sz val="12"/>
        <color rgb="FF212121"/>
        <rFont val="Mangal"/>
        <family val="1"/>
      </rPr>
      <t>कार्यालय (लेखा</t>
    </r>
    <r>
      <rPr>
        <sz val="12"/>
        <color rgb="FF212121"/>
        <rFont val="Mangal"/>
        <family val="1"/>
      </rPr>
      <t xml:space="preserve"> </t>
    </r>
    <r>
      <rPr>
        <b/>
        <sz val="12"/>
        <color rgb="FF212121"/>
        <rFont val="Mangal"/>
        <family val="1"/>
      </rPr>
      <t>एवं</t>
    </r>
    <r>
      <rPr>
        <sz val="12"/>
        <color rgb="FF212121"/>
        <rFont val="Mangal"/>
        <family val="1"/>
      </rPr>
      <t xml:space="preserve"> </t>
    </r>
    <r>
      <rPr>
        <b/>
        <sz val="12"/>
        <color rgb="FF212121"/>
        <rFont val="Mangal"/>
        <family val="1"/>
      </rPr>
      <t>हक)</t>
    </r>
    <r>
      <rPr>
        <sz val="12"/>
        <color rgb="FF212121"/>
        <rFont val="Mangal"/>
        <family val="1"/>
      </rPr>
      <t xml:space="preserve">, </t>
    </r>
    <r>
      <rPr>
        <b/>
        <sz val="12"/>
        <color rgb="FF212121"/>
        <rFont val="Mangal"/>
        <family val="1"/>
      </rPr>
      <t>त्रिपुरा</t>
    </r>
    <r>
      <rPr>
        <sz val="12"/>
        <color rgb="FF212121"/>
        <rFont val="Mangal"/>
        <family val="1"/>
      </rPr>
      <t xml:space="preserve">, </t>
    </r>
    <r>
      <rPr>
        <b/>
        <sz val="12"/>
        <color rgb="FF212121"/>
        <rFont val="Mangal"/>
        <family val="1"/>
      </rPr>
      <t>अगरतला</t>
    </r>
  </si>
  <si>
    <t>Office of the Accountant General (A&amp;E),</t>
  </si>
  <si>
    <t>Tripura, Agartala – 799006</t>
  </si>
  <si>
    <t>Authorization letter for Death Gratuity</t>
  </si>
  <si>
    <t>The Death Gratuity of the deceased pensioner is hereby authorized in equal share in respect of the following family members mentioned below as per Survival certificate as mentioned in Sub-Rule (1)(b)(i) of Rule 51 &amp; Sub-Rule (6) of Rule 50 of CCS (Pension) Rules 1972 :-</t>
  </si>
  <si>
    <t>GPO No</t>
  </si>
  <si>
    <t>Details of Death Gratuity :-</t>
  </si>
  <si>
    <t>Recovery Details</t>
  </si>
  <si>
    <t>Admissible Total Amount -</t>
  </si>
  <si>
    <t>Death Gratuity Payable -</t>
  </si>
  <si>
    <t>Details of family members eligible for death gratuity:-</t>
  </si>
  <si>
    <t>Name of Family members</t>
  </si>
  <si>
    <t>He/She is requested to arrange for payment from T.O/S.T.O.</t>
  </si>
  <si>
    <t>He/She is requested to appear before the Treasury/Sub-Treasury officer for necessary action.</t>
  </si>
  <si>
    <t>Special Pension</t>
  </si>
  <si>
    <t>Special Pension in r/o</t>
  </si>
  <si>
    <t>Smt.</t>
  </si>
  <si>
    <t>Deceased Pensioner</t>
  </si>
  <si>
    <t>Designtion</t>
  </si>
  <si>
    <t>Family Pension Particulars</t>
  </si>
  <si>
    <t>Old PR No.</t>
  </si>
  <si>
    <t>Family Pension PR No.</t>
  </si>
  <si>
    <t>Old Application No.</t>
  </si>
  <si>
    <t>Family Pension Application No.</t>
  </si>
  <si>
    <t>Date of Appointment</t>
  </si>
  <si>
    <t>Date of Death</t>
  </si>
  <si>
    <t>Age at the time of Death</t>
  </si>
  <si>
    <t>Last Pay at Page No.</t>
  </si>
  <si>
    <t>Sanction order at Page No.</t>
  </si>
  <si>
    <t>Details of Authorised Family Pension</t>
  </si>
  <si>
    <t>Special Pension Appl. No.</t>
  </si>
  <si>
    <t>Special Pension PR No.</t>
  </si>
  <si>
    <t>Special Pension Calculation</t>
  </si>
  <si>
    <t>67 Years from DOB</t>
  </si>
  <si>
    <t>10 Years from DOD</t>
  </si>
  <si>
    <t>Special Pension Application No.</t>
  </si>
  <si>
    <t>Whichever is Earlier</t>
  </si>
  <si>
    <t>Sup.</t>
  </si>
  <si>
    <t>Revision PR</t>
  </si>
  <si>
    <t>Revision Type</t>
  </si>
  <si>
    <t>Change of Last pay due to notional increment</t>
  </si>
  <si>
    <t>Case/Application No.</t>
  </si>
  <si>
    <t>PPO No.</t>
  </si>
  <si>
    <t>2025-26</t>
  </si>
  <si>
    <t>Employee Name</t>
  </si>
  <si>
    <t>Spouse</t>
  </si>
  <si>
    <t>Sub-Treasury</t>
  </si>
  <si>
    <t>Pension</t>
  </si>
  <si>
    <t>Revised Superannuation Pension</t>
  </si>
  <si>
    <t>Revised Enh. Family Pension</t>
  </si>
  <si>
    <t>14)</t>
  </si>
  <si>
    <t>Revised Normal Family Pension</t>
  </si>
  <si>
    <t>Revised Last Pay</t>
  </si>
  <si>
    <t>D.C.R.G.</t>
  </si>
  <si>
    <t>Last Basic Pension</t>
  </si>
  <si>
    <t>15)</t>
  </si>
  <si>
    <t>Revised DCRG</t>
  </si>
  <si>
    <t>Rev Sup Pension</t>
  </si>
  <si>
    <t>16)</t>
  </si>
  <si>
    <t>Paid DCRG</t>
  </si>
  <si>
    <t>Rev Enh Fam Pension</t>
  </si>
  <si>
    <t>Upto</t>
  </si>
  <si>
    <t>17)</t>
  </si>
  <si>
    <t>Revised Payable DCRG</t>
  </si>
  <si>
    <t>Normal Fam Pension</t>
  </si>
  <si>
    <t>GPO No.</t>
  </si>
  <si>
    <t>18)</t>
  </si>
  <si>
    <t>19)</t>
  </si>
  <si>
    <t>Commutation Paid</t>
  </si>
  <si>
    <t>20)</t>
  </si>
  <si>
    <t>Revised Payable Commutation</t>
  </si>
  <si>
    <t>CPO No.</t>
  </si>
  <si>
    <t>Remarks 1) Family pension is payable to the admissible family member/members till his/her death or remarriage whichever is earlier.</t>
  </si>
  <si>
    <t>Remarks 2) Superannuation/Family pension is payable along with admissible Dearness Relief subject to usual terms &amp; conditions framed by Govt. of Tripura from time to time.</t>
  </si>
  <si>
    <t>Basic Pension</t>
  </si>
  <si>
    <t>With DR</t>
  </si>
  <si>
    <t>Pension Revision</t>
  </si>
  <si>
    <t>80 Years</t>
  </si>
  <si>
    <r>
      <t>प्रधान</t>
    </r>
    <r>
      <rPr>
        <b/>
        <sz val="12"/>
        <color rgb="FF000000"/>
        <rFont val="Courier New"/>
        <family val="3"/>
      </rPr>
      <t xml:space="preserve"> </t>
    </r>
    <r>
      <rPr>
        <b/>
        <sz val="12"/>
        <color rgb="FF000000"/>
        <rFont val="Mangal"/>
        <family val="1"/>
      </rPr>
      <t>महालेखाकार</t>
    </r>
    <r>
      <rPr>
        <sz val="12"/>
        <color rgb="FF000000"/>
        <rFont val="Mangal"/>
        <family val="1"/>
      </rPr>
      <t xml:space="preserve"> </t>
    </r>
    <r>
      <rPr>
        <b/>
        <sz val="12"/>
        <color rgb="FF000000"/>
        <rFont val="Mangal"/>
        <family val="1"/>
      </rPr>
      <t>का</t>
    </r>
    <r>
      <rPr>
        <sz val="12"/>
        <color rgb="FF000000"/>
        <rFont val="Mangal"/>
        <family val="1"/>
      </rPr>
      <t xml:space="preserve"> </t>
    </r>
    <r>
      <rPr>
        <b/>
        <sz val="12"/>
        <color rgb="FF212121"/>
        <rFont val="Mangal"/>
        <family val="1"/>
      </rPr>
      <t>कार्यालय (लेखा</t>
    </r>
    <r>
      <rPr>
        <sz val="12"/>
        <color rgb="FF212121"/>
        <rFont val="Mangal"/>
        <family val="1"/>
      </rPr>
      <t xml:space="preserve"> </t>
    </r>
    <r>
      <rPr>
        <b/>
        <sz val="12"/>
        <color rgb="FF212121"/>
        <rFont val="Mangal"/>
        <family val="1"/>
      </rPr>
      <t>एवं</t>
    </r>
    <r>
      <rPr>
        <sz val="12"/>
        <color rgb="FF212121"/>
        <rFont val="Mangal"/>
        <family val="1"/>
      </rPr>
      <t xml:space="preserve"> </t>
    </r>
    <r>
      <rPr>
        <b/>
        <sz val="12"/>
        <color rgb="FF212121"/>
        <rFont val="Mangal"/>
        <family val="1"/>
      </rPr>
      <t>हक)</t>
    </r>
    <r>
      <rPr>
        <sz val="12"/>
        <color rgb="FF212121"/>
        <rFont val="Mangal"/>
        <family val="1"/>
      </rPr>
      <t xml:space="preserve">, </t>
    </r>
    <r>
      <rPr>
        <b/>
        <sz val="12"/>
        <color rgb="FF212121"/>
        <rFont val="Mangal"/>
        <family val="1"/>
      </rPr>
      <t>त्रिपुरा</t>
    </r>
    <r>
      <rPr>
        <sz val="12"/>
        <color rgb="FF212121"/>
        <rFont val="Mangal"/>
        <family val="1"/>
      </rPr>
      <t xml:space="preserve">, </t>
    </r>
    <r>
      <rPr>
        <b/>
        <sz val="12"/>
        <color rgb="FF212121"/>
        <rFont val="Mangal"/>
        <family val="1"/>
      </rPr>
      <t>अगरतला</t>
    </r>
  </si>
  <si>
    <t>Office of the Principal Accountant General (A&amp;E),</t>
  </si>
  <si>
    <t>Revision PPO No.</t>
  </si>
  <si>
    <t>Authorization letter for Revision of Pension/Family Pension</t>
  </si>
  <si>
    <t>Revised Pension</t>
  </si>
  <si>
    <t>w.e.f.</t>
  </si>
  <si>
    <t>upto</t>
  </si>
  <si>
    <t>SMP</t>
  </si>
  <si>
    <t>DDO Code</t>
  </si>
  <si>
    <t>Address</t>
  </si>
  <si>
    <t xml:space="preserve">          Necessary amendments of both halves of PPO may please be made at the rates mentioned in above para's under your attestation and also under intimation to this office.</t>
  </si>
  <si>
    <t>Other particulars of the PPO will remain unchanged.</t>
  </si>
  <si>
    <t>Age Next Birthday</t>
  </si>
  <si>
    <t>Commutation Value</t>
  </si>
  <si>
    <t>₹</t>
  </si>
  <si>
    <t>Dharmanagar,</t>
  </si>
  <si>
    <t>North District,</t>
  </si>
  <si>
    <t>North District</t>
  </si>
  <si>
    <t>Dharmanagar</t>
  </si>
  <si>
    <t>/-</t>
  </si>
  <si>
    <t>Kanchanpur,</t>
  </si>
  <si>
    <t>Unakoti District</t>
  </si>
  <si>
    <t>Kailashahar</t>
  </si>
  <si>
    <t>ROP'1988</t>
  </si>
  <si>
    <t>Panisagar,</t>
  </si>
  <si>
    <t>Dhalai District</t>
  </si>
  <si>
    <t>Ambassa</t>
  </si>
  <si>
    <t>Kailashahar,</t>
  </si>
  <si>
    <t>Unakoti District,</t>
  </si>
  <si>
    <t>Khowai District</t>
  </si>
  <si>
    <t>Khowai</t>
  </si>
  <si>
    <t>Kumarghat,</t>
  </si>
  <si>
    <t>West District</t>
  </si>
  <si>
    <t>Agartala-1</t>
  </si>
  <si>
    <t>Ambassa,</t>
  </si>
  <si>
    <t>Dhalai District,</t>
  </si>
  <si>
    <t>Sepahijala District</t>
  </si>
  <si>
    <t>Bishalgarh</t>
  </si>
  <si>
    <t>LTV,</t>
  </si>
  <si>
    <t>Gomati District</t>
  </si>
  <si>
    <t>Udaipur</t>
  </si>
  <si>
    <t>Kamalpur,</t>
  </si>
  <si>
    <t>Group-A</t>
  </si>
  <si>
    <t>South District</t>
  </si>
  <si>
    <t>Belonia</t>
  </si>
  <si>
    <t>Gandacherra,</t>
  </si>
  <si>
    <t>Group-B</t>
  </si>
  <si>
    <t>Khowai,</t>
  </si>
  <si>
    <t>Khowai District,</t>
  </si>
  <si>
    <t>Group-C</t>
  </si>
  <si>
    <t>Teliamura,</t>
  </si>
  <si>
    <t>Group-D</t>
  </si>
  <si>
    <t>Agartala,</t>
  </si>
  <si>
    <t>West District,</t>
  </si>
  <si>
    <t>Mohanpur,</t>
  </si>
  <si>
    <t>MACP</t>
  </si>
  <si>
    <t>Jirania,</t>
  </si>
  <si>
    <t>Promotion</t>
  </si>
  <si>
    <t>Sonamura,</t>
  </si>
  <si>
    <t>Sepahijala District,</t>
  </si>
  <si>
    <t>ROP'1999</t>
  </si>
  <si>
    <t>Bishalgarh,</t>
  </si>
  <si>
    <t>Jamuijala</t>
  </si>
  <si>
    <t>Udaipur,</t>
  </si>
  <si>
    <t>Gomati District,</t>
  </si>
  <si>
    <t>Amarpur,</t>
  </si>
  <si>
    <t>Karbook,</t>
  </si>
  <si>
    <t>Belonia,</t>
  </si>
  <si>
    <t>South District,</t>
  </si>
  <si>
    <t>Shantirbazar,</t>
  </si>
  <si>
    <t>Sabroom,</t>
  </si>
  <si>
    <t>District</t>
  </si>
  <si>
    <t>Kanchanpur</t>
  </si>
  <si>
    <t>Panisagar</t>
  </si>
  <si>
    <t>Kumarghat</t>
  </si>
  <si>
    <t>LTV</t>
  </si>
  <si>
    <t>Kamalpur</t>
  </si>
  <si>
    <t>Ganda Twisa</t>
  </si>
  <si>
    <t>Teliamura</t>
  </si>
  <si>
    <t>Jirania</t>
  </si>
  <si>
    <t>Mohanpur</t>
  </si>
  <si>
    <t>Sonamura</t>
  </si>
  <si>
    <t>Amarpur</t>
  </si>
  <si>
    <t>Sabroom</t>
  </si>
  <si>
    <t>Santirbazar</t>
  </si>
  <si>
    <t>Heldup</t>
  </si>
  <si>
    <t>DRW Pension Case</t>
  </si>
  <si>
    <t>EOL</t>
  </si>
  <si>
    <t>Yes</t>
  </si>
  <si>
    <t>Vol. Pension Case</t>
  </si>
  <si>
    <t>No</t>
  </si>
  <si>
    <t>Suspension</t>
  </si>
  <si>
    <t>DRW Family Pension Case</t>
  </si>
  <si>
    <t>Md.</t>
  </si>
  <si>
    <t>Change of Last pay</t>
  </si>
  <si>
    <t>Late</t>
  </si>
  <si>
    <t>1.74 Revision of Pension</t>
  </si>
  <si>
    <t>DCRG Held-up</t>
  </si>
  <si>
    <t>1.86 Revision of Pension</t>
  </si>
  <si>
    <r>
      <t>Flag-A</t>
    </r>
    <r>
      <rPr>
        <sz val="12"/>
        <color theme="1"/>
        <rFont val="Calibri"/>
        <family val="2"/>
      </rPr>
      <t>ᶜ</t>
    </r>
  </si>
  <si>
    <t>Grade pay Revision of Pension</t>
  </si>
  <si>
    <t>Revision of Pension as per ROP'2017</t>
  </si>
  <si>
    <t>Revision of pension as per ROP'2018</t>
  </si>
  <si>
    <t>Minor Son</t>
  </si>
  <si>
    <t>Minor Daughter</t>
  </si>
  <si>
    <t>Stepson</t>
  </si>
  <si>
    <t>Adopted Son</t>
  </si>
  <si>
    <t>Unmarried Daughter</t>
  </si>
  <si>
    <t>Stepdaughter</t>
  </si>
  <si>
    <t>Adopted Daughter</t>
  </si>
  <si>
    <t>Widow Daughter</t>
  </si>
  <si>
    <t>Divorced Daughter</t>
  </si>
  <si>
    <t>Father</t>
  </si>
  <si>
    <t>Mother</t>
  </si>
  <si>
    <t>Post</t>
  </si>
  <si>
    <t>MTS</t>
  </si>
  <si>
    <t>LFW</t>
  </si>
  <si>
    <t>Farm Worker</t>
  </si>
  <si>
    <t>Mazdoor</t>
  </si>
  <si>
    <t>Peon</t>
  </si>
  <si>
    <t>Chowkidar</t>
  </si>
  <si>
    <t>Helper-II</t>
  </si>
  <si>
    <t>Helper</t>
  </si>
  <si>
    <t>Sr. Helper</t>
  </si>
  <si>
    <t>Inkman</t>
  </si>
  <si>
    <t>Driver</t>
  </si>
  <si>
    <t>Roller Driver</t>
  </si>
  <si>
    <t>ARDA</t>
  </si>
  <si>
    <t>Binder</t>
  </si>
  <si>
    <t>PPO</t>
  </si>
  <si>
    <t>PLM</t>
  </si>
  <si>
    <t>DCSBO</t>
  </si>
  <si>
    <t>Jr. Lineman</t>
  </si>
  <si>
    <t>Sr. Electrician</t>
  </si>
  <si>
    <t>Agri. Asstt.</t>
  </si>
  <si>
    <t>Agri. Inspector</t>
  </si>
  <si>
    <t>Agri. Officer</t>
  </si>
  <si>
    <t>Jr. Physical Instructor</t>
  </si>
  <si>
    <t>Physical Instructor</t>
  </si>
  <si>
    <t>Operator</t>
  </si>
  <si>
    <t>L.D.C.</t>
  </si>
  <si>
    <t>U.D.C.</t>
  </si>
  <si>
    <t>Head Clerk</t>
  </si>
  <si>
    <t>Office Superintendent</t>
  </si>
  <si>
    <t>Asstt. Engineer</t>
  </si>
  <si>
    <t>Executive Engineer</t>
  </si>
  <si>
    <t>T.C.S. Gr-II</t>
  </si>
  <si>
    <t>T.P.S. Gr-I</t>
  </si>
  <si>
    <t>Asstt. Director</t>
  </si>
  <si>
    <t>Director</t>
  </si>
  <si>
    <t>Scales as per</t>
  </si>
  <si>
    <t>Existing Pay Scales</t>
  </si>
  <si>
    <t>Revised Scale (₹)</t>
  </si>
  <si>
    <t>Revised Grade Pay</t>
  </si>
  <si>
    <t>ROP 1982</t>
  </si>
  <si>
    <t>ROP 1988</t>
  </si>
  <si>
    <t>ROP 1999</t>
  </si>
  <si>
    <t>ROP 2009 &amp; 2012</t>
  </si>
  <si>
    <t>ROP 2015</t>
  </si>
  <si>
    <t>(2600-55-2985-60-3285-65-3545)</t>
  </si>
  <si>
    <t>PB-1</t>
  </si>
  <si>
    <t>(2650-65-3300-70-4350)</t>
  </si>
  <si>
    <t>(2750-70-3800-75-4925)</t>
  </si>
  <si>
    <t>(2900-75-3800-80-4760-90-5660)</t>
  </si>
  <si>
    <t>(3050-80-4010-90-4910-100-5910)</t>
  </si>
  <si>
    <t>PB-2</t>
  </si>
  <si>
    <t>(3200-90-4280-100-5480-110-6030)</t>
  </si>
  <si>
    <t>(3300-100-4800-110-5900-120-7100)</t>
  </si>
  <si>
    <t>(4000-110-5650-120-6850-130-7890)</t>
  </si>
  <si>
    <t>(4200-120-6000-130-7300-150-8650)</t>
  </si>
  <si>
    <t>(5000-130-6690-150-8940-170-10300)</t>
  </si>
  <si>
    <t>(5500-150-7750-175-9500-200-10700)</t>
  </si>
  <si>
    <t>PB-3</t>
  </si>
  <si>
    <t>(6500-200-10500-225-12300)</t>
  </si>
  <si>
    <t>(7450-225-11500-250-13000)</t>
  </si>
  <si>
    <t>(7800-275-10000-300-15100)</t>
  </si>
  <si>
    <t>PB-4</t>
  </si>
  <si>
    <t>(10000-300-15100)</t>
  </si>
  <si>
    <t>(10650-325-15850)</t>
  </si>
  <si>
    <t>(11000-350-18000)</t>
  </si>
  <si>
    <t>(11150-375-18275)</t>
  </si>
  <si>
    <t>(12000-400-18400)</t>
  </si>
  <si>
    <t>(14150-450-20000)</t>
  </si>
  <si>
    <t>HAG+Scale</t>
  </si>
  <si>
    <t>37400-67000</t>
  </si>
  <si>
    <t>(18400-500-22400)</t>
  </si>
  <si>
    <t>Apex Scale</t>
  </si>
  <si>
    <t>52000-77000</t>
  </si>
  <si>
    <t>Nil</t>
  </si>
  <si>
    <t>Agriculture/Power</t>
  </si>
  <si>
    <t>Scale</t>
  </si>
  <si>
    <t>ROP'88</t>
  </si>
  <si>
    <t>ROP'99</t>
  </si>
  <si>
    <t>ROP'15</t>
  </si>
  <si>
    <t>Joining</t>
  </si>
  <si>
    <t>ACP-1</t>
  </si>
  <si>
    <t>ACP-2</t>
  </si>
  <si>
    <t>ACP-3</t>
  </si>
  <si>
    <t>Addl. Director/ Superintanding Engineer</t>
  </si>
  <si>
    <t>Joint Director/ Soil Survey Officer/ Sr. Horticulturist/ Ex. Engineer (Mech./Civil)</t>
  </si>
  <si>
    <t>Dy. Director/ Asstt. Engineer/ Horticulturist/ Credit Planning Officer/ Principal of Gram Sevak Trg. Center/ Dy. Soil Survey Officer/ Dy. Soil Conservation Officer/ Dy. Project Officer/ Sr. Agronomist/ Sr. Plant Breader/ Vegetable Seeds Production Officer/ Sr.Editor</t>
  </si>
  <si>
    <t>Assistant Director</t>
  </si>
  <si>
    <t>(Only Promotion)</t>
  </si>
  <si>
    <t>Statistical Officer/ Agri. Officer/ Technical Officer (Engg.)/ Superintandant/ Accounts Ofiicer (Audit)/ Statistician/ Instructor (Engg.)/ L.U.D.O. (Engg.)/ Foreman/ Sr. Foreman/ Jr. Surveyor/ Sr. Lab. Asstt./ Marketing Officer/ Market Secty.</t>
  </si>
  <si>
    <t>Power</t>
  </si>
  <si>
    <t>Jr. Engineer(Degree) [V(A)]</t>
  </si>
  <si>
    <t>Jr. Engineer(Degree) [IV]</t>
  </si>
  <si>
    <t>-</t>
  </si>
  <si>
    <t>Jr. Engineer(Deploma) [V(B)]</t>
  </si>
  <si>
    <t>Jr. Engineer(Deploma) [V(A)]</t>
  </si>
  <si>
    <t>Jr. Engineer(Deploma) [IV]</t>
  </si>
  <si>
    <t>Extension Officer(Engg)(Deploma) [Agri]</t>
  </si>
  <si>
    <t>Jr. Engineer(Gr-I)(Deploma) [Agri]</t>
  </si>
  <si>
    <t>Jr. Engineer(Deploma) [Agri]</t>
  </si>
  <si>
    <t>Asstt. Statistical Officer/Librarian</t>
  </si>
  <si>
    <t xml:space="preserve"> (Various) Inspector/ Jr.Artist/ Head Clerk/ Estimator/ Draftsman</t>
  </si>
  <si>
    <t>Field Asstt./ Investigator/ Sr. Computer/ Jr. Scientific Asstt./ Craft Instructor/ Asstt. Market Secty.</t>
  </si>
  <si>
    <t>Asstt. Inspector</t>
  </si>
  <si>
    <t>Agri. Asstt./ Processing Asstt./ VLW/ Jr. Photographer &amp; Plate Maker</t>
  </si>
  <si>
    <t>LDC/ Work Asstt./ Tracker/ Asstt. Investigator/ Computer/ Skilled Horti. Helper/ Sr. Operator/ Jr. Fitter/ Jr. Welder/ Jr. Blacksmith/ Jr. Sheet Metal Worker/ Store Keeper(Engg.)/ Book Binder</t>
  </si>
  <si>
    <t>Pump Operator</t>
  </si>
  <si>
    <t>Jr. Operator/ DCSBO/ Jr. Mistry/ Jr. Pipe Line Mistry/Jr. Lineman</t>
  </si>
  <si>
    <t>Sr. Attendant/ Plant Protection Worker/ Trained Mali/ Asstt. Instructor/ Sr. Helper/ Khalasi</t>
  </si>
  <si>
    <t>Helper Grade-I</t>
  </si>
  <si>
    <t>Helper Grade-II</t>
  </si>
  <si>
    <t>DDO CODE</t>
  </si>
  <si>
    <t>DDO ADDRESS</t>
  </si>
  <si>
    <t>PHONE NO</t>
  </si>
  <si>
    <t>DDO EMAIL ID</t>
  </si>
  <si>
    <t>Inspector of Schools, Kanchanpur, North Dist.</t>
  </si>
  <si>
    <t>superagrikanchanpur@gmail.com</t>
  </si>
  <si>
    <t>Search by DDO Code</t>
  </si>
  <si>
    <t xml:space="preserve">Superintendent of Physical Education, Youth Affairs &amp; Sports, Kanchanpur         </t>
  </si>
  <si>
    <t>thangaroyte@gmail.com</t>
  </si>
  <si>
    <t>Zonal Development Officer, North Zone, TTAADC, Machmara, North Dist.</t>
  </si>
  <si>
    <t xml:space="preserve">Superintendent of Horticulture, Kanchanpur, North Dist.                                  </t>
  </si>
  <si>
    <t>supdthortikcp@gmail.com</t>
  </si>
  <si>
    <t>Asstt.Controller, L.M., Dharmanagar</t>
  </si>
  <si>
    <t>Assistant Director (Seri), M.B. Unit Dharmanagar, North Dist.</t>
  </si>
  <si>
    <t>cdpomnd@gmail.com</t>
  </si>
  <si>
    <t xml:space="preserve">Assistant Director (VG), District Employment Exchange, Dharmanagar                 </t>
  </si>
  <si>
    <t>deedmn2017@gmail.com</t>
  </si>
  <si>
    <t>drcsnorth.cooop@gmail.com</t>
  </si>
  <si>
    <t>cdpokdmtl@gmail.com</t>
  </si>
  <si>
    <t>Deputy Director of Agriculture, North Tripura, Dharmanagar</t>
  </si>
  <si>
    <t>Executive Engineer, Agriculture, North Dist.</t>
  </si>
  <si>
    <t>Executive Engineer,PWD( R&amp;B), Dharmanagar Division, Dharmanagar, North Dist.</t>
  </si>
  <si>
    <t>executiveengineerdharmanagar@gmail.com</t>
  </si>
  <si>
    <t>Principal, A.W.T.C., Ramnagar</t>
  </si>
  <si>
    <t>p.o.icdp2@gmail.com</t>
  </si>
  <si>
    <t>SUB-REGISTRAR</t>
  </si>
  <si>
    <t>sfdmr.north@gmail.com</t>
  </si>
  <si>
    <t>stdharmanagar@yahoo.in</t>
  </si>
  <si>
    <t>Asstt. Director, North District Youth Affairs &amp; Sports, Dharmanagar, North Tripura</t>
  </si>
  <si>
    <t>Principal, I.T.I., Dharmanagar</t>
  </si>
  <si>
    <t>eedwsdmn@gmail.com</t>
  </si>
  <si>
    <t>cdpodmnnp@gmail.com</t>
  </si>
  <si>
    <t>sdwo.dmr-tr@gov.in</t>
  </si>
  <si>
    <t xml:space="preserve">ADM &amp; Collector of Excise, North Dist.                                                                </t>
  </si>
  <si>
    <t>excisenorth@gmail.com</t>
  </si>
  <si>
    <t xml:space="preserve">Deputy Commissioner of Taxes, Churaibari                                                                     </t>
  </si>
  <si>
    <t>stcrb.tax-tr@gov.in</t>
  </si>
  <si>
    <t>District Welfare Officer, North Dist.</t>
  </si>
  <si>
    <t>dwonorth@gmail.com</t>
  </si>
  <si>
    <t>District Transport Officer, North Dist., Dharmanagar</t>
  </si>
  <si>
    <t>Programme Officer, North Dist.</t>
  </si>
  <si>
    <t>north.dise@gmail.com</t>
  </si>
  <si>
    <t>District Forest Officer, North Dist.</t>
  </si>
  <si>
    <t xml:space="preserve">Deputy Director of Horticulture, North Dist., Dharmanagar                               </t>
  </si>
  <si>
    <t>ddhnorth@gmail.com</t>
  </si>
  <si>
    <t>treasury.dmn@gmail.com</t>
  </si>
  <si>
    <t>Labour Officer, North Tripura District Labour Office</t>
  </si>
  <si>
    <t>arddunakoti@gmail.com</t>
  </si>
  <si>
    <t xml:space="preserve">Assistant Employment Officer, District Employment Exchange, Kailashahar         </t>
  </si>
  <si>
    <t>Asstt. Director, District ICA Office, Unakoti Dist., Kailashahar</t>
  </si>
  <si>
    <t>bikashsarkar2395@gmail.com</t>
  </si>
  <si>
    <t>dsounakoti939@gmail.com</t>
  </si>
  <si>
    <t>eeklspwd@yahoo.in</t>
  </si>
  <si>
    <t xml:space="preserve">General Manager, DIC kailashahar                                                                            </t>
  </si>
  <si>
    <t>gmdicunakoti@gmail.com</t>
  </si>
  <si>
    <t xml:space="preserve">Inspector of Factories &amp; Boilers, Factories &amp; Boilers Organisation, Unakoti Dist  </t>
  </si>
  <si>
    <t>ifukls@yahoo.com</t>
  </si>
  <si>
    <t>Inspector of Schools, Kailasahar, Unakoti Dist.</t>
  </si>
  <si>
    <t>Asstt. Director, Unakoti District Youth Affairs &amp; Sports Office , Kailasahar, Unakoti Tripura</t>
  </si>
  <si>
    <t>Superintendent of Agriculture, Gournagar Agri. Sub-Division, Kailashahar, Unakoti Tripura</t>
  </si>
  <si>
    <t>sakumarghat@gmail.com</t>
  </si>
  <si>
    <t>exciseunakoti@gmail.com</t>
  </si>
  <si>
    <t xml:space="preserve">Superintendent of Taxes, Kailashahar                                                                       </t>
  </si>
  <si>
    <t>stkls.tax-tr@gov.in</t>
  </si>
  <si>
    <t>cdpognr@gmail.com</t>
  </si>
  <si>
    <t>iti.kailashahar@gmail.com</t>
  </si>
  <si>
    <t>dietkailashahar2004@gmail.com</t>
  </si>
  <si>
    <t>cdpoklsnp@gmail.com</t>
  </si>
  <si>
    <t>cdpodhq@gmail.com</t>
  </si>
  <si>
    <t>799277@gmail.com</t>
  </si>
  <si>
    <t>ddaunakoti2016@gmail.com</t>
  </si>
  <si>
    <t>cdpocmn@gmail.com</t>
  </si>
  <si>
    <t>cdpomnu@gmail.com</t>
  </si>
  <si>
    <t>sachawmanu2014@gmail.com</t>
  </si>
  <si>
    <t>supdtoffisheries@gmail.com</t>
  </si>
  <si>
    <t>H.O., Sub-Divisional Youth Affairs &amp; Sports, LTV, Dhalai Dist.</t>
  </si>
  <si>
    <t>sportsofficerltv@gmail.com</t>
  </si>
  <si>
    <t>arddnalkata@gmail.com</t>
  </si>
  <si>
    <t>ltvdivisionpwdmanu@gmail.com</t>
  </si>
  <si>
    <t xml:space="preserve">Superintendent of Horticulture &amp; Soil Conservation, Manu, Dhalai                       </t>
  </si>
  <si>
    <t>shscmanu@gmail.com</t>
  </si>
  <si>
    <t>manudgm03@gmail.com</t>
  </si>
  <si>
    <t>Sub-Registrar</t>
  </si>
  <si>
    <t>sroltv.clt@gmail.com</t>
  </si>
  <si>
    <t>eerddd2@gmail.com</t>
  </si>
  <si>
    <t>sdwoltv@gmail.com</t>
  </si>
  <si>
    <t>sdfomanu@gmail.com</t>
  </si>
  <si>
    <t>itiltvalley2017@gmail.com</t>
  </si>
  <si>
    <t>stoltv@yahoo.com</t>
  </si>
  <si>
    <t>districticadhalai@gmail.com</t>
  </si>
  <si>
    <t>deputyregistrardhalai@gmail.com</t>
  </si>
  <si>
    <t>Deputy Director of Agriculture, Dhalai District, Jawaharnagar</t>
  </si>
  <si>
    <t>ddadhalai@gmail.com</t>
  </si>
  <si>
    <t>ddarddhalai@gmail.com</t>
  </si>
  <si>
    <t>ptgdhalaitrdivision@yahoo.com</t>
  </si>
  <si>
    <t xml:space="preserve">Deputy Project Officer, Agriculture, Dhalai District                                                  </t>
  </si>
  <si>
    <t>dpoambassa042@gmail.com</t>
  </si>
  <si>
    <t xml:space="preserve">State Employment Officer, District Employment Exchange,  Ambassa                   </t>
  </si>
  <si>
    <t>deedhalai1996@gmail.com</t>
  </si>
  <si>
    <t>dise.dh@gmail.com</t>
  </si>
  <si>
    <t>srambassa@gmail.com</t>
  </si>
  <si>
    <t>dto.abs@gmail.com</t>
  </si>
  <si>
    <t>dgmambassa@yahoo.com</t>
  </si>
  <si>
    <t>dwsdhalaiambassa@gmail.com</t>
  </si>
  <si>
    <t>eeamb2016@gmail.com</t>
  </si>
  <si>
    <t>eerdddhalai1@gmail.com</t>
  </si>
  <si>
    <t>gmdicdhalai@gmail.com</t>
  </si>
  <si>
    <t>lodhalai04@gmail.com</t>
  </si>
  <si>
    <t>dwscircleambassa@gmail.com</t>
  </si>
  <si>
    <t>dpo.dhalai44@gmail.com</t>
  </si>
  <si>
    <t>cdpoamb@gmail.com</t>
  </si>
  <si>
    <t>dwo.dhalai@gmail.com</t>
  </si>
  <si>
    <t xml:space="preserve">Superintendent of Excise, Dhalai                                                                               </t>
  </si>
  <si>
    <t>excisedhalai@gmail.com</t>
  </si>
  <si>
    <t>dhalaitreasury@gmail.com</t>
  </si>
  <si>
    <t>itiambassa@gmail.com</t>
  </si>
  <si>
    <t xml:space="preserve">Horticulurist, Dhalai District, Ambassa.                                                                     </t>
  </si>
  <si>
    <t>dhalai.ddh@gmail.com</t>
  </si>
  <si>
    <t xml:space="preserve">Superintendent of Taxes, Ambassa                                                                           </t>
  </si>
  <si>
    <t>stamb.tax-tr@gov.in</t>
  </si>
  <si>
    <t xml:space="preserve">Dy. Director, Dhalai District Youth Affairs &amp; Sports Office                                      </t>
  </si>
  <si>
    <t>ddyasdhalai@gmail.com</t>
  </si>
  <si>
    <t>ac.legalmetrology.dhalai@gmail.com</t>
  </si>
  <si>
    <t>dsodhalai18@gmail.com</t>
  </si>
  <si>
    <t>5thcircleambassa@gmail.com</t>
  </si>
  <si>
    <t>murasingn@gmail.com</t>
  </si>
  <si>
    <t>agmec5tsecl@gmail.com</t>
  </si>
  <si>
    <t>Executive Engineer, Internal Electrification Division, PWD, Ambassa, Dhalai Tripura</t>
  </si>
  <si>
    <t>iedivisionambassa@gmail.com</t>
  </si>
  <si>
    <t>sfambassa@gmail.com</t>
  </si>
  <si>
    <t>serd4th@gmail.com</t>
  </si>
  <si>
    <t>sdwoabs@gmail.com</t>
  </si>
  <si>
    <t>sdfoabs@gmail.com</t>
  </si>
  <si>
    <t>distfodhalai@yahoo.in</t>
  </si>
  <si>
    <t>ambassasaa@gmail.com</t>
  </si>
  <si>
    <t>adarddblsalemadhalai06004@gmail.com</t>
  </si>
  <si>
    <t>arcskamalpur@gmail.com</t>
  </si>
  <si>
    <t>cdposlm@gmail.com</t>
  </si>
  <si>
    <t>sfkmp200@gmail.com</t>
  </si>
  <si>
    <t>H.O., Sub-Divisional Youth Affairs &amp; Sports Office, Kamalpur, Dhalai Tripura</t>
  </si>
  <si>
    <t>sdyaskmp2018@gmail.com</t>
  </si>
  <si>
    <t>cdpokmp@gmail.com</t>
  </si>
  <si>
    <t xml:space="preserve">Principal, ITI-Kamalpur, Chulubari, Kamalpur, Dhalai                                               </t>
  </si>
  <si>
    <t>itikamalpur16@gmail.com</t>
  </si>
  <si>
    <t>adarddkhw1111@gmail.com</t>
  </si>
  <si>
    <t xml:space="preserve">Assistant Director, Horti &amp; Soil Conservation, Khowai                                             </t>
  </si>
  <si>
    <t>khowai_horti@rediffmail.com</t>
  </si>
  <si>
    <t>cdpokh@gmail.com</t>
  </si>
  <si>
    <t>cdpotls@gmail.com</t>
  </si>
  <si>
    <t>Assistant Director, District Youth Affairs &amp; Sports office, Khowai District, Tripura</t>
  </si>
  <si>
    <t>districtyaskh@gmail.com</t>
  </si>
  <si>
    <t>srokhowai@gmail.com</t>
  </si>
  <si>
    <t>Superintendent of Agriculture, Khowai Agri. Sub-Division, Khowai</t>
  </si>
  <si>
    <t>agrikhowai@gmail.com</t>
  </si>
  <si>
    <t>sfkhowai@yahoo.com</t>
  </si>
  <si>
    <t>sa.tulashikhar@gmail.com</t>
  </si>
  <si>
    <t>cdpopdb@gmail.com</t>
  </si>
  <si>
    <t xml:space="preserve">Chief Executive Officer, Khowai Municipal Council                                                  </t>
  </si>
  <si>
    <t>khowainagarpanchayat@gmail.com</t>
  </si>
  <si>
    <t>to.khowai@gmail.com</t>
  </si>
  <si>
    <t>electricaldiv.khowai@gmail.com</t>
  </si>
  <si>
    <t>pwdkhw@gmail.com</t>
  </si>
  <si>
    <t>cdpokhowainp@gmail.com</t>
  </si>
  <si>
    <t>sdwkhowai@gmail.com</t>
  </si>
  <si>
    <t xml:space="preserve">ADM &amp; Collector of Excise, Khowai                                                                           </t>
  </si>
  <si>
    <t>excisekhowai@gmail.com</t>
  </si>
  <si>
    <t>dwokhowai@gmail.com</t>
  </si>
  <si>
    <t>itikhowai@gmail.com</t>
  </si>
  <si>
    <t>disekhowai@gmail.com</t>
  </si>
  <si>
    <t>dicakhowai@gmail.com</t>
  </si>
  <si>
    <t>asdfokhowai@gmail.com</t>
  </si>
  <si>
    <t xml:space="preserve">Deputy Director of Horticulture, Khowai District, Khowai                                       </t>
  </si>
  <si>
    <t>ddhkhowai@gmail.com</t>
  </si>
  <si>
    <t>Deputy Director of Agriculture, Khowai, Khowai Dist.</t>
  </si>
  <si>
    <t>dda.khowai2015@gmail.com</t>
  </si>
  <si>
    <t>labourofficerkhowai@gmail.com</t>
  </si>
  <si>
    <t>Superintendent of Agriculture, Padmabil Agri. Sub-Division, Padmabil, Khowai Dist.</t>
  </si>
  <si>
    <t>sapadmabil@gmail.com</t>
  </si>
  <si>
    <t>ddardkhowai@gmail.com</t>
  </si>
  <si>
    <t>8007ddo@gmail.com</t>
  </si>
  <si>
    <t>ddo.urban-tr@gov.in</t>
  </si>
  <si>
    <t>cdpourban@gmail.com</t>
  </si>
  <si>
    <t>Deputy Director, Directorate of Youth Affairs &amp; Sports, Agartala</t>
  </si>
  <si>
    <t xml:space="preserve">Development Officer,                                                                                                 </t>
  </si>
  <si>
    <t>dif_agt@yahoo.in</t>
  </si>
  <si>
    <t>Asstt. Director, West District Youth Affairs &amp; Sports, Badharghat, Agartala, West Tripura</t>
  </si>
  <si>
    <t>8073ddo@gmail.com</t>
  </si>
  <si>
    <t>jsrevenue2018@gmail.com</t>
  </si>
  <si>
    <t>wt_dise@yahoo.com</t>
  </si>
  <si>
    <t>ee2tocerd@gmail.com</t>
  </si>
  <si>
    <t>rdsrore10@gamil.com</t>
  </si>
  <si>
    <t>vigilance.s@yahoo.com</t>
  </si>
  <si>
    <t>8227ddo@gmail.com</t>
  </si>
  <si>
    <t xml:space="preserve">Principal, ISR                                                                                                                </t>
  </si>
  <si>
    <t>8231ddo@gmail.com</t>
  </si>
  <si>
    <t xml:space="preserve">Principal, IVH(B)                                                                                                          </t>
  </si>
  <si>
    <t>lvhboysshcool@gmail.com</t>
  </si>
  <si>
    <t>lvhgirls1@gmail.com</t>
  </si>
  <si>
    <t>8237ddo@gmail.com</t>
  </si>
  <si>
    <t>Dy. Director, Directorate of Planning &amp; Co-ordination, New Secretariat Building, Agartala</t>
  </si>
  <si>
    <t>8242ddo@gmail.com</t>
  </si>
  <si>
    <t>exvisewest@gmail.com</t>
  </si>
  <si>
    <t>subhasisb2179@gmail.com</t>
  </si>
  <si>
    <t>agartalatreasutyno1@gmail.com</t>
  </si>
  <si>
    <t>ct.tax-tr@gov.in</t>
  </si>
  <si>
    <t xml:space="preserve">Principal, AWTC West                                                                                                 </t>
  </si>
  <si>
    <t>awtc.ngr@gmail.com</t>
  </si>
  <si>
    <t xml:space="preserve">CDPO, Agartala-II                                                                                                        </t>
  </si>
  <si>
    <t>cdpoagartala2@gmail.com</t>
  </si>
  <si>
    <t xml:space="preserve">CDPO, Juvenile Home                                                                                                 </t>
  </si>
  <si>
    <t>juvenilehome1@gmail.com</t>
  </si>
  <si>
    <t>serdc.agt@gmail.com</t>
  </si>
  <si>
    <t>sdwo.sadar123@gmail.com</t>
  </si>
  <si>
    <t>Registar</t>
  </si>
  <si>
    <t xml:space="preserve">DY.Director, Directorate of Kokborok &amp; Other Minority Languages                       </t>
  </si>
  <si>
    <t xml:space="preserve">Superintendent of Taxes, Charge-I, Agartala                                                            </t>
  </si>
  <si>
    <t xml:space="preserve">Superintendent of Taxes, Charge-II, Agartala                                                           </t>
  </si>
  <si>
    <t xml:space="preserve">Superintendent of Taxes, Charge-III, Agartala                                                          </t>
  </si>
  <si>
    <t xml:space="preserve">Superintendent of Taxes, Charge-IV, Agartala                                                          </t>
  </si>
  <si>
    <t xml:space="preserve">Superintendent of Taxes, Charge-VI, Agartala                                                          </t>
  </si>
  <si>
    <t xml:space="preserve">Superintendent of Taxes, Charge-VII, Agartala                                                         </t>
  </si>
  <si>
    <t xml:space="preserve">Superintendent of Taxes, Charge-VIII, Agartala                                                        </t>
  </si>
  <si>
    <t xml:space="preserve">Superintendent of Taxes, Vigilance, Agartala                                                           </t>
  </si>
  <si>
    <t xml:space="preserve">Member Secretary, Tripura Commission for Child Rights, Pt. Nehru Complex, A  </t>
  </si>
  <si>
    <t xml:space="preserve">Officer on Special Duity, Directoriate of Elementary Education.                            </t>
  </si>
  <si>
    <t>directorelementary18@rediffmail.com</t>
  </si>
  <si>
    <t>excisetripura@yahoo.com</t>
  </si>
  <si>
    <t>H.O., Tripura Sports School, DDSSC, Badharghat, Agartala, West Tripura</t>
  </si>
  <si>
    <t>ptgtripura@gmail.com</t>
  </si>
  <si>
    <t>dfcstripura@gmail.com</t>
  </si>
  <si>
    <t>directorthhs@gmail.com</t>
  </si>
  <si>
    <t>arch_pwd@rediffmail.com</t>
  </si>
  <si>
    <t xml:space="preserve">Assistant Chief Electoral Officer, Office of the CEO, Tripura.Tripura                      </t>
  </si>
  <si>
    <t>suman.banik@nic.in</t>
  </si>
  <si>
    <t>Deputy Director of Agriculture, Directorate of Agriculture, Krishi Bhawan, Agartala</t>
  </si>
  <si>
    <t>asissaha1960@gmail.com</t>
  </si>
  <si>
    <t>Dy. Director of ARDD (HQ), Directorate of ARDD, P.N.Complex, Agartala</t>
  </si>
  <si>
    <t>das67parimal@gmail.com</t>
  </si>
  <si>
    <t xml:space="preserve">Assistant Director, Directorate of Horti &amp; Soil Conservation, Agartala                  </t>
  </si>
  <si>
    <t>dhctripura@yahoo.co.in</t>
  </si>
  <si>
    <t>Joint Director, Directorate of Information &amp; Cultural Affairs, Gandhighat, Agartala</t>
  </si>
  <si>
    <t>cashsectionicadept@gmail.com</t>
  </si>
  <si>
    <t xml:space="preserve">Statistician, District Employment Exchange, Agartala                                              </t>
  </si>
  <si>
    <t>rajesh.datta1578@gmail.com</t>
  </si>
  <si>
    <t>rcsacct2017@gmail.com</t>
  </si>
  <si>
    <t>1ctripura.agt@gmail.com</t>
  </si>
  <si>
    <t>ddawest2015@gmail.com</t>
  </si>
  <si>
    <t>acctt.sectionic17@gmail.com</t>
  </si>
  <si>
    <t>Deputy Director of ARDD(West), Astabal, Agartala</t>
  </si>
  <si>
    <t>ddarddwest17@gmail.com</t>
  </si>
  <si>
    <t xml:space="preserve">Senior Research Officer, Directorate of Employment Services &amp; Manpower Pla  </t>
  </si>
  <si>
    <t>spleodesmp.agt-tr@gov.in</t>
  </si>
  <si>
    <t>itiagartala@gmail.com</t>
  </si>
  <si>
    <t>Head of Office, G.A.(Printing &amp; Stationary) Department, Bardowali, Agartala, Pin-799003</t>
  </si>
  <si>
    <t xml:space="preserve">Deputy Project officer, Horticulture, West Tripura District, Agartala                     </t>
  </si>
  <si>
    <t>dpoagartalawesttripura@gmail.com</t>
  </si>
  <si>
    <t>DRCSWESTTRIPURA@gmail.com</t>
  </si>
  <si>
    <t>jtc.agt-tr@gov.in</t>
  </si>
  <si>
    <t>abtripuraclo@gmail.com</t>
  </si>
  <si>
    <t>dsowest234@gmail.com</t>
  </si>
  <si>
    <t>tribalwelfareagt@gmail.com</t>
  </si>
  <si>
    <t>adasdcf@gmail.com</t>
  </si>
  <si>
    <t>dcftraining.tripura@gmail.com</t>
  </si>
  <si>
    <t>working.2.tripura@gmail.com</t>
  </si>
  <si>
    <t>ceomptripura@gmail.com</t>
  </si>
  <si>
    <t>electricalinspectorate@yahoo.in</t>
  </si>
  <si>
    <t>estateofficerpwd@gmail.com</t>
  </si>
  <si>
    <t>executive.engineer6244@gmail.com</t>
  </si>
  <si>
    <t>agtdiv3pwd@gmail.com</t>
  </si>
  <si>
    <t>agartaladiv5@gmail.com</t>
  </si>
  <si>
    <t>Executive Engineer(West), Department of Agriculture &amp; Farmers Welfare, Agartala, Tripura</t>
  </si>
  <si>
    <t>eeccdpwd@gmail.com</t>
  </si>
  <si>
    <t>rkhgtps@gmail.com</t>
  </si>
  <si>
    <t>Executive Engineer, W.R. Division No.1, Kunjaban, Agartala</t>
  </si>
  <si>
    <t>wrdivision1@rediffmail.com</t>
  </si>
  <si>
    <t>executiveengineerwrd2agt@gmail.com</t>
  </si>
  <si>
    <t>Executive Engineer, Internal Electrification Division, Agartala, West Tripura</t>
  </si>
  <si>
    <t>ied.pwd@gmail.com</t>
  </si>
  <si>
    <t>mech.div.agt@gmail.com</t>
  </si>
  <si>
    <t>dwsdivagartala1@gmail.com</t>
  </si>
  <si>
    <t>dwsdivisionagartala2@yahoo.com</t>
  </si>
  <si>
    <t>rigdivision@gmail.com</t>
  </si>
  <si>
    <t>bsaha64@gmail.com</t>
  </si>
  <si>
    <t>dicaw8@gmail.com</t>
  </si>
  <si>
    <t xml:space="preserve">Assistant Director, O/o the Dy. Director of Horticulture (West), Agartala.            </t>
  </si>
  <si>
    <t>hortiwest_86@yahoo.co.in</t>
  </si>
  <si>
    <t xml:space="preserve">Inspector of Factories &amp; Boilers, Factories &amp; Boilers Organisation, Pandit Nehru </t>
  </si>
  <si>
    <t>cifbtrp@yahoo.co.in</t>
  </si>
  <si>
    <t>dir.fisheriestr@gov.in</t>
  </si>
  <si>
    <t>twdtripura@gmail.com</t>
  </si>
  <si>
    <t xml:space="preserve">Employment Officer, Special Employment Exchange, Agartala                               </t>
  </si>
  <si>
    <t>tripuralivestockd@yahoo.com</t>
  </si>
  <si>
    <t>destripura@gmail.com</t>
  </si>
  <si>
    <t>dit.trci-tr@gov.in</t>
  </si>
  <si>
    <t>cepwdwr@gmail.com</t>
  </si>
  <si>
    <t>cepwdtripura@gmail.com</t>
  </si>
  <si>
    <t>jdscobc@gmail.com</t>
  </si>
  <si>
    <t>Assistant Director, District ICA Office, West Tripura, Agartala</t>
  </si>
  <si>
    <t>districticaoffice.west17@gmail.com</t>
  </si>
  <si>
    <t>directorstetrip@gmail.com</t>
  </si>
  <si>
    <t>samandwi@gmail.com</t>
  </si>
  <si>
    <t>sfsadar2016@gmail.com</t>
  </si>
  <si>
    <t>ddosewrci@gmail.com</t>
  </si>
  <si>
    <t>dwscircle@gmail.com</t>
  </si>
  <si>
    <t>taplanning17@gmail.com</t>
  </si>
  <si>
    <t>se2ndcash@gmail.com</t>
  </si>
  <si>
    <t>sepwd4thcircle@gmail.com</t>
  </si>
  <si>
    <t>sewrpc@gmail.com</t>
  </si>
  <si>
    <t xml:space="preserve">Dy. Director, Directorate of Audit, Agartala                                                              </t>
  </si>
  <si>
    <t>dy.directoraudit@gmail.com</t>
  </si>
  <si>
    <t>santimay.d@gov.in</t>
  </si>
  <si>
    <t xml:space="preserve">Joint Secretary, Finance Department                                                                        </t>
  </si>
  <si>
    <t>akinchansarkar@yahoo.co.in</t>
  </si>
  <si>
    <t>rsb.tripura@gmail.com</t>
  </si>
  <si>
    <t>Executive Engineer, ARDD,  Engineering Cell</t>
  </si>
  <si>
    <t>gautamreang@gmail.com</t>
  </si>
  <si>
    <t>witi.tripura@gmail.com</t>
  </si>
  <si>
    <t>senbid@gmail.com</t>
  </si>
  <si>
    <t>Deputy General Manager, Electrical Division No.I, Agartala,Tripura</t>
  </si>
  <si>
    <t xml:space="preserve">Deputy General Manager, Electrical Division No.II, Agartala, Tripura(W)                                                </t>
  </si>
  <si>
    <t>tsecldgmed3@gmail.com</t>
  </si>
  <si>
    <t xml:space="preserve">Deputy General Manager, Electrical Division No.III, gakulnagar, Bishalgarh, Tripura                             </t>
  </si>
  <si>
    <t>dgmbishalgarh@gmail.com</t>
  </si>
  <si>
    <t xml:space="preserve">Deputy General Manager, Central Civil Division, Agartala                                       </t>
  </si>
  <si>
    <t>ccdtsecl79tila@gmail.com</t>
  </si>
  <si>
    <t xml:space="preserve">Deputy General Manager, Gas Thermal Electrical Division, Barmura, Tripura West </t>
  </si>
  <si>
    <t>brmgtps@gmail.com</t>
  </si>
  <si>
    <t xml:space="preserve">Deputy General Manager, Transmission Division, 79 Tilla, Agartala                       </t>
  </si>
  <si>
    <t xml:space="preserve">Deputy General Manager, Electrical Store Division, A.D. Nagar, Agartala              </t>
  </si>
  <si>
    <t>dgmmaterial@gmail.com</t>
  </si>
  <si>
    <t xml:space="preserve">Director (Finance) &amp; C.S., TSECL, Banamalipur, Agartala                                         </t>
  </si>
  <si>
    <t>finance.tsecl@gmail.com</t>
  </si>
  <si>
    <t xml:space="preserve">TA to Addl General Manager, Electrical Circle No-I, TSECL Agartala                       </t>
  </si>
  <si>
    <t>tseclec1@rediffmail.com</t>
  </si>
  <si>
    <t xml:space="preserve">T.A. to Addl. General Manager, Generation Circle, TSECL Agartala                        </t>
  </si>
  <si>
    <t>agmgnc@gmail.com</t>
  </si>
  <si>
    <t xml:space="preserve">Deputy General manager, Commercial &amp; Tariff, Agartala                                       </t>
  </si>
  <si>
    <t>ad_comm@rediffmail.com</t>
  </si>
  <si>
    <t>eepower1234@gmail.com</t>
  </si>
  <si>
    <t>sodwstripura@gmail.com</t>
  </si>
  <si>
    <t>Executive Engineer (GPF &amp; Pension etc.), Bidyut Bhavan, Banamalipur, Agartala</t>
  </si>
  <si>
    <t>gpfpensionwest@gmail.com</t>
  </si>
  <si>
    <t>Secretary, TERC. Agartala</t>
  </si>
  <si>
    <t>hkdas1965@rediffmail.com</t>
  </si>
  <si>
    <t xml:space="preserve">Deputy General Manager, Electrical Division, Sonamura                                         </t>
  </si>
  <si>
    <t>dgm.ed11rbn@gmail.com</t>
  </si>
  <si>
    <t>surjyakumar68@gmail.com</t>
  </si>
  <si>
    <t>Assistant Engineer, Directorate of Water &amp; Sanitation Support Organisation, P.N. Complex, Agartala</t>
  </si>
  <si>
    <t>dirwssotripura@gmail.com</t>
  </si>
  <si>
    <t xml:space="preserve">TA to Addl General Manager, Electrical Circle No-II, Agartala                                 </t>
  </si>
  <si>
    <t>tsecleciv@rediffmail.com</t>
  </si>
  <si>
    <t xml:space="preserve">Deputy General Manager, Capital Complex, Electrical Division, Agartala              </t>
  </si>
  <si>
    <t>dgmcapitaltsecl@gmail.com</t>
  </si>
  <si>
    <t xml:space="preserve">Deputy General Manager, Mohanpur Electrical Division, Mohanpur, Tripura West </t>
  </si>
  <si>
    <t>syamalbaidya99@gmaill.com</t>
  </si>
  <si>
    <t xml:space="preserve">Deputy General Manager, Jirania Electrical Division, Jirania                                   </t>
  </si>
  <si>
    <t>edjirania@gmail.com</t>
  </si>
  <si>
    <t xml:space="preserve">Deputy General Manager, Electrical Division, Teliamura, TSECL, Khowai Tripura </t>
  </si>
  <si>
    <t xml:space="preserve">Deputy Genaral Manager, System Operation Division,TSECL,79 Tilla,Agartala             </t>
  </si>
  <si>
    <t>sod.tsecl@gmail.com</t>
  </si>
  <si>
    <t>eedwsstoreagt@gmail.com</t>
  </si>
  <si>
    <t>sdfosadar@gmail.com</t>
  </si>
  <si>
    <t>pmgsytripura@gmail.com</t>
  </si>
  <si>
    <t>eestoredivision@gmail.com</t>
  </si>
  <si>
    <t xml:space="preserve">Deputy General Manager, Electrical Division,  Testing and Communication Divis </t>
  </si>
  <si>
    <t>tcd_tsecl@yahoo.in</t>
  </si>
  <si>
    <t>cdpomlg@gmail.com</t>
  </si>
  <si>
    <t>Executive Engineer, Sonamura Division, PWD (R&amp;B), Sonamura, Sepahijala Tripura</t>
  </si>
  <si>
    <t>sfsonamura@gmail.com</t>
  </si>
  <si>
    <t>H.O., Sub-Divisional Youth Affairs &amp; Sports office, Sonamura, Sepahijala Dist.</t>
  </si>
  <si>
    <t>cdpo_boxn@yahoo.com</t>
  </si>
  <si>
    <t xml:space="preserve">CDPO, Kathalia                                                                                                            </t>
  </si>
  <si>
    <t>cdpoktl09@gmail.com</t>
  </si>
  <si>
    <t xml:space="preserve">Superintendent of Horticulture &amp; Soil Conservation, Sonamura                            </t>
  </si>
  <si>
    <t>cdposnp@gmail.com</t>
  </si>
  <si>
    <t>dclm.udp@gmail.com</t>
  </si>
  <si>
    <t>dpfudaiput182@gmail.com</t>
  </si>
  <si>
    <t>cdpokilla@gmail.com</t>
  </si>
  <si>
    <t xml:space="preserve">CDPO, Matabari                                                                                                          </t>
  </si>
  <si>
    <t>cdpomtb@gmail.com</t>
  </si>
  <si>
    <t>Deputy Director, ARDD, Gomati District, Udaipur</t>
  </si>
  <si>
    <t>ddardsouth@gmail.com</t>
  </si>
  <si>
    <t>trdivisionudp@gmail.com</t>
  </si>
  <si>
    <t xml:space="preserve">Deputy Project officer, Horticulture, Gomati  District, Udaipur                              </t>
  </si>
  <si>
    <t>drcsgomati@gmail.com</t>
  </si>
  <si>
    <t xml:space="preserve">Development Officer, Small Savings, Group Insurance &amp; Institutional Finance, U </t>
  </si>
  <si>
    <t xml:space="preserve">Dist. Inspector, SWSE, Gomati                                                                                   </t>
  </si>
  <si>
    <t>disegomati@gmail.com</t>
  </si>
  <si>
    <t xml:space="preserve">Assistant Employment Officer, District Employment Exchange, Udaipur               </t>
  </si>
  <si>
    <t>deeudaipur6@gmail.com</t>
  </si>
  <si>
    <t>eepwdwrudpiii@rediffmail.com</t>
  </si>
  <si>
    <t>Executive Engineer, DWS Udaipur Division, Udaipur, Gomati Tripura</t>
  </si>
  <si>
    <t>eedwsudaipur@yahoo.com</t>
  </si>
  <si>
    <t>generalmanagerdicgomati@gmail.com</t>
  </si>
  <si>
    <t>Inspector of Factories &amp; Boilers, Factories &amp; Boilers Organisation, Gomati Dist.</t>
  </si>
  <si>
    <t>suryapal_m@yahoo.com</t>
  </si>
  <si>
    <t xml:space="preserve">Principal, AWTC, Kakraban                                                                                         </t>
  </si>
  <si>
    <t>dloudp2015@gmail.com</t>
  </si>
  <si>
    <t xml:space="preserve">Sr. Coach, Youth Affairs &amp; Sports Office, Udaipur                                                    </t>
  </si>
  <si>
    <t>dsogomati@gmail.com</t>
  </si>
  <si>
    <t xml:space="preserve">Superintendent of Excise, Gomati                                                                             </t>
  </si>
  <si>
    <t>gomatiexcise123@gmail.com</t>
  </si>
  <si>
    <t>printftifisheries-tr@gov.in</t>
  </si>
  <si>
    <t>sfudaipur@gmail.com</t>
  </si>
  <si>
    <t xml:space="preserve">Superintendent of Taxes, Udaipur                                                                             </t>
  </si>
  <si>
    <t>studp.tax-tr@gov.in</t>
  </si>
  <si>
    <t>districttreasuryudaipur@gmail.com</t>
  </si>
  <si>
    <t>cdpokb@gmail.com</t>
  </si>
  <si>
    <t>factorytfdpc@gmail.com</t>
  </si>
  <si>
    <t>cdpoudpnp@gmail.com</t>
  </si>
  <si>
    <t xml:space="preserve">Deputy General Manager, Electrical Division, Udaipur                                            </t>
  </si>
  <si>
    <t>dgmedfour@gmail.com</t>
  </si>
  <si>
    <t xml:space="preserve">Addl. General Manager, Electrical Circle No. I, Udaipur                                          </t>
  </si>
  <si>
    <t>agm.ee1.udp@gmail.com</t>
  </si>
  <si>
    <t>Executive Engineer (Elect.) (GPF,Pension etc.), Banduar, Udaipur, Gomati Tripura</t>
  </si>
  <si>
    <t>dgmtdudp@gmail.com</t>
  </si>
  <si>
    <t>zdosouthadc@gmail.com</t>
  </si>
  <si>
    <t xml:space="preserve">Superintendent of Horticulture &amp; Soil Conservation, Udaipur                                </t>
  </si>
  <si>
    <t xml:space="preserve">Deputy General Manager, Electrical Transmission Division, Udaipur                     </t>
  </si>
  <si>
    <t>rdcircle2@gmail.com</t>
  </si>
  <si>
    <t>sedwsudp@yahoo.com</t>
  </si>
  <si>
    <t>sewrcudp@gmail.com</t>
  </si>
  <si>
    <t>dwogomati123@gmail.com</t>
  </si>
  <si>
    <t xml:space="preserve">Deputy Director of Horiculture, Gomati District, Udaipur                                       </t>
  </si>
  <si>
    <t>Executive Engineer, Internal Electrification Division, PWD, Udaipur, Gomati Tripura</t>
  </si>
  <si>
    <t>eeiedudaipur@gmail.com</t>
  </si>
  <si>
    <t>daslokesh98@gmail.com</t>
  </si>
  <si>
    <t>arcsamarpur@gmail.com</t>
  </si>
  <si>
    <t xml:space="preserve">CDPO, Amarpur                                                                                                           </t>
  </si>
  <si>
    <t>cdpoamp@gmail.com</t>
  </si>
  <si>
    <t xml:space="preserve">CDPO, Karbook                                                                                                            </t>
  </si>
  <si>
    <t>cdpokbk@gmail.com</t>
  </si>
  <si>
    <t>erbjnd123@gmail.com</t>
  </si>
  <si>
    <t>sroamarpur@gmail.com</t>
  </si>
  <si>
    <t>amarpur.sa2014@gmail.com</t>
  </si>
  <si>
    <t>sffisheriesamarpur2018@gmail.com</t>
  </si>
  <si>
    <t>stoamarpur@gmail.com</t>
  </si>
  <si>
    <t>H.O., Sub-Divisional Youth Affairs &amp; Sports Office, Amarpur, Gomati Tripura</t>
  </si>
  <si>
    <t>sdyasamarpur12034@gmail.com</t>
  </si>
  <si>
    <t>CDPO, Ampi</t>
  </si>
  <si>
    <t>cdpoomp@gmail.com</t>
  </si>
  <si>
    <t xml:space="preserve">Deputy General Manager, Gomati Electrical Division, Jatanbari                             </t>
  </si>
  <si>
    <t xml:space="preserve">Principal, ITI Jatanbari                                                                                                 </t>
  </si>
  <si>
    <t>kartikpatariiti@gmail.com</t>
  </si>
  <si>
    <t xml:space="preserve">Deputy General Manager, Electrical Division, Amarpur                                           </t>
  </si>
  <si>
    <t>tsecldivn.amarpur@gmail.com</t>
  </si>
  <si>
    <t xml:space="preserve">CDPO, Amarpur NP                                                                                                     </t>
  </si>
  <si>
    <t>eerdamarpur@gmail.com</t>
  </si>
  <si>
    <t>jdeb104@gmail.com</t>
  </si>
  <si>
    <t>sdwokbk@gmail.com</t>
  </si>
  <si>
    <t>sdfoamarpur@outlook.com</t>
  </si>
  <si>
    <t>sdfokarbook@gmail.com</t>
  </si>
  <si>
    <t>sakarbook@gmail.com</t>
  </si>
  <si>
    <t>supdt.agri.ompi@gmail.com</t>
  </si>
  <si>
    <t>Executive Engineer, DWS Division Amarpur, Amarpur, Gomati Dist.</t>
  </si>
  <si>
    <t>drcssouth2014@gmail.com</t>
  </si>
  <si>
    <t>cdporjn@gmail.com</t>
  </si>
  <si>
    <t>sukeshanurag@gmail.com</t>
  </si>
  <si>
    <t>Asstt. Director, South District Youth Affairs &amp; Sports, Belonia, South Tripura</t>
  </si>
  <si>
    <t>southyasbln@gmail.com</t>
  </si>
  <si>
    <t>cdpohsm@gmail.com</t>
  </si>
  <si>
    <t>principalitibelonia@gmail.com</t>
  </si>
  <si>
    <t>stbln.tax-tr@gov.in</t>
  </si>
  <si>
    <t>stobelonia@gmail.com</t>
  </si>
  <si>
    <t>cdpobln@gmail.com</t>
  </si>
  <si>
    <t>rajibsouthexcise@gmail.com</t>
  </si>
  <si>
    <t>disesouthbln@gmail.com</t>
  </si>
  <si>
    <t>dfosouth15@gmail.com</t>
  </si>
  <si>
    <t>Deputy Director of Agriculture, Belonia, South District, Tripura</t>
  </si>
  <si>
    <t xml:space="preserve">Superintendent of Agriculture, Rajnagar Agri Sub-Divn                                           </t>
  </si>
  <si>
    <t>Assistant Director,  ARDD(BL), Sabroom, South Tripura</t>
  </si>
  <si>
    <t>adardblsbm@gmail.com</t>
  </si>
  <si>
    <t>arcs94364@gmail.com</t>
  </si>
  <si>
    <t xml:space="preserve">CDPO, Satchand                                                                                                          </t>
  </si>
  <si>
    <t>cdposatchand@gmail.com</t>
  </si>
  <si>
    <t xml:space="preserve">CDPO, Rupaichari                                                                                                        </t>
  </si>
  <si>
    <t>cdporpc@gmail.com</t>
  </si>
  <si>
    <t>eepwdsbm2015@gmail.com</t>
  </si>
  <si>
    <t xml:space="preserve">Sub-Divisional Medical Officer, Sub-Divisional Hospital, Sabroom                         </t>
  </si>
  <si>
    <t>sdmosabroom@gmail.com</t>
  </si>
  <si>
    <t>srosabroom14@gmail.com</t>
  </si>
  <si>
    <t xml:space="preserve">Superintendent of Agriculture, Satchand                                                                  </t>
  </si>
  <si>
    <t>supdtsatchand@gmail.com</t>
  </si>
  <si>
    <t>sfsabroom@gmail.com</t>
  </si>
  <si>
    <t xml:space="preserve">Sports Officer, Sub-Divisional Youth Affairs &amp; Sports Office, Sabroom                  </t>
  </si>
  <si>
    <t>sports_sbm@gmail.com</t>
  </si>
  <si>
    <t xml:space="preserve">Executive Engineer (Deputy General Manager), Electrical Division Sabroom.       </t>
  </si>
  <si>
    <t>dgm.ed.sabroom@gmail.com</t>
  </si>
  <si>
    <t xml:space="preserve">CDPO, Sabroom NP                                                                                                     </t>
  </si>
  <si>
    <t>cdposbm.np@gmail.com</t>
  </si>
  <si>
    <t>eerddstc@gmail.com</t>
  </si>
  <si>
    <t>sdwosbm@gmail.com</t>
  </si>
  <si>
    <t>itimanubankul@gmail.com</t>
  </si>
  <si>
    <t>sdfosabroom@gmail.com</t>
  </si>
  <si>
    <t>stosbm@gmail.com</t>
  </si>
  <si>
    <t>cdpobsl@gmail.com</t>
  </si>
  <si>
    <t>cdpo.dukli@gmail.com</t>
  </si>
  <si>
    <t xml:space="preserve">CDPO,Jampuijala                                                                                                         </t>
  </si>
  <si>
    <t>cdpojamp@gmail.com</t>
  </si>
  <si>
    <t>stblg.tax-tr@gov.in</t>
  </si>
  <si>
    <t>Dy. Director, Sub-Divisional Youth Affairs &amp; Sports Office, Bishalgarh, Sepahijala Tripura</t>
  </si>
  <si>
    <t>blg7syas@gmail.com</t>
  </si>
  <si>
    <t xml:space="preserve">Sub-Divisional Medical Officer,  Sub-Divisional Hospital, Bisalgarh                        </t>
  </si>
  <si>
    <t>sdmoblg@yahoo.com</t>
  </si>
  <si>
    <t>Joint Director of Agriculture(Research), State Agriculture Research Station, Arundhutinagar</t>
  </si>
  <si>
    <t>Deputy Director, ARDD (CLF), Debipur, Sepahijala Dist.</t>
  </si>
  <si>
    <t>pwdbishalgarhdivision@gmail.com</t>
  </si>
  <si>
    <t>Executive Engineer (Mech.), Department of Agriculture &amp; F.W., Office Lane, Agartala</t>
  </si>
  <si>
    <t>agri.eem@gmail.com</t>
  </si>
  <si>
    <t>eedwsdivisionblg@gmail.com</t>
  </si>
  <si>
    <t>Superintendent of Agriculture, Bishalgarh Agri. Sub-Division, Bishalgarh, Sepahijala Dist.</t>
  </si>
  <si>
    <t>Superintendent of Agriculture, Dukli Agri. Sub-Division, Agartala, West Tripura</t>
  </si>
  <si>
    <t>sfbishalgarh@gmail.com</t>
  </si>
  <si>
    <t xml:space="preserve">V.S.P.O., Nagicherra                                                                                                    </t>
  </si>
  <si>
    <t>eepwdbrsdiv@rediffmail.com</t>
  </si>
  <si>
    <t>excisespj@gmail.com</t>
  </si>
  <si>
    <t>dwosepahijala@gmail.com</t>
  </si>
  <si>
    <t xml:space="preserve">Programme Officer, Sepahijala                                                                                  </t>
  </si>
  <si>
    <t>spjdise@gmail.com</t>
  </si>
  <si>
    <t>Deputy Director, District ICA Office, Bishramganj, Sepahijala Tripura</t>
  </si>
  <si>
    <t xml:space="preserve">Assistant Director, Sepahijala District Youth Affairs &amp; Sports Office, Bishramgan </t>
  </si>
  <si>
    <t>ddhspj06@gmail.com</t>
  </si>
  <si>
    <t>Deputy Director of Agriculture, Bishramganj, Sepahijala Dist.</t>
  </si>
  <si>
    <t>labourofficerspj59@gmail.com</t>
  </si>
  <si>
    <t xml:space="preserve">Superintendent of Agriculture, Jampuijala                                                               </t>
  </si>
  <si>
    <t xml:space="preserve">CDPO, Dumburnagar                                                                                                   </t>
  </si>
  <si>
    <t>sdwognc@gmail.com</t>
  </si>
  <si>
    <t>stopanisagar@gmail.com</t>
  </si>
  <si>
    <t>cdpo.panisagar@gmail.com</t>
  </si>
  <si>
    <t xml:space="preserve">Principal, Regional College of Physical Education, Panisagar                                  </t>
  </si>
  <si>
    <t>rcpepanisagar3@gmail.com</t>
  </si>
  <si>
    <t>Superintendent of Agriculture, Panisagar Agri. Sub-Division, Panisagar, North Tripura</t>
  </si>
  <si>
    <t xml:space="preserve">CDPO, Damcherra                                                                                                       </t>
  </si>
  <si>
    <t>cdpo.dmc@gmail.com</t>
  </si>
  <si>
    <t xml:space="preserve">Superintendent of Agriculture, Damcherra                                                              </t>
  </si>
  <si>
    <t>Asstt. Director, Sub-Divisional Youth Affairs &amp; Sports Office, Panisagar, North Tripura</t>
  </si>
  <si>
    <t>sto_kgt@yahoo.com</t>
  </si>
  <si>
    <t>srokumarghat2017@gmail.com</t>
  </si>
  <si>
    <t>cdpopecharthal@gmail.com</t>
  </si>
  <si>
    <t>wrdviiptl@gmail.com</t>
  </si>
  <si>
    <t>adblkgt@gmail.com</t>
  </si>
  <si>
    <t xml:space="preserve">CDPO, Kumarghat                                                                                                       </t>
  </si>
  <si>
    <t>cdpokgt@gmail.com</t>
  </si>
  <si>
    <t>Executive Engineer, DWS Division, Kumarghat, Unakoti Dist.</t>
  </si>
  <si>
    <t>eedwsdkgt@gmail.com</t>
  </si>
  <si>
    <t>eepwdkumarghat@gmail.com</t>
  </si>
  <si>
    <t>sewrckgt@gmail.com</t>
  </si>
  <si>
    <t>se1stcircle2016@gmail.com</t>
  </si>
  <si>
    <t>Executive Engineer, GPF &amp; Pension Division, Kumarghat, Unakoti Tripura</t>
  </si>
  <si>
    <t>northdivision@gmail.com</t>
  </si>
  <si>
    <t>hortisuperkgt@gmail.com</t>
  </si>
  <si>
    <t xml:space="preserve">CDPO, Kumarghat NP                                                                                                  </t>
  </si>
  <si>
    <t>cdpo.kgtnp@gmail.com</t>
  </si>
  <si>
    <t>rdcircle3@gmail.com</t>
  </si>
  <si>
    <t>pmgsysekgt@gmail.com</t>
  </si>
  <si>
    <t>sedwsckgt@gmail.com</t>
  </si>
  <si>
    <t>sdfokgt@gmail.com</t>
  </si>
  <si>
    <t>eenhkgt@gmail.com</t>
  </si>
  <si>
    <t>Assistant Professor, College of Teacher Education (CTE), Kumarghat, Unakoti Dist.</t>
  </si>
  <si>
    <t>shomebhnupada@gmail.com</t>
  </si>
  <si>
    <t>Superintendent of Agriculture, Kumarghat, Unakoti Tripura</t>
  </si>
  <si>
    <t>pmgsydivnkgt@gmail.com</t>
  </si>
  <si>
    <t xml:space="preserve">DISE, Unakoti                                                                                                               </t>
  </si>
  <si>
    <t>dise.unakoti@gmail.com</t>
  </si>
  <si>
    <t>een1kgt@gmail.com</t>
  </si>
  <si>
    <t>ddhunakoti@gmail.com</t>
  </si>
  <si>
    <t>fisheries2016@gmail.com</t>
  </si>
  <si>
    <t>districtforest@gmail.com</t>
  </si>
  <si>
    <t>H.O., Sub-Divisional Youth Affairs &amp; Sports Office, Kumarghat, Unakoti Tripura</t>
  </si>
  <si>
    <t>stoteliamura@gmail.com</t>
  </si>
  <si>
    <t>adarddtlm205@gmail.com</t>
  </si>
  <si>
    <t xml:space="preserve">CDPO, Teliamura                                                                                                         </t>
  </si>
  <si>
    <t>cdpotlm@gmail.com</t>
  </si>
  <si>
    <t>Superintendent of Agriculture, Teliamura Agri. Sub-Division, Teliamura, Khowai Tripura</t>
  </si>
  <si>
    <t>agritlm4@gmail.com</t>
  </si>
  <si>
    <t xml:space="preserve">CDPO, Kalyanpur                                                                                                         </t>
  </si>
  <si>
    <t>cdpoklp@gmail.com</t>
  </si>
  <si>
    <t xml:space="preserve">CDPO, Mungiakami                                                                                                     </t>
  </si>
  <si>
    <t>cdpomk@gmail.com</t>
  </si>
  <si>
    <t>sttlm.tax-tr@gov.in</t>
  </si>
  <si>
    <t xml:space="preserve">CDPO, Teliamura NP                                                                                                   </t>
  </si>
  <si>
    <t>cdpotlm.np110@gmail.com</t>
  </si>
  <si>
    <t>eerdtlm.2009@rediffmail.com</t>
  </si>
  <si>
    <t>sftlmchakmaghat@gmail.com</t>
  </si>
  <si>
    <t>eeklp123pwddws@gmail.com</t>
  </si>
  <si>
    <t>arcs.teliamura@gmail.com</t>
  </si>
  <si>
    <t>sdwotlm2@gmail.com</t>
  </si>
  <si>
    <t>khwtrans@gmail.com</t>
  </si>
  <si>
    <t>dtfokhowai@gmail.com</t>
  </si>
  <si>
    <t>sdfo.teliamura@gmail.com</t>
  </si>
  <si>
    <t>Superintendent of Agriculture, Kalyanpur Agri. Sub-Division, Kalyanpur, Khowai Dist.</t>
  </si>
  <si>
    <t>sa.kalyanpur2016@gmail.com</t>
  </si>
  <si>
    <t>srotlm.dcm@gmail.com</t>
  </si>
  <si>
    <t>Executive Engineer, Teliamura Division PWD(R&amp;B), Khowai Tripura</t>
  </si>
  <si>
    <t>tdb123teliamura@gmail.com</t>
  </si>
  <si>
    <t xml:space="preserve">CDPO, Jirania                                                                                                               </t>
  </si>
  <si>
    <t>cdpojrn@gmail.com</t>
  </si>
  <si>
    <t xml:space="preserve">CDPO, Ranirbazar NP                                                                                                  </t>
  </si>
  <si>
    <t>cdpornb@gmail.com</t>
  </si>
  <si>
    <t>Assistant Director, ARDD(BL), Jirania, West Tripura</t>
  </si>
  <si>
    <t>Superintendent of Agriculture, Jirania Agri. Sub-Division, Jirania, West Tripura</t>
  </si>
  <si>
    <t>Principal, College of Vety. Sciences &amp;A.H., R K Nagar, Tripura(W)</t>
  </si>
  <si>
    <t>cvscrknagar@gmail.com</t>
  </si>
  <si>
    <t>itikhumlwng@gmail.com</t>
  </si>
  <si>
    <t>sdfomandai@gmail.com</t>
  </si>
  <si>
    <t>H.O., Sub-Divisional Youth Affairs &amp; Sports, Jirania, West Tripura</t>
  </si>
  <si>
    <t>Superintendent of Agriculture, Old Agartala Agri. Sub-Division, Khayerpur, West Tripura</t>
  </si>
  <si>
    <t>saoldagartala@gmail.com</t>
  </si>
  <si>
    <t>stomnp2017@gmail.com</t>
  </si>
  <si>
    <t xml:space="preserve">CDPO, Hezamara                                                                                                         </t>
  </si>
  <si>
    <t>cdpohza@gmail.com</t>
  </si>
  <si>
    <t xml:space="preserve">CDPO, Mohanpur                                                                                                        </t>
  </si>
  <si>
    <t>cdpomp@gmail.com</t>
  </si>
  <si>
    <t>debnathb160@gmail.com</t>
  </si>
  <si>
    <t>Assistant Director, State Poultry Farm, Gandhigram, Tripura(W)</t>
  </si>
  <si>
    <t>drmrinaldutta63@gmail.com</t>
  </si>
  <si>
    <t xml:space="preserve">Principal, UGTC, Lembucherra                                                                                   </t>
  </si>
  <si>
    <t xml:space="preserve">Superintendent of Agriculture, Mohanpur                                                               </t>
  </si>
  <si>
    <t xml:space="preserve">Asstt. Professor, College of Agriculture, Lembucherra                                            </t>
  </si>
  <si>
    <t>ddocat14@gmail.com</t>
  </si>
  <si>
    <t>sdwomnp@gmail.com</t>
  </si>
  <si>
    <t>Superintendent of Agriculture, Hezamara Agri. Sub-Division</t>
  </si>
  <si>
    <t>pht.taranagar@gmail.com</t>
  </si>
  <si>
    <t>H.O., Sub-Divisional Youth Affairs &amp; Sports Office, Mohanpur, West Tripura</t>
  </si>
  <si>
    <t>Superintendent of Agriculture, Bamutia Agri. Sub-Division, West Tripura</t>
  </si>
  <si>
    <t>sabamutia2023@gmail.com</t>
  </si>
  <si>
    <t>Assistant Director, ARDD (BL), Bakafa, South Tripura</t>
  </si>
  <si>
    <t>arddbkf@gmail.com</t>
  </si>
  <si>
    <t xml:space="preserve">CDPO, Bagafa                                                                                                              </t>
  </si>
  <si>
    <t>cdpobgf@gmail.com</t>
  </si>
  <si>
    <t>pwdsantirbazardivision@gmail.com</t>
  </si>
  <si>
    <t>ddhs2010trip@gmail.com</t>
  </si>
  <si>
    <t>sericulturestb272@gmail.com</t>
  </si>
  <si>
    <t xml:space="preserve">Superintendent of Agriculture, Bagafa                                                                      </t>
  </si>
  <si>
    <t>sabagafa123@gmail.com</t>
  </si>
  <si>
    <t>cdpostb@gmail.com</t>
  </si>
  <si>
    <t>eerdsd4@rediffmail.com</t>
  </si>
  <si>
    <t>sfsantirbazar100@gmail.com</t>
  </si>
  <si>
    <t>arcsstb@gmail.com</t>
  </si>
  <si>
    <t>dtoofficesouth@gmail.com</t>
  </si>
  <si>
    <t>sdfobagafa@gmail.com</t>
  </si>
  <si>
    <t>eenhstb@gmail.com</t>
  </si>
  <si>
    <t>dgmbagafa@gmail.com</t>
  </si>
  <si>
    <t>Sub-Divisional Youth Affairs &amp; Sports, Santirbazar, South Tripura</t>
  </si>
  <si>
    <t>yassantirbazar@gmail.com</t>
  </si>
  <si>
    <r>
      <rPr>
        <sz val="12"/>
        <rFont val="Segoe UI"/>
        <family val="2"/>
      </rPr>
      <t>CDPO, Kanchanpur</t>
    </r>
  </si>
  <si>
    <r>
      <rPr>
        <sz val="12"/>
        <rFont val="Segoe UI"/>
        <family val="2"/>
      </rPr>
      <t>Executive Engineer, PWD Division, Kanchanpur</t>
    </r>
  </si>
  <si>
    <r>
      <rPr>
        <sz val="12"/>
        <rFont val="Segoe UI"/>
        <family val="2"/>
      </rPr>
      <t>Superintendent of Agriculture, Kanchanpur</t>
    </r>
  </si>
  <si>
    <r>
      <rPr>
        <sz val="12"/>
        <rFont val="Segoe UI"/>
        <family val="2"/>
      </rPr>
      <t>Superintendent of Fisheries, Kanchanpur</t>
    </r>
  </si>
  <si>
    <r>
      <rPr>
        <sz val="12"/>
        <rFont val="Segoe UI"/>
        <family val="2"/>
      </rPr>
      <t>Asstt. Director, ARDD, Kanchanpur</t>
    </r>
  </si>
  <si>
    <r>
      <rPr>
        <sz val="12"/>
        <rFont val="Segoe UI"/>
        <family val="2"/>
      </rPr>
      <t>CDPO, Jampuihill</t>
    </r>
  </si>
  <si>
    <r>
      <rPr>
        <sz val="12"/>
        <rFont val="Segoe UI"/>
        <family val="2"/>
      </rPr>
      <t>Executive Engineer (Deputy General Manager), Electrical Division Kanchanpur</t>
    </r>
  </si>
  <si>
    <r>
      <rPr>
        <sz val="12"/>
        <rFont val="Segoe UI"/>
        <family val="2"/>
      </rPr>
      <t>Executive Engineer, RD Kanchanpur Division</t>
    </r>
  </si>
  <si>
    <r>
      <rPr>
        <sz val="12"/>
        <rFont val="Segoe UI"/>
        <family val="2"/>
      </rPr>
      <t>Sub-Divisional Welfare Officer, Kanchanpur</t>
    </r>
  </si>
  <si>
    <r>
      <rPr>
        <sz val="12"/>
        <rFont val="Segoe UI"/>
        <family val="2"/>
      </rPr>
      <t>Sub-Divisional Forest Officer, Kanchanpur</t>
    </r>
  </si>
  <si>
    <r>
      <rPr>
        <sz val="12"/>
        <rFont val="Segoe UI"/>
        <family val="2"/>
      </rPr>
      <t>Sub-Treasury Officer, Kanchanpur</t>
    </r>
  </si>
  <si>
    <r>
      <rPr>
        <sz val="12"/>
        <rFont val="Segoe UI"/>
        <family val="2"/>
      </rPr>
      <t>Assistant Registrar, Co-operative Societies, Dharmanagar</t>
    </r>
  </si>
  <si>
    <r>
      <rPr>
        <sz val="12"/>
        <rFont val="Segoe UI"/>
        <family val="2"/>
      </rPr>
      <t>CDPO, Kadamtala</t>
    </r>
  </si>
  <si>
    <r>
      <rPr>
        <sz val="12"/>
        <rFont val="Segoe UI"/>
        <family val="2"/>
      </rPr>
      <t>Deputy Director, FCS &amp; CA, Dharmanagar</t>
    </r>
  </si>
  <si>
    <r>
      <rPr>
        <sz val="12"/>
        <rFont val="Segoe UI"/>
        <family val="2"/>
      </rPr>
      <t>Project Officer, ICDP-II, Dharmanagar</t>
    </r>
  </si>
  <si>
    <r>
      <rPr>
        <sz val="12"/>
        <rFont val="Segoe UI"/>
        <family val="2"/>
      </rPr>
      <t>Superintendent of Agriculture, Kadamtala</t>
    </r>
  </si>
  <si>
    <r>
      <rPr>
        <sz val="12"/>
        <rFont val="Segoe UI"/>
        <family val="2"/>
      </rPr>
      <t>Superintendent of Fisheries, Dharmanagar</t>
    </r>
  </si>
  <si>
    <r>
      <rPr>
        <sz val="12"/>
        <rFont val="Segoe UI"/>
        <family val="2"/>
      </rPr>
      <t>Superintendent of Taxes, Dharmanagar</t>
    </r>
  </si>
  <si>
    <r>
      <rPr>
        <sz val="12"/>
        <rFont val="Segoe UI"/>
        <family val="2"/>
      </rPr>
      <t>Executive Engineer, Electrical Division No.II, Dharmanagar</t>
    </r>
  </si>
  <si>
    <r>
      <rPr>
        <sz val="12"/>
        <rFont val="Segoe UI"/>
        <family val="2"/>
      </rPr>
      <t>Executive Engineer, DWS  Division No.VIII, Dharmanagar</t>
    </r>
  </si>
  <si>
    <r>
      <rPr>
        <sz val="12"/>
        <rFont val="Segoe UI"/>
        <family val="2"/>
      </rPr>
      <t>CDPO, Dharmanagar NP</t>
    </r>
  </si>
  <si>
    <r>
      <rPr>
        <sz val="12"/>
        <rFont val="Segoe UI"/>
        <family val="2"/>
      </rPr>
      <t>Sub-Divisional Welfare Officer, Dharmanagar</t>
    </r>
  </si>
  <si>
    <r>
      <rPr>
        <sz val="12"/>
        <rFont val="Segoe UI"/>
        <family val="2"/>
      </rPr>
      <t>Superintendent of Taxes, Churaibari Checkpost</t>
    </r>
  </si>
  <si>
    <r>
      <rPr>
        <sz val="12"/>
        <rFont val="Segoe UI"/>
        <family val="2"/>
      </rPr>
      <t>Assistant Director, District ICA Office, Dharmanagar</t>
    </r>
  </si>
  <si>
    <r>
      <rPr>
        <sz val="12"/>
        <rFont val="Segoe UI"/>
        <family val="2"/>
      </rPr>
      <t>Sub-Divisional Forest Officer, Dharmanagar</t>
    </r>
  </si>
  <si>
    <r>
      <rPr>
        <sz val="12"/>
        <rFont val="Segoe UI"/>
        <family val="2"/>
      </rPr>
      <t>Treasury Officer, Dharmanagar</t>
    </r>
  </si>
  <si>
    <r>
      <rPr>
        <sz val="12"/>
        <rFont val="Segoe UI"/>
        <family val="2"/>
      </rPr>
      <t>Addl. General Manager, Electrical Circle, Dharmanagar</t>
    </r>
  </si>
  <si>
    <r>
      <rPr>
        <sz val="12"/>
        <rFont val="Segoe UI"/>
        <family val="2"/>
      </rPr>
      <t>Deputy General Manager, Electrical Division,  Panisagar</t>
    </r>
  </si>
  <si>
    <r>
      <rPr>
        <sz val="12"/>
        <rFont val="Segoe UI"/>
        <family val="2"/>
      </rPr>
      <t>Deputy Director, ARDD, Kailashar</t>
    </r>
  </si>
  <si>
    <r>
      <rPr>
        <sz val="12"/>
        <rFont val="Segoe UI"/>
        <family val="2"/>
      </rPr>
      <t>Deputy Registrar, Co-operative Societies, Unakoti District</t>
    </r>
  </si>
  <si>
    <r>
      <rPr>
        <sz val="12"/>
        <rFont val="Segoe UI"/>
        <family val="2"/>
      </rPr>
      <t>District  Planning Officer,Unakoti District</t>
    </r>
  </si>
  <si>
    <r>
      <rPr>
        <sz val="12"/>
        <rFont val="Segoe UI"/>
        <family val="2"/>
      </rPr>
      <t>District Statistical Officer, Unakoti, Kailashahar</t>
    </r>
  </si>
  <si>
    <r>
      <rPr>
        <sz val="12"/>
        <rFont val="Segoe UI"/>
        <family val="2"/>
      </rPr>
      <t>District Transport Officer, Unakoti District</t>
    </r>
  </si>
  <si>
    <r>
      <rPr>
        <sz val="12"/>
        <rFont val="Segoe UI"/>
        <family val="2"/>
      </rPr>
      <t>Executive Engineer, Water Resource  Division-VI, Kailasahar</t>
    </r>
  </si>
  <si>
    <r>
      <rPr>
        <sz val="12"/>
        <rFont val="Segoe UI"/>
        <family val="2"/>
      </rPr>
      <t>Executive Engineer, PWD Division, Kailasahar</t>
    </r>
  </si>
  <si>
    <r>
      <rPr>
        <sz val="12"/>
        <rFont val="Segoe UI"/>
        <family val="2"/>
      </rPr>
      <t>Labour Officer,  Unakoti District, Kailasahar</t>
    </r>
  </si>
  <si>
    <r>
      <rPr>
        <sz val="12"/>
        <rFont val="Segoe UI"/>
        <family val="2"/>
      </rPr>
      <t>Superintendent of  Excise, Unakoti</t>
    </r>
  </si>
  <si>
    <r>
      <rPr>
        <sz val="12"/>
        <rFont val="Segoe UI"/>
        <family val="2"/>
      </rPr>
      <t>LAND ACQUISITION COLLECTOR</t>
    </r>
  </si>
  <si>
    <r>
      <rPr>
        <sz val="12"/>
        <rFont val="Segoe UI"/>
        <family val="2"/>
      </rPr>
      <t>CDPO, Gournagar</t>
    </r>
  </si>
  <si>
    <r>
      <rPr>
        <sz val="12"/>
        <rFont val="Segoe UI"/>
        <family val="2"/>
      </rPr>
      <t>Treasury Officer, Kailashahar</t>
    </r>
  </si>
  <si>
    <r>
      <rPr>
        <sz val="12"/>
        <rFont val="Segoe UI"/>
        <family val="2"/>
      </rPr>
      <t>Principal, ITI Kailashahar</t>
    </r>
  </si>
  <si>
    <r>
      <rPr>
        <sz val="12"/>
        <rFont val="Segoe UI"/>
        <family val="2"/>
      </rPr>
      <t>Principal-in-charge, District Institute of Education And Training, Kailashahar</t>
    </r>
  </si>
  <si>
    <r>
      <rPr>
        <sz val="12"/>
        <rFont val="Segoe UI"/>
        <family val="2"/>
      </rPr>
      <t>CDPO, Kailashahar NP</t>
    </r>
  </si>
  <si>
    <r>
      <rPr>
        <sz val="12"/>
        <rFont val="Segoe UI"/>
        <family val="2"/>
      </rPr>
      <t>CDPO, Kailashahar Dist. HQ</t>
    </r>
  </si>
  <si>
    <r>
      <rPr>
        <sz val="12"/>
        <rFont val="Segoe UI"/>
        <family val="2"/>
      </rPr>
      <t>Sub-Divisional Welfare Officer, Kailashahar</t>
    </r>
  </si>
  <si>
    <r>
      <rPr>
        <sz val="12"/>
        <rFont val="Segoe UI"/>
        <family val="2"/>
      </rPr>
      <t>District Welfare Officer, Unakoti</t>
    </r>
  </si>
  <si>
    <r>
      <rPr>
        <sz val="12"/>
        <rFont val="Segoe UI"/>
        <family val="2"/>
      </rPr>
      <t>Sub-Divisional Forest Officer, Kailashhar</t>
    </r>
  </si>
  <si>
    <r>
      <rPr>
        <sz val="12"/>
        <rFont val="Segoe UI"/>
        <family val="2"/>
      </rPr>
      <t>Deputy Director of Agriculture, Kailashahar, Unakot</t>
    </r>
    <r>
      <rPr>
        <sz val="12"/>
        <color rgb="FF000000"/>
        <rFont val="Segoe UI"/>
        <family val="2"/>
      </rPr>
      <t>i Dist.</t>
    </r>
  </si>
  <si>
    <r>
      <rPr>
        <sz val="12"/>
        <rFont val="Segoe UI"/>
        <family val="2"/>
      </rPr>
      <t>Deputy Collector, Sub-Registry  Office, Kailashahar</t>
    </r>
  </si>
  <si>
    <r>
      <rPr>
        <sz val="12"/>
        <rFont val="Segoe UI"/>
        <family val="2"/>
      </rPr>
      <t>Deputy General Manager, Electrical Division,  Kailashahar</t>
    </r>
  </si>
  <si>
    <r>
      <rPr>
        <sz val="12"/>
        <rFont val="Segoe UI"/>
        <family val="2"/>
      </rPr>
      <t>CDPO, Chawmanu</t>
    </r>
  </si>
  <si>
    <r>
      <rPr>
        <sz val="12"/>
        <rFont val="Segoe UI"/>
        <family val="2"/>
      </rPr>
      <t>CDPO, Manu</t>
    </r>
  </si>
  <si>
    <r>
      <rPr>
        <sz val="12"/>
        <rFont val="Segoe UI"/>
        <family val="2"/>
      </rPr>
      <t>Superintendent of Agriculture, Chailengta</t>
    </r>
  </si>
  <si>
    <r>
      <rPr>
        <sz val="12"/>
        <rFont val="Segoe UI"/>
        <family val="2"/>
      </rPr>
      <t>Superintendent of Fisheries, Chailengta</t>
    </r>
  </si>
  <si>
    <r>
      <rPr>
        <sz val="12"/>
        <rFont val="Segoe UI"/>
        <family val="2"/>
      </rPr>
      <t>Dy. Director, (REPBF), Nalkata</t>
    </r>
  </si>
  <si>
    <r>
      <rPr>
        <sz val="12"/>
        <rFont val="Segoe UI"/>
        <family val="2"/>
      </rPr>
      <t>Executive Engineer, Longtarai Valley Division</t>
    </r>
  </si>
  <si>
    <r>
      <rPr>
        <sz val="12"/>
        <rFont val="Segoe UI"/>
        <family val="2"/>
      </rPr>
      <t>Executive Engineer (Deputy General Manager), Electrical Division Manu.</t>
    </r>
  </si>
  <si>
    <r>
      <rPr>
        <sz val="12"/>
        <rFont val="Segoe UI"/>
        <family val="2"/>
      </rPr>
      <t>Executive Engineer, RD Manu Division</t>
    </r>
  </si>
  <si>
    <r>
      <rPr>
        <sz val="12"/>
        <rFont val="Segoe UI"/>
        <family val="2"/>
      </rPr>
      <t>Sub-Divisional Welfare Officer, Longtharaivalley</t>
    </r>
  </si>
  <si>
    <r>
      <rPr>
        <sz val="12"/>
        <rFont val="Segoe UI"/>
        <family val="2"/>
      </rPr>
      <t>Sub-Divisional Forest Officer, Manu</t>
    </r>
  </si>
  <si>
    <r>
      <rPr>
        <sz val="12"/>
        <rFont val="Segoe UI"/>
        <family val="2"/>
      </rPr>
      <t>Principal, ITI-Longtharaivalley, 82 Miles, Nalkata, Dhalai</t>
    </r>
  </si>
  <si>
    <r>
      <rPr>
        <sz val="12"/>
        <rFont val="Segoe UI"/>
        <family val="2"/>
      </rPr>
      <t>Sub-Treasury Officer, Longthraivalley</t>
    </r>
  </si>
  <si>
    <r>
      <rPr>
        <sz val="12"/>
        <rFont val="Segoe UI"/>
        <family val="2"/>
      </rPr>
      <t>Senior Information Officer, District ICA Office, Ambassa</t>
    </r>
  </si>
  <si>
    <r>
      <rPr>
        <sz val="12"/>
        <rFont val="Segoe UI"/>
        <family val="2"/>
      </rPr>
      <t>Assistant Registrar, Co-operative Societies, Ambassa</t>
    </r>
  </si>
  <si>
    <r>
      <rPr>
        <sz val="12"/>
        <rFont val="Segoe UI"/>
        <family val="2"/>
      </rPr>
      <t>Deputy Director, ARDD, Ambassa</t>
    </r>
  </si>
  <si>
    <r>
      <rPr>
        <sz val="12"/>
        <rFont val="Segoe UI"/>
        <family val="2"/>
      </rPr>
      <t>Deputy Director, Tribal Rehabilitation Division, Dhalai District, Ambassa</t>
    </r>
  </si>
  <si>
    <r>
      <rPr>
        <sz val="12"/>
        <rFont val="Segoe UI"/>
        <family val="2"/>
      </rPr>
      <t>DISE, Dhalai</t>
    </r>
  </si>
  <si>
    <r>
      <rPr>
        <sz val="12"/>
        <rFont val="Segoe UI"/>
        <family val="2"/>
      </rPr>
      <t>DISTRICT SUB-REGISTRAR</t>
    </r>
  </si>
  <si>
    <r>
      <rPr>
        <sz val="12"/>
        <rFont val="Segoe UI"/>
        <family val="2"/>
      </rPr>
      <t>District Transport Officer, Dhalai District</t>
    </r>
  </si>
  <si>
    <r>
      <rPr>
        <sz val="12"/>
        <rFont val="Segoe UI"/>
        <family val="2"/>
      </rPr>
      <t>Deputy General Manager, Electrical Division, Ambassa</t>
    </r>
  </si>
  <si>
    <r>
      <rPr>
        <sz val="12"/>
        <rFont val="Segoe UI"/>
        <family val="2"/>
      </rPr>
      <t>Executive Engineer, DWS Division, Ambassa</t>
    </r>
  </si>
  <si>
    <r>
      <rPr>
        <sz val="12"/>
        <rFont val="Segoe UI"/>
        <family val="2"/>
      </rPr>
      <t>Executive Engineer, PWD Division, Ambassa</t>
    </r>
  </si>
  <si>
    <r>
      <rPr>
        <sz val="12"/>
        <rFont val="Segoe UI"/>
        <family val="2"/>
      </rPr>
      <t>Executive Engineer, RD Ambassa Division</t>
    </r>
  </si>
  <si>
    <r>
      <rPr>
        <sz val="12"/>
        <rFont val="Segoe UI"/>
        <family val="2"/>
      </rPr>
      <t>Manager (Credit), DIC Ambassa</t>
    </r>
  </si>
  <si>
    <r>
      <rPr>
        <sz val="12"/>
        <rFont val="Segoe UI"/>
        <family val="2"/>
      </rPr>
      <t>Labour Officer, Dhalai District, Ambassa</t>
    </r>
  </si>
  <si>
    <r>
      <rPr>
        <sz val="12"/>
        <rFont val="Segoe UI"/>
        <family val="2"/>
      </rPr>
      <t>TA to  Superintending Engineer, DWS Circle-II, Ambassa</t>
    </r>
  </si>
  <si>
    <r>
      <rPr>
        <sz val="12"/>
        <rFont val="Segoe UI"/>
        <family val="2"/>
      </rPr>
      <t>District  Planning Officer,Dhalai District</t>
    </r>
  </si>
  <si>
    <r>
      <rPr>
        <sz val="12"/>
        <rFont val="Segoe UI"/>
        <family val="2"/>
      </rPr>
      <t>CDPO, Ambassa</t>
    </r>
  </si>
  <si>
    <r>
      <rPr>
        <sz val="12"/>
        <rFont val="Segoe UI"/>
        <family val="2"/>
      </rPr>
      <t>Project Director, Dhalai District Ambassa</t>
    </r>
  </si>
  <si>
    <r>
      <rPr>
        <sz val="12"/>
        <rFont val="Segoe UI"/>
        <family val="2"/>
      </rPr>
      <t>District Welfare Officer, Dhalai</t>
    </r>
  </si>
  <si>
    <r>
      <rPr>
        <sz val="12"/>
        <rFont val="Segoe UI"/>
        <family val="2"/>
      </rPr>
      <t>Treasury Officer, Ambassa</t>
    </r>
  </si>
  <si>
    <r>
      <rPr>
        <sz val="12"/>
        <rFont val="Segoe UI"/>
        <family val="2"/>
      </rPr>
      <t>Principal, ITI Ambassa.</t>
    </r>
  </si>
  <si>
    <r>
      <rPr>
        <sz val="12"/>
        <rFont val="Segoe UI"/>
        <family val="2"/>
      </rPr>
      <t>Asstt.Controller, LM, Ambassa</t>
    </r>
  </si>
  <si>
    <r>
      <rPr>
        <sz val="12"/>
        <rFont val="Segoe UI"/>
        <family val="2"/>
      </rPr>
      <t>District Statistical Officer, Dhalai District, Ambassa</t>
    </r>
  </si>
  <si>
    <r>
      <rPr>
        <sz val="12"/>
        <rFont val="Segoe UI"/>
        <family val="2"/>
      </rPr>
      <t>Zonal Development Officer,Dhalai Zone, Ambassa, Dhalai.</t>
    </r>
  </si>
  <si>
    <r>
      <rPr>
        <sz val="12"/>
        <rFont val="Segoe UI"/>
        <family val="2"/>
      </rPr>
      <t>TA to Superintending Engineer, 5th Circle, Ambassa</t>
    </r>
  </si>
  <si>
    <r>
      <rPr>
        <sz val="12"/>
        <rFont val="Segoe UI"/>
        <family val="2"/>
      </rPr>
      <t>Principal, Sericulture Training Institute, Ambassa, Dhalai</t>
    </r>
  </si>
  <si>
    <r>
      <rPr>
        <sz val="12"/>
        <rFont val="Segoe UI"/>
        <family val="2"/>
      </rPr>
      <t>Additional General Manager, Circle No.V, Ambassa.</t>
    </r>
  </si>
  <si>
    <r>
      <rPr>
        <sz val="12"/>
        <rFont val="Segoe UI"/>
        <family val="2"/>
      </rPr>
      <t>Superintendent of Fisheries, Ambassa</t>
    </r>
  </si>
  <si>
    <r>
      <rPr>
        <sz val="12"/>
        <rFont val="Segoe UI"/>
        <family val="2"/>
      </rPr>
      <t>Assistant Engineer, RD 4thCircle, Ambassa</t>
    </r>
  </si>
  <si>
    <r>
      <rPr>
        <sz val="12"/>
        <rFont val="Segoe UI"/>
        <family val="2"/>
      </rPr>
      <t>Sub-Divisional Welfare Officer, Ambassa</t>
    </r>
  </si>
  <si>
    <r>
      <rPr>
        <sz val="12"/>
        <rFont val="Segoe UI"/>
        <family val="2"/>
      </rPr>
      <t>Sub-Divisional Forest Officer, Ambassa</t>
    </r>
  </si>
  <si>
    <r>
      <rPr>
        <sz val="12"/>
        <rFont val="Segoe UI"/>
        <family val="2"/>
      </rPr>
      <t>District Forest Officer, Dhalai District</t>
    </r>
  </si>
  <si>
    <r>
      <rPr>
        <sz val="12"/>
        <rFont val="Segoe UI"/>
        <family val="2"/>
      </rPr>
      <t>Superintendent of Agriculture, Ambassa</t>
    </r>
  </si>
  <si>
    <r>
      <rPr>
        <sz val="12"/>
        <rFont val="Segoe UI"/>
        <family val="2"/>
      </rPr>
      <t>Assistant Registrar, Co-operative Societies, Kamalpur</t>
    </r>
  </si>
  <si>
    <r>
      <rPr>
        <sz val="12"/>
        <rFont val="Segoe UI"/>
        <family val="2"/>
      </rPr>
      <t>CDPO, Salema</t>
    </r>
  </si>
  <si>
    <r>
      <rPr>
        <sz val="12"/>
        <rFont val="Segoe UI"/>
        <family val="2"/>
      </rPr>
      <t>Execitive Engineer, Water Resource Division-V, Kamalpur</t>
    </r>
  </si>
  <si>
    <r>
      <rPr>
        <sz val="12"/>
        <rFont val="Segoe UI"/>
        <family val="2"/>
      </rPr>
      <t>Sub-Registrar, Kamalpur</t>
    </r>
  </si>
  <si>
    <r>
      <rPr>
        <sz val="12"/>
        <rFont val="Segoe UI"/>
        <family val="2"/>
      </rPr>
      <t>Superintendent of Agriculture, Durgachowmuhani Agri Sub-Divn</t>
    </r>
  </si>
  <si>
    <r>
      <rPr>
        <sz val="12"/>
        <rFont val="Segoe UI"/>
        <family val="2"/>
      </rPr>
      <t>Superintendent of Fisheries, Kamalpur</t>
    </r>
  </si>
  <si>
    <r>
      <rPr>
        <sz val="12"/>
        <rFont val="Segoe UI"/>
        <family val="2"/>
      </rPr>
      <t>Executive Officer, Kamalpur Nagar Panchayet</t>
    </r>
  </si>
  <si>
    <r>
      <rPr>
        <sz val="12"/>
        <rFont val="Segoe UI"/>
        <family val="2"/>
      </rPr>
      <t>Headmaster, DDO of  DIET, Kamalpur</t>
    </r>
  </si>
  <si>
    <r>
      <rPr>
        <sz val="12"/>
        <rFont val="Segoe UI"/>
        <family val="2"/>
      </rPr>
      <t>Executive Engineer, Kamalpur Division</t>
    </r>
  </si>
  <si>
    <r>
      <rPr>
        <sz val="12"/>
        <rFont val="Segoe UI"/>
        <family val="2"/>
      </rPr>
      <t>Deputy General Manager, Electrical Division Kamalpur</t>
    </r>
  </si>
  <si>
    <r>
      <rPr>
        <sz val="12"/>
        <rFont val="Segoe UI"/>
        <family val="2"/>
      </rPr>
      <t>CDPO, Kamalpur NP</t>
    </r>
  </si>
  <si>
    <r>
      <rPr>
        <sz val="12"/>
        <rFont val="Segoe UI"/>
        <family val="2"/>
      </rPr>
      <t>Executive Engineer , DWS Division, Kamalpur</t>
    </r>
  </si>
  <si>
    <r>
      <rPr>
        <sz val="12"/>
        <rFont val="Segoe UI"/>
        <family val="2"/>
      </rPr>
      <t>Sub-Divisional Welfare Officer, Kamalpur</t>
    </r>
  </si>
  <si>
    <r>
      <rPr>
        <sz val="12"/>
        <rFont val="Segoe UI"/>
        <family val="2"/>
      </rPr>
      <t>Superintendent of Agriculture, Salema Agri Sub-Divn</t>
    </r>
  </si>
  <si>
    <r>
      <rPr>
        <sz val="12"/>
        <rFont val="Segoe UI"/>
        <family val="2"/>
      </rPr>
      <t>Sub-Treasury Officer, Kamalpur</t>
    </r>
  </si>
  <si>
    <r>
      <rPr>
        <sz val="12"/>
        <rFont val="Segoe UI"/>
        <family val="2"/>
      </rPr>
      <t>Assistant Registrar, Co-operative Societies, Khowai</t>
    </r>
  </si>
  <si>
    <r>
      <rPr>
        <sz val="12"/>
        <rFont val="Segoe UI"/>
        <family val="2"/>
      </rPr>
      <t>CDPO, Khowai</t>
    </r>
  </si>
  <si>
    <r>
      <rPr>
        <sz val="12"/>
        <rFont val="Segoe UI"/>
        <family val="2"/>
      </rPr>
      <t>CDPO, Tulashikhar</t>
    </r>
  </si>
  <si>
    <r>
      <rPr>
        <sz val="12"/>
        <rFont val="Segoe UI"/>
        <family val="2"/>
      </rPr>
      <t>Sub-Registrar, Khowai</t>
    </r>
  </si>
  <si>
    <r>
      <rPr>
        <sz val="12"/>
        <rFont val="Segoe UI"/>
        <family val="2"/>
      </rPr>
      <t>Superintendent of Fisheries, Khowai</t>
    </r>
  </si>
  <si>
    <r>
      <rPr>
        <sz val="12"/>
        <rFont val="Segoe UI"/>
        <family val="2"/>
      </rPr>
      <t>Superintendent of Agriculture, Tulashikar</t>
    </r>
  </si>
  <si>
    <r>
      <rPr>
        <sz val="12"/>
        <rFont val="Segoe UI"/>
        <family val="2"/>
      </rPr>
      <t>CDPO, Padmabil</t>
    </r>
  </si>
  <si>
    <r>
      <rPr>
        <sz val="12"/>
        <rFont val="Segoe UI"/>
        <family val="2"/>
      </rPr>
      <t>Treasury Officer, Khowai</t>
    </r>
  </si>
  <si>
    <r>
      <rPr>
        <sz val="12"/>
        <rFont val="Segoe UI"/>
        <family val="2"/>
      </rPr>
      <t>Deputy General Manager, Electrical Division-X, Khowai</t>
    </r>
  </si>
  <si>
    <r>
      <rPr>
        <sz val="12"/>
        <rFont val="Segoe UI"/>
        <family val="2"/>
      </rPr>
      <t>Executive Engineer, Khowai Division</t>
    </r>
  </si>
  <si>
    <r>
      <rPr>
        <sz val="12"/>
        <rFont val="Segoe UI"/>
        <family val="2"/>
      </rPr>
      <t>CDPO, Khowai NP</t>
    </r>
  </si>
  <si>
    <r>
      <rPr>
        <sz val="12"/>
        <rFont val="Segoe UI"/>
        <family val="2"/>
      </rPr>
      <t>Sub-Divisional Welfare Officer, Khowai</t>
    </r>
  </si>
  <si>
    <r>
      <rPr>
        <sz val="12"/>
        <rFont val="Segoe UI"/>
        <family val="2"/>
      </rPr>
      <t>Land Acquisition Collector, Khowai</t>
    </r>
  </si>
  <si>
    <r>
      <rPr>
        <sz val="12"/>
        <rFont val="Segoe UI"/>
        <family val="2"/>
      </rPr>
      <t>District Welfare Officer, Khowai</t>
    </r>
  </si>
  <si>
    <r>
      <rPr>
        <sz val="12"/>
        <rFont val="Segoe UI"/>
        <family val="2"/>
      </rPr>
      <t>Principal, ITI Khowai</t>
    </r>
  </si>
  <si>
    <r>
      <rPr>
        <sz val="12"/>
        <rFont val="Segoe UI"/>
        <family val="2"/>
      </rPr>
      <t>Programme Officer, Khowai</t>
    </r>
  </si>
  <si>
    <r>
      <rPr>
        <sz val="12"/>
        <rFont val="Segoe UI"/>
        <family val="2"/>
      </rPr>
      <t>Assistant Director, District ICA Office, Khowai</t>
    </r>
  </si>
  <si>
    <r>
      <rPr>
        <sz val="12"/>
        <rFont val="Segoe UI"/>
        <family val="2"/>
      </rPr>
      <t>Sub-Divisional Forest Officer,  Khowai</t>
    </r>
  </si>
  <si>
    <r>
      <rPr>
        <sz val="12"/>
        <rFont val="Segoe UI"/>
        <family val="2"/>
      </rPr>
      <t>Labour Officer, Khowai District Office</t>
    </r>
  </si>
  <si>
    <r>
      <rPr>
        <sz val="12"/>
        <rFont val="Segoe UI"/>
        <family val="2"/>
      </rPr>
      <t>Addl. General Manager, Electrical Circle, Khowai</t>
    </r>
  </si>
  <si>
    <r>
      <rPr>
        <sz val="12"/>
        <rFont val="Segoe UI"/>
        <family val="2"/>
      </rPr>
      <t>Dy.Director of ARDD, Khowai</t>
    </r>
  </si>
  <si>
    <r>
      <rPr>
        <sz val="12"/>
        <rFont val="Segoe UI"/>
        <family val="2"/>
      </rPr>
      <t>Joint Secretary , State Level Monitoring Cell of SGSY, Secretariat, Agartala</t>
    </r>
  </si>
  <si>
    <r>
      <rPr>
        <sz val="12"/>
        <rFont val="Segoe UI"/>
        <family val="2"/>
      </rPr>
      <t>Comm. Of Departmental of Inquiries.</t>
    </r>
  </si>
  <si>
    <r>
      <rPr>
        <sz val="12"/>
        <rFont val="Segoe UI"/>
        <family val="2"/>
      </rPr>
      <t>Dy.  Director, SWSE</t>
    </r>
  </si>
  <si>
    <r>
      <rPr>
        <sz val="12"/>
        <rFont val="Segoe UI"/>
        <family val="2"/>
      </rPr>
      <t>Asstt.Controller, LM, West Tripura</t>
    </r>
  </si>
  <si>
    <r>
      <rPr>
        <sz val="12"/>
        <rFont val="Segoe UI"/>
        <family val="2"/>
      </rPr>
      <t>Dy. Director, Directorate of Urban Devaloptment</t>
    </r>
  </si>
  <si>
    <r>
      <rPr>
        <sz val="12"/>
        <rFont val="Segoe UI"/>
        <family val="2"/>
      </rPr>
      <t>CDPO, Urban</t>
    </r>
  </si>
  <si>
    <r>
      <rPr>
        <sz val="12"/>
        <rFont val="Segoe UI"/>
        <family val="2"/>
      </rPr>
      <t>Curator, Tripura Government Museum, Agartala</t>
    </r>
  </si>
  <si>
    <r>
      <rPr>
        <sz val="12"/>
        <rFont val="Segoe UI"/>
        <family val="2"/>
      </rPr>
      <t>Deputy Secretary, Revenue Department, Agartala</t>
    </r>
  </si>
  <si>
    <r>
      <rPr>
        <sz val="12"/>
        <rFont val="Segoe UI"/>
        <family val="2"/>
      </rPr>
      <t>Dy. Director, Directorate of Relief &amp; Rehabilitation</t>
    </r>
  </si>
  <si>
    <r>
      <rPr>
        <sz val="12"/>
        <rFont val="Segoe UI"/>
        <family val="2"/>
      </rPr>
      <t>DISE, West Tripura</t>
    </r>
  </si>
  <si>
    <r>
      <rPr>
        <sz val="12"/>
        <rFont val="Segoe UI"/>
        <family val="2"/>
      </rPr>
      <t>District  Planning Officer,West Tripura District</t>
    </r>
  </si>
  <si>
    <r>
      <rPr>
        <sz val="12"/>
        <rFont val="Segoe UI"/>
        <family val="2"/>
      </rPr>
      <t>District Sub-Register,</t>
    </r>
  </si>
  <si>
    <r>
      <rPr>
        <sz val="12"/>
        <rFont val="Segoe UI"/>
        <family val="2"/>
      </rPr>
      <t>Executive Engineer-I, Office of the Chief Engineer, RD Dept.</t>
    </r>
  </si>
  <si>
    <r>
      <rPr>
        <sz val="12"/>
        <rFont val="Segoe UI"/>
        <family val="2"/>
      </rPr>
      <t>Executive Engineer, RD Agartala Division</t>
    </r>
  </si>
  <si>
    <r>
      <rPr>
        <sz val="12"/>
        <rFont val="Segoe UI"/>
        <family val="2"/>
      </rPr>
      <t>Executive Engineer, RD Store Division, Agartala</t>
    </r>
  </si>
  <si>
    <r>
      <rPr>
        <sz val="12"/>
        <rFont val="Segoe UI"/>
        <family val="2"/>
      </rPr>
      <t>Inspector of Police, Vigilance organisation, Tripura, Agartala</t>
    </r>
  </si>
  <si>
    <r>
      <rPr>
        <sz val="12"/>
        <rFont val="Segoe UI"/>
        <family val="2"/>
      </rPr>
      <t>Chief Superintendent, SWO, Abhoynagar</t>
    </r>
  </si>
  <si>
    <r>
      <rPr>
        <sz val="12"/>
        <rFont val="Segoe UI"/>
        <family val="2"/>
      </rPr>
      <t>Joint Secretary, Rural Development  Department, Secretariat, Agartala</t>
    </r>
  </si>
  <si>
    <r>
      <rPr>
        <sz val="12"/>
        <rFont val="Segoe UI"/>
        <family val="2"/>
      </rPr>
      <t>Principal, DIET, West Tripura District, Agartala</t>
    </r>
  </si>
  <si>
    <r>
      <rPr>
        <sz val="12"/>
        <rFont val="Segoe UI"/>
        <family val="2"/>
      </rPr>
      <t>Principal, Government College of Art &amp; Crafts, Agartala</t>
    </r>
  </si>
  <si>
    <r>
      <rPr>
        <sz val="12"/>
        <rFont val="Segoe UI"/>
        <family val="2"/>
      </rPr>
      <t>Principal, Institute of Advanced Studies in Education, Agartala</t>
    </r>
  </si>
  <si>
    <r>
      <rPr>
        <sz val="12"/>
        <rFont val="Segoe UI"/>
        <family val="2"/>
      </rPr>
      <t>Principal, IVH(G)</t>
    </r>
  </si>
  <si>
    <r>
      <rPr>
        <sz val="12"/>
        <rFont val="Segoe UI"/>
        <family val="2"/>
      </rPr>
      <t>Principal, SCERT, Agartala</t>
    </r>
  </si>
  <si>
    <r>
      <rPr>
        <sz val="12"/>
        <rFont val="Segoe UI"/>
        <family val="2"/>
      </rPr>
      <t>Principal, Regional Survey Traning Institute,Arundhutinagar, Agartala</t>
    </r>
  </si>
  <si>
    <r>
      <rPr>
        <sz val="12"/>
        <rFont val="Segoe UI"/>
        <family val="2"/>
      </rPr>
      <t>Addl.Secretary, C.M. Secretariat, Tripura</t>
    </r>
  </si>
  <si>
    <r>
      <rPr>
        <sz val="12"/>
        <rFont val="Segoe UI"/>
        <family val="2"/>
      </rPr>
      <t>Supdt.of Excise, West Tripura</t>
    </r>
  </si>
  <si>
    <r>
      <rPr>
        <sz val="12"/>
        <rFont val="Segoe UI"/>
        <family val="2"/>
      </rPr>
      <t>Town &amp; Country Planner, T&amp;CP Organisation</t>
    </r>
  </si>
  <si>
    <r>
      <rPr>
        <sz val="12"/>
        <rFont val="Segoe UI"/>
        <family val="2"/>
      </rPr>
      <t>Section Officer, General Administration (SA) Department</t>
    </r>
  </si>
  <si>
    <r>
      <rPr>
        <sz val="12"/>
        <rFont val="Segoe UI"/>
        <family val="2"/>
      </rPr>
      <t>Dy.Director, State FSL, Narsingarh</t>
    </r>
  </si>
  <si>
    <r>
      <rPr>
        <sz val="12"/>
        <rFont val="Segoe UI"/>
        <family val="2"/>
      </rPr>
      <t>Managing Director, TRTC, Agartala</t>
    </r>
  </si>
  <si>
    <r>
      <rPr>
        <sz val="12"/>
        <rFont val="Segoe UI"/>
        <family val="2"/>
      </rPr>
      <t>Asstt. Municipal Commissioner, AMC</t>
    </r>
  </si>
  <si>
    <r>
      <rPr>
        <sz val="12"/>
        <rFont val="Segoe UI"/>
        <family val="2"/>
      </rPr>
      <t>Secretary, Tripura Board of Wakfs</t>
    </r>
  </si>
  <si>
    <r>
      <rPr>
        <sz val="12"/>
        <rFont val="Segoe UI"/>
        <family val="2"/>
      </rPr>
      <t>Member Secretary, TCW</t>
    </r>
  </si>
  <si>
    <r>
      <rPr>
        <sz val="12"/>
        <rFont val="Segoe UI"/>
        <family val="2"/>
      </rPr>
      <t>Chairman, TSSWB</t>
    </r>
  </si>
  <si>
    <r>
      <rPr>
        <sz val="12"/>
        <rFont val="Segoe UI"/>
        <family val="2"/>
      </rPr>
      <t>Accouints Officer, DDO Agricultural Census, DLRS</t>
    </r>
  </si>
  <si>
    <r>
      <rPr>
        <sz val="12"/>
        <rFont val="Segoe UI"/>
        <family val="2"/>
      </rPr>
      <t>Land Acquisition Collector</t>
    </r>
  </si>
  <si>
    <r>
      <rPr>
        <sz val="12"/>
        <rFont val="Segoe UI"/>
        <family val="2"/>
      </rPr>
      <t>Treasury Officer, Agartala Treasury No. I, Agartala</t>
    </r>
  </si>
  <si>
    <r>
      <rPr>
        <sz val="12"/>
        <rFont val="Segoe UI"/>
        <family val="2"/>
      </rPr>
      <t>Joint Commissioner of Taxes</t>
    </r>
  </si>
  <si>
    <r>
      <rPr>
        <sz val="12"/>
        <rFont val="Segoe UI"/>
        <family val="2"/>
      </rPr>
      <t>Deputy Controller, LM, Agartala</t>
    </r>
  </si>
  <si>
    <r>
      <rPr>
        <sz val="12"/>
        <rFont val="Segoe UI"/>
        <family val="2"/>
      </rPr>
      <t>Executive Engineer, RD 1st Circle, Agartala, West Tripura</t>
    </r>
  </si>
  <si>
    <r>
      <rPr>
        <sz val="12"/>
        <rFont val="Segoe UI"/>
        <family val="2"/>
      </rPr>
      <t>Sub-Divisional Welfare Officer, Sadar</t>
    </r>
  </si>
  <si>
    <r>
      <rPr>
        <sz val="12"/>
        <rFont val="Segoe UI"/>
        <family val="2"/>
      </rPr>
      <t>Superintendent of Taxes, Charge-V, Agartala</t>
    </r>
  </si>
  <si>
    <r>
      <rPr>
        <sz val="12"/>
        <rFont val="Segoe UI"/>
        <family val="2"/>
      </rPr>
      <t>Joint Director, Mid-Day-Meal Programme, Agartala</t>
    </r>
  </si>
  <si>
    <r>
      <rPr>
        <sz val="12"/>
        <rFont val="Segoe UI"/>
        <family val="2"/>
      </rPr>
      <t>Assistant Commissioner of Excise, Agartala</t>
    </r>
  </si>
  <si>
    <r>
      <rPr>
        <sz val="12"/>
        <rFont val="Segoe UI"/>
        <family val="2"/>
      </rPr>
      <t>Deputy Director, Directorate of TRP &amp; PTG, Pandit Nehru Complex, Gorkhabast</t>
    </r>
  </si>
  <si>
    <r>
      <rPr>
        <sz val="12"/>
        <rFont val="Segoe UI"/>
        <family val="2"/>
      </rPr>
      <t>Joint Director, FCS &amp; CA, Agartala</t>
    </r>
  </si>
  <si>
    <r>
      <rPr>
        <sz val="12"/>
        <rFont val="Segoe UI"/>
        <family val="2"/>
      </rPr>
      <t>Assistant Director, Directorate of Handloom, Handicrafts &amp; Sericulture</t>
    </r>
  </si>
  <si>
    <r>
      <rPr>
        <sz val="12"/>
        <rFont val="Segoe UI"/>
        <family val="2"/>
      </rPr>
      <t>Architect, PWD, Agartala</t>
    </r>
  </si>
  <si>
    <r>
      <rPr>
        <sz val="12"/>
        <rFont val="Segoe UI"/>
        <family val="2"/>
      </rPr>
      <t>Assistant Registrar of Co-operative Societies, Agartala</t>
    </r>
  </si>
  <si>
    <r>
      <rPr>
        <sz val="12"/>
        <rFont val="Segoe UI"/>
        <family val="2"/>
      </rPr>
      <t>Joint Labour Commissioner, Office of the Labour Commissioner, Agartala</t>
    </r>
  </si>
  <si>
    <r>
      <rPr>
        <sz val="12"/>
        <rFont val="Segoe UI"/>
        <family val="2"/>
      </rPr>
      <t>Deputy Director of Agriculture, West Tripura</t>
    </r>
  </si>
  <si>
    <r>
      <rPr>
        <sz val="12"/>
        <rFont val="Segoe UI"/>
        <family val="2"/>
      </rPr>
      <t>Manager  (M&amp;E), DIC</t>
    </r>
  </si>
  <si>
    <r>
      <rPr>
        <sz val="12"/>
        <rFont val="Segoe UI"/>
        <family val="2"/>
      </rPr>
      <t>Assistant Director, District Office,HHS,  Indranagar, Agartala</t>
    </r>
  </si>
  <si>
    <r>
      <rPr>
        <sz val="12"/>
        <rFont val="Segoe UI"/>
        <family val="2"/>
      </rPr>
      <t>Principal, ITI- Indranagar</t>
    </r>
  </si>
  <si>
    <r>
      <rPr>
        <sz val="12"/>
        <rFont val="Segoe UI"/>
        <family val="2"/>
      </rPr>
      <t>Deputy Registrar, Co-operative Societies,West Tripura Dist. Agartala</t>
    </r>
  </si>
  <si>
    <r>
      <rPr>
        <sz val="12"/>
        <rFont val="Segoe UI"/>
        <family val="2"/>
      </rPr>
      <t>Deputy Transport Commissioner, Agartala</t>
    </r>
  </si>
  <si>
    <r>
      <rPr>
        <sz val="12"/>
        <rFont val="Segoe UI"/>
        <family val="2"/>
      </rPr>
      <t>Joint Director, Directorate of Infornation Technolgy</t>
    </r>
  </si>
  <si>
    <r>
      <rPr>
        <sz val="12"/>
        <rFont val="Segoe UI"/>
        <family val="2"/>
      </rPr>
      <t>District Labour Officer, West Tripura District, Agartala</t>
    </r>
  </si>
  <si>
    <r>
      <rPr>
        <sz val="12"/>
        <rFont val="Segoe UI"/>
        <family val="2"/>
      </rPr>
      <t>District Statistical Officer, West Tripura District, Agartala</t>
    </r>
  </si>
  <si>
    <r>
      <rPr>
        <sz val="12"/>
        <rFont val="Segoe UI"/>
        <family val="2"/>
      </rPr>
      <t>District Walfare Officer, West Tripura</t>
    </r>
  </si>
  <si>
    <r>
      <rPr>
        <sz val="12"/>
        <rFont val="Segoe UI"/>
        <family val="2"/>
      </rPr>
      <t>Divisional Forest Officer, Direction Division</t>
    </r>
  </si>
  <si>
    <r>
      <rPr>
        <sz val="12"/>
        <rFont val="Segoe UI"/>
        <family val="2"/>
      </rPr>
      <t>Deputy Conservator of Forests, Training Division</t>
    </r>
  </si>
  <si>
    <r>
      <rPr>
        <sz val="12"/>
        <rFont val="Segoe UI"/>
        <family val="2"/>
      </rPr>
      <t>Deputy Conservator of Forests, Working Plan Division-II</t>
    </r>
  </si>
  <si>
    <r>
      <rPr>
        <sz val="12"/>
        <rFont val="Segoe UI"/>
        <family val="2"/>
      </rPr>
      <t>Deputy Consevator of Forests, Working Plan Division-I</t>
    </r>
  </si>
  <si>
    <r>
      <rPr>
        <sz val="12"/>
        <rFont val="Segoe UI"/>
        <family val="2"/>
      </rPr>
      <t>Deputy Conservator of Forests, Reasarch Division</t>
    </r>
  </si>
  <si>
    <r>
      <rPr>
        <sz val="12"/>
        <rFont val="Segoe UI"/>
        <family val="2"/>
      </rPr>
      <t>Electrical Inspector, Agartala</t>
    </r>
  </si>
  <si>
    <r>
      <rPr>
        <sz val="12"/>
        <rFont val="Segoe UI"/>
        <family val="2"/>
      </rPr>
      <t>Estate Officer, PWD, Agartala</t>
    </r>
  </si>
  <si>
    <r>
      <rPr>
        <sz val="12"/>
        <rFont val="Segoe UI"/>
        <family val="2"/>
      </rPr>
      <t>Executive Engineer,  PWD Division-I, Agartala</t>
    </r>
  </si>
  <si>
    <r>
      <rPr>
        <sz val="12"/>
        <rFont val="Segoe UI"/>
        <family val="2"/>
      </rPr>
      <t>Executive Engineer,  PWD Division-III, Agartala</t>
    </r>
  </si>
  <si>
    <r>
      <rPr>
        <sz val="12"/>
        <rFont val="Segoe UI"/>
        <family val="2"/>
      </rPr>
      <t>Executive Engineer,  PWD Division-V, Agartala</t>
    </r>
  </si>
  <si>
    <r>
      <rPr>
        <sz val="12"/>
        <rFont val="Segoe UI"/>
        <family val="2"/>
      </rPr>
      <t>Executive Engineer, Capital Complex Division</t>
    </r>
  </si>
  <si>
    <r>
      <rPr>
        <sz val="12"/>
        <rFont val="Segoe UI"/>
        <family val="2"/>
      </rPr>
      <t>DGM, Gas Thermal Electrical Div., TSECL.</t>
    </r>
  </si>
  <si>
    <r>
      <rPr>
        <sz val="12"/>
        <rFont val="Segoe UI"/>
        <family val="2"/>
      </rPr>
      <t>Executive Engineer, Water Resource  Division-II, Agartala</t>
    </r>
  </si>
  <si>
    <r>
      <rPr>
        <sz val="12"/>
        <rFont val="Segoe UI"/>
        <family val="2"/>
      </rPr>
      <t>Executive Engineer, Mechanical Division, Agartala</t>
    </r>
  </si>
  <si>
    <r>
      <rPr>
        <sz val="12"/>
        <rFont val="Segoe UI"/>
        <family val="2"/>
      </rPr>
      <t>Executive Engineer, DWS Division-I, Agartala</t>
    </r>
  </si>
  <si>
    <r>
      <rPr>
        <sz val="12"/>
        <rFont val="Segoe UI"/>
        <family val="2"/>
      </rPr>
      <t>Executive Engineer, DWS Division-II, Agartala</t>
    </r>
  </si>
  <si>
    <r>
      <rPr>
        <sz val="12"/>
        <rFont val="Segoe UI"/>
        <family val="2"/>
      </rPr>
      <t>Executive Engineer, Rig Division, Agartala</t>
    </r>
  </si>
  <si>
    <r>
      <rPr>
        <sz val="12"/>
        <rFont val="Segoe UI"/>
        <family val="2"/>
      </rPr>
      <t>Executive Engineer, Water Resource Investigation Division, Kunjaban</t>
    </r>
  </si>
  <si>
    <r>
      <rPr>
        <sz val="12"/>
        <rFont val="Segoe UI"/>
        <family val="2"/>
      </rPr>
      <t>Genaral Manager, DIC (West)</t>
    </r>
  </si>
  <si>
    <r>
      <rPr>
        <sz val="12"/>
        <rFont val="Segoe UI"/>
        <family val="2"/>
      </rPr>
      <t>Dy. Director (C&amp;D), Directorate of Fisheries, Pandit Nehru Complex</t>
    </r>
  </si>
  <si>
    <r>
      <rPr>
        <sz val="12"/>
        <rFont val="Segoe UI"/>
        <family val="2"/>
      </rPr>
      <t>Additional Director (TW)</t>
    </r>
  </si>
  <si>
    <r>
      <rPr>
        <sz val="12"/>
        <rFont val="Segoe UI"/>
        <family val="2"/>
      </rPr>
      <t>Project Officer, ICDP-I, Agartala</t>
    </r>
  </si>
  <si>
    <r>
      <rPr>
        <sz val="12"/>
        <rFont val="Segoe UI"/>
        <family val="2"/>
      </rPr>
      <t>Statistical Officer, Directorate of Economics &amp; Statistics, Agartala</t>
    </r>
  </si>
  <si>
    <r>
      <rPr>
        <sz val="12"/>
        <rFont val="Segoe UI"/>
        <family val="2"/>
      </rPr>
      <t>Linguistic Officer</t>
    </r>
  </si>
  <si>
    <r>
      <rPr>
        <sz val="12"/>
        <rFont val="Segoe UI"/>
        <family val="2"/>
      </rPr>
      <t>Section Officer, Office of the Chief Engineer, Water Resource, Kunjaban</t>
    </r>
  </si>
  <si>
    <r>
      <rPr>
        <sz val="12"/>
        <rFont val="Segoe UI"/>
        <family val="2"/>
      </rPr>
      <t>Section Officer, Office of the Chief Engineer, PWD (R&amp;B)</t>
    </r>
  </si>
  <si>
    <r>
      <rPr>
        <sz val="12"/>
        <rFont val="Segoe UI"/>
        <family val="2"/>
      </rPr>
      <t>Joint Director, SC Welfare</t>
    </r>
  </si>
  <si>
    <r>
      <rPr>
        <sz val="12"/>
        <rFont val="Segoe UI"/>
        <family val="2"/>
      </rPr>
      <t>Senior Scientific Officer,O/oDirector deptt.of Sc.tech.&amp; Env., Kunjaban</t>
    </r>
  </si>
  <si>
    <r>
      <rPr>
        <sz val="12"/>
        <rFont val="Segoe UI"/>
        <family val="2"/>
      </rPr>
      <t>Supdt.of Agri, Mandai Agri Sub Div.</t>
    </r>
  </si>
  <si>
    <r>
      <rPr>
        <sz val="12"/>
        <rFont val="Segoe UI"/>
        <family val="2"/>
      </rPr>
      <t>Superientendent of Fisheries, Sadar-I, Agartala</t>
    </r>
  </si>
  <si>
    <r>
      <rPr>
        <sz val="12"/>
        <rFont val="Segoe UI"/>
        <family val="2"/>
      </rPr>
      <t>TA to  Superintending Engineer, Water Resource Circle-I, Agartala</t>
    </r>
  </si>
  <si>
    <r>
      <rPr>
        <sz val="12"/>
        <rFont val="Segoe UI"/>
        <family val="2"/>
      </rPr>
      <t>TA to  Superintending Engineer, DWS Circle, Agartala</t>
    </r>
  </si>
  <si>
    <r>
      <rPr>
        <sz val="12"/>
        <rFont val="Segoe UI"/>
        <family val="2"/>
      </rPr>
      <t>TA to  Superintending Engineer, Planning Circle, Agartala</t>
    </r>
  </si>
  <si>
    <r>
      <rPr>
        <sz val="12"/>
        <rFont val="Segoe UI"/>
        <family val="2"/>
      </rPr>
      <t>TA to  Superintending Engineer, PWD 2nd Circle, Agartala</t>
    </r>
  </si>
  <si>
    <r>
      <rPr>
        <sz val="12"/>
        <rFont val="Segoe UI"/>
        <family val="2"/>
      </rPr>
      <t>TA to  Superintending Engineer, PWD 4th Circle, Agartala</t>
    </r>
  </si>
  <si>
    <r>
      <rPr>
        <sz val="12"/>
        <rFont val="Segoe UI"/>
        <family val="2"/>
      </rPr>
      <t>TA to Superintending Engineer, Planning and Design Unit PWD(WR), Kunjaban</t>
    </r>
  </si>
  <si>
    <r>
      <rPr>
        <sz val="12"/>
        <rFont val="Segoe UI"/>
        <family val="2"/>
      </rPr>
      <t>TA to  Superintending Engineer, Monitoring and Planning Circle, DWS, Kunjaba</t>
    </r>
  </si>
  <si>
    <r>
      <rPr>
        <sz val="12"/>
        <rFont val="Segoe UI"/>
        <family val="2"/>
      </rPr>
      <t>Additional Director, Land Records &amp; Settlement</t>
    </r>
  </si>
  <si>
    <r>
      <rPr>
        <sz val="12"/>
        <rFont val="Segoe UI"/>
        <family val="2"/>
      </rPr>
      <t>Assistant Director, Directorate of Sainik Welfare</t>
    </r>
  </si>
  <si>
    <r>
      <rPr>
        <sz val="12"/>
        <rFont val="Segoe UI"/>
        <family val="2"/>
      </rPr>
      <t>Principal, Women- ITI, Indranagar</t>
    </r>
  </si>
  <si>
    <r>
      <rPr>
        <sz val="12"/>
        <rFont val="Segoe UI"/>
        <family val="2"/>
      </rPr>
      <t>Senior Scientific officer</t>
    </r>
  </si>
  <si>
    <r>
      <rPr>
        <sz val="12"/>
        <rFont val="Segoe UI"/>
        <family val="2"/>
      </rPr>
      <t>Executive Engineer, Engineering Cell, Power Department, Agartala</t>
    </r>
  </si>
  <si>
    <r>
      <rPr>
        <sz val="12"/>
        <rFont val="Segoe UI"/>
        <family val="2"/>
      </rPr>
      <t>Section Officer, Office of the Chief Engineer, PWD (DWS), Agartala.</t>
    </r>
  </si>
  <si>
    <r>
      <rPr>
        <sz val="12"/>
        <rFont val="Segoe UI"/>
        <family val="2"/>
      </rPr>
      <t>TA to  Superintending Engineer, Project Circle, Agartala</t>
    </r>
  </si>
  <si>
    <r>
      <rPr>
        <sz val="12"/>
        <rFont val="Segoe UI"/>
        <family val="2"/>
      </rPr>
      <t>Executive Engineer, Medical College Division, Agartala.</t>
    </r>
  </si>
  <si>
    <r>
      <rPr>
        <sz val="12"/>
        <rFont val="Segoe UI"/>
        <family val="2"/>
      </rPr>
      <t>Treasry Officer, Agartala Treasury No.II, Agartala</t>
    </r>
  </si>
  <si>
    <r>
      <rPr>
        <sz val="12"/>
        <rFont val="Segoe UI"/>
        <family val="2"/>
      </rPr>
      <t>Deputy Director, Directorate of Welfare for Minorities</t>
    </r>
  </si>
  <si>
    <r>
      <rPr>
        <sz val="12"/>
        <rFont val="Segoe UI"/>
        <family val="2"/>
      </rPr>
      <t>Executive Engineer , DWS Store Division, Agartala, West Tripura</t>
    </r>
  </si>
  <si>
    <r>
      <rPr>
        <sz val="12"/>
        <rFont val="Segoe UI"/>
        <family val="2"/>
      </rPr>
      <t>Assistant Director, Directorate of Tourism, Govt. of Tripura, Agartala</t>
    </r>
  </si>
  <si>
    <r>
      <rPr>
        <sz val="12"/>
        <rFont val="Segoe UI"/>
        <family val="2"/>
      </rPr>
      <t>Joint. Director for welfare of OBC</t>
    </r>
  </si>
  <si>
    <r>
      <rPr>
        <sz val="12"/>
        <rFont val="Segoe UI"/>
        <family val="2"/>
      </rPr>
      <t>Sub-Divisional Forest Officer,  Sadar</t>
    </r>
  </si>
  <si>
    <r>
      <rPr>
        <sz val="12"/>
        <rFont val="Segoe UI"/>
        <family val="2"/>
      </rPr>
      <t>Executive Engineer,  PWD,  NH Division, Netaji Chowmuhani</t>
    </r>
  </si>
  <si>
    <r>
      <rPr>
        <sz val="12"/>
        <rFont val="Segoe UI"/>
        <family val="2"/>
      </rPr>
      <t>TA to  Superintending Engineer, NH Circle, PWD, Pandit Nehru Complex</t>
    </r>
  </si>
  <si>
    <r>
      <rPr>
        <sz val="12"/>
        <rFont val="Segoe UI"/>
        <family val="2"/>
      </rPr>
      <t>District Forest Officer, West Tripura District</t>
    </r>
  </si>
  <si>
    <r>
      <rPr>
        <sz val="12"/>
        <rFont val="Segoe UI"/>
        <family val="2"/>
      </rPr>
      <t>T.A. to SQC &amp; Empowered Officer (PMGSY), Agartala, West Tripura</t>
    </r>
  </si>
  <si>
    <r>
      <rPr>
        <sz val="12"/>
        <rFont val="Segoe UI"/>
        <family val="2"/>
      </rPr>
      <t>Section Officer, Office of the Chief Engineer, PWD (NH)</t>
    </r>
  </si>
  <si>
    <r>
      <rPr>
        <sz val="12"/>
        <rFont val="Segoe UI"/>
        <family val="2"/>
      </rPr>
      <t>Executive Engineer, Store Division, PWD(R&amp;B), Arundhatinagar</t>
    </r>
  </si>
  <si>
    <r>
      <rPr>
        <sz val="12"/>
        <rFont val="Segoe UI"/>
        <family val="2"/>
      </rPr>
      <t>Joint Director, Directorate of Treasuries</t>
    </r>
  </si>
  <si>
    <r>
      <rPr>
        <sz val="12"/>
        <rFont val="Segoe UI"/>
        <family val="2"/>
      </rPr>
      <t>Registrar, O/o the P.O. LAR&amp;R Authority</t>
    </r>
  </si>
  <si>
    <r>
      <rPr>
        <sz val="12"/>
        <rFont val="Segoe UI"/>
        <family val="2"/>
      </rPr>
      <t>Sub-Divisional Magistrate, Sonamura</t>
    </r>
  </si>
  <si>
    <r>
      <rPr>
        <sz val="12"/>
        <rFont val="Segoe UI"/>
        <family val="2"/>
      </rPr>
      <t>Assistant Registrar, Co-operative Societies, Sonamura</t>
    </r>
  </si>
  <si>
    <r>
      <rPr>
        <sz val="12"/>
        <rFont val="Segoe UI"/>
        <family val="2"/>
      </rPr>
      <t>CDPO, Melaghar</t>
    </r>
  </si>
  <si>
    <r>
      <rPr>
        <sz val="12"/>
        <rFont val="Segoe UI"/>
        <family val="2"/>
      </rPr>
      <t>Sub-Registrar, Sonamura</t>
    </r>
  </si>
  <si>
    <r>
      <rPr>
        <sz val="12"/>
        <rFont val="Segoe UI"/>
        <family val="2"/>
      </rPr>
      <t>Superintendent of Agriculture, Boxanagar</t>
    </r>
  </si>
  <si>
    <r>
      <rPr>
        <sz val="12"/>
        <rFont val="Segoe UI"/>
        <family val="2"/>
      </rPr>
      <t>Superientendent of Fisheries, Sonamura</t>
    </r>
  </si>
  <si>
    <r>
      <rPr>
        <sz val="12"/>
        <rFont val="Segoe UI"/>
        <family val="2"/>
      </rPr>
      <t>CDPO, Boxanagar</t>
    </r>
  </si>
  <si>
    <r>
      <rPr>
        <sz val="12"/>
        <rFont val="Segoe UI"/>
        <family val="2"/>
      </rPr>
      <t>Executive Officer Sonamura Nagar Panchayat</t>
    </r>
  </si>
  <si>
    <r>
      <rPr>
        <sz val="12"/>
        <rFont val="Segoe UI"/>
        <family val="2"/>
      </rPr>
      <t>CDPO, Sonamura NP</t>
    </r>
  </si>
  <si>
    <r>
      <rPr>
        <sz val="12"/>
        <rFont val="Segoe UI"/>
        <family val="2"/>
      </rPr>
      <t>Sub-Divisional Welfare Officer, Sonamura</t>
    </r>
  </si>
  <si>
    <r>
      <rPr>
        <sz val="12"/>
        <rFont val="Segoe UI"/>
        <family val="2"/>
      </rPr>
      <t>Sub-Divisional Forest Officer,  Sonamura</t>
    </r>
  </si>
  <si>
    <r>
      <rPr>
        <sz val="12"/>
        <rFont val="Segoe UI"/>
        <family val="2"/>
      </rPr>
      <t>Superintendent of Agriculture, Kathalia</t>
    </r>
  </si>
  <si>
    <r>
      <rPr>
        <sz val="12"/>
        <rFont val="Segoe UI"/>
        <family val="2"/>
      </rPr>
      <t>Superintendent of Agriculture, Mohanbhog Agri Sub-Divn</t>
    </r>
  </si>
  <si>
    <r>
      <rPr>
        <sz val="12"/>
        <rFont val="Segoe UI"/>
        <family val="2"/>
      </rPr>
      <t>Sub-Treasury Officer, Sonamura</t>
    </r>
  </si>
  <si>
    <r>
      <rPr>
        <sz val="12"/>
        <rFont val="Segoe UI"/>
        <family val="2"/>
      </rPr>
      <t>Asstt.Controller, LM, Udaipur</t>
    </r>
  </si>
  <si>
    <r>
      <rPr>
        <sz val="12"/>
        <rFont val="Segoe UI"/>
        <family val="2"/>
      </rPr>
      <t>Assistant Director, DPF, Udaipur</t>
    </r>
  </si>
  <si>
    <r>
      <rPr>
        <sz val="12"/>
        <rFont val="Segoe UI"/>
        <family val="2"/>
      </rPr>
      <t>CDPO, Killa</t>
    </r>
  </si>
  <si>
    <r>
      <rPr>
        <sz val="12"/>
        <rFont val="Segoe UI"/>
        <family val="2"/>
      </rPr>
      <t>Deputy Director of Agriculture, Gomati District, Udaipur</t>
    </r>
  </si>
  <si>
    <r>
      <rPr>
        <sz val="12"/>
        <rFont val="Segoe UI"/>
        <family val="2"/>
      </rPr>
      <t>Assistant Director, District ICA Office, Udaipur</t>
    </r>
  </si>
  <si>
    <r>
      <rPr>
        <sz val="12"/>
        <rFont val="Segoe UI"/>
        <family val="2"/>
      </rPr>
      <t>Deputy Director, Tribal Rehabilitation Division, Gomti District, Udaipur</t>
    </r>
  </si>
  <si>
    <r>
      <rPr>
        <sz val="12"/>
        <rFont val="Segoe UI"/>
        <family val="2"/>
      </rPr>
      <t>Deputy Registrar, Co-operative Societies,Gomati</t>
    </r>
  </si>
  <si>
    <r>
      <rPr>
        <sz val="12"/>
        <rFont val="Segoe UI"/>
        <family val="2"/>
      </rPr>
      <t>District  Planning Officer,Gomati District</t>
    </r>
  </si>
  <si>
    <r>
      <rPr>
        <sz val="12"/>
        <rFont val="Segoe UI"/>
        <family val="2"/>
      </rPr>
      <t>DISTRICT REGISTRAR</t>
    </r>
  </si>
  <si>
    <r>
      <rPr>
        <sz val="12"/>
        <rFont val="Segoe UI"/>
        <family val="2"/>
      </rPr>
      <t>District Transport Officer, Gomati District</t>
    </r>
  </si>
  <si>
    <r>
      <rPr>
        <sz val="12"/>
        <rFont val="Segoe UI"/>
        <family val="2"/>
      </rPr>
      <t>Executive Engineer (Agriculture), Gomati District</t>
    </r>
  </si>
  <si>
    <r>
      <rPr>
        <sz val="12"/>
        <rFont val="Segoe UI"/>
        <family val="2"/>
      </rPr>
      <t>Executive Engineer, Water Resource Division -III, Udaipur</t>
    </r>
  </si>
  <si>
    <r>
      <rPr>
        <sz val="12"/>
        <rFont val="Segoe UI"/>
        <family val="2"/>
      </rPr>
      <t>Executive Engineer, RD Udaipur Division</t>
    </r>
  </si>
  <si>
    <r>
      <rPr>
        <sz val="12"/>
        <rFont val="Segoe UI"/>
        <family val="2"/>
      </rPr>
      <t>Executive Engineer, PWD (R&amp;B), Udaipur Division</t>
    </r>
  </si>
  <si>
    <r>
      <rPr>
        <sz val="12"/>
        <rFont val="Segoe UI"/>
        <family val="2"/>
      </rPr>
      <t>General Manager, DIC Udaipur</t>
    </r>
  </si>
  <si>
    <r>
      <rPr>
        <sz val="12"/>
        <rFont val="Segoe UI"/>
        <family val="2"/>
      </rPr>
      <t>Labour Officer, Gomati District, Udaipur</t>
    </r>
  </si>
  <si>
    <r>
      <rPr>
        <sz val="12"/>
        <rFont val="Segoe UI"/>
        <family val="2"/>
      </rPr>
      <t>Principal, District Institute of Education &amp; Training (DIET), Kakraban</t>
    </r>
  </si>
  <si>
    <r>
      <rPr>
        <sz val="12"/>
        <rFont val="Segoe UI"/>
        <family val="2"/>
      </rPr>
      <t>Statistical Officer, Gomati, Udaipur</t>
    </r>
  </si>
  <si>
    <r>
      <rPr>
        <sz val="12"/>
        <rFont val="Segoe UI"/>
        <family val="2"/>
      </rPr>
      <t>Superintendent of Agriculture, Matabari</t>
    </r>
  </si>
  <si>
    <r>
      <rPr>
        <sz val="12"/>
        <rFont val="Segoe UI"/>
        <family val="2"/>
      </rPr>
      <t>Superintendent of Fisheries, Tripura Fisheries Training Institute, Udaipur</t>
    </r>
  </si>
  <si>
    <r>
      <rPr>
        <sz val="12"/>
        <rFont val="Segoe UI"/>
        <family val="2"/>
      </rPr>
      <t>Superintendent of Fisheries, Udaipur, Gomati</t>
    </r>
  </si>
  <si>
    <r>
      <rPr>
        <sz val="12"/>
        <rFont val="Segoe UI"/>
        <family val="2"/>
      </rPr>
      <t>Superintending Engineer, PWD 3rd Circle, Udaipur</t>
    </r>
  </si>
  <si>
    <r>
      <rPr>
        <sz val="12"/>
        <rFont val="Segoe UI"/>
        <family val="2"/>
      </rPr>
      <t>Member Secretary, Udaipur Nagar Panchayat, Udaipur</t>
    </r>
  </si>
  <si>
    <r>
      <rPr>
        <sz val="12"/>
        <rFont val="Segoe UI"/>
        <family val="2"/>
      </rPr>
      <t>Treasury Officer, Udaipur</t>
    </r>
  </si>
  <si>
    <r>
      <rPr>
        <sz val="12"/>
        <rFont val="Segoe UI"/>
        <family val="2"/>
      </rPr>
      <t>CDPO, Kakraban</t>
    </r>
  </si>
  <si>
    <r>
      <rPr>
        <sz val="12"/>
        <rFont val="Segoe UI"/>
        <family val="2"/>
      </rPr>
      <t>Divisional Manager, Takmacherra Factory Division.</t>
    </r>
  </si>
  <si>
    <r>
      <rPr>
        <sz val="12"/>
        <rFont val="Segoe UI"/>
        <family val="2"/>
      </rPr>
      <t>CDPO, Udaipur NP</t>
    </r>
  </si>
  <si>
    <r>
      <rPr>
        <sz val="12"/>
        <rFont val="Segoe UI"/>
        <family val="2"/>
      </rPr>
      <t>Principal, ITI Udaipur</t>
    </r>
  </si>
  <si>
    <r>
      <rPr>
        <sz val="12"/>
        <rFont val="Segoe UI"/>
        <family val="2"/>
      </rPr>
      <t>Assistant  Director (Sericulture), Udaipur, Gomati</t>
    </r>
  </si>
  <si>
    <r>
      <rPr>
        <sz val="12"/>
        <rFont val="Segoe UI"/>
        <family val="2"/>
      </rPr>
      <t>Zonal Development Officer, TTAADC, Birchandra Manu</t>
    </r>
  </si>
  <si>
    <r>
      <rPr>
        <sz val="12"/>
        <rFont val="Segoe UI"/>
        <family val="2"/>
      </rPr>
      <t>Deputy Director, FCS &amp; CA, Udaipur</t>
    </r>
  </si>
  <si>
    <r>
      <rPr>
        <sz val="12"/>
        <rFont val="Segoe UI"/>
        <family val="2"/>
      </rPr>
      <t>Executive Engineer, RD Circle-III, Udaipur</t>
    </r>
  </si>
  <si>
    <r>
      <rPr>
        <sz val="12"/>
        <rFont val="Segoe UI"/>
        <family val="2"/>
      </rPr>
      <t>T.A to  Superintending Engineer, DWS Circle, Udaipur</t>
    </r>
  </si>
  <si>
    <r>
      <rPr>
        <sz val="12"/>
        <rFont val="Segoe UI"/>
        <family val="2"/>
      </rPr>
      <t>TA to  Superintending Engineer, Water Resource Circle-III, Udaipur</t>
    </r>
  </si>
  <si>
    <r>
      <rPr>
        <sz val="12"/>
        <rFont val="Segoe UI"/>
        <family val="2"/>
      </rPr>
      <t>Sub-Divisional Welfare Officer, Udaipur</t>
    </r>
  </si>
  <si>
    <r>
      <rPr>
        <sz val="12"/>
        <rFont val="Segoe UI"/>
        <family val="2"/>
      </rPr>
      <t>District Welfare Officer, Gomati</t>
    </r>
  </si>
  <si>
    <r>
      <rPr>
        <sz val="12"/>
        <rFont val="Segoe UI"/>
        <family val="2"/>
      </rPr>
      <t>District Forest Officer, Gomati</t>
    </r>
  </si>
  <si>
    <r>
      <rPr>
        <sz val="12"/>
        <rFont val="Segoe UI"/>
        <family val="2"/>
      </rPr>
      <t>Sub-Divisional Forest Officer,  Udaipur</t>
    </r>
  </si>
  <si>
    <r>
      <rPr>
        <sz val="12"/>
        <rFont val="Segoe UI"/>
        <family val="2"/>
      </rPr>
      <t>Superintendent of Agriculture, Killa</t>
    </r>
  </si>
  <si>
    <r>
      <rPr>
        <sz val="12"/>
        <rFont val="Segoe UI"/>
        <family val="2"/>
      </rPr>
      <t>Superintendent of Agriculture, Kakraban Agri Sub-Divn</t>
    </r>
  </si>
  <si>
    <r>
      <rPr>
        <sz val="12"/>
        <rFont val="Segoe UI"/>
        <family val="2"/>
      </rPr>
      <t>Assistant Director  (BL), Amarpur</t>
    </r>
  </si>
  <si>
    <r>
      <rPr>
        <sz val="12"/>
        <rFont val="Segoe UI"/>
        <family val="2"/>
      </rPr>
      <t>Assistant Registrar, Co-operative Societies, Amarpur</t>
    </r>
  </si>
  <si>
    <r>
      <rPr>
        <sz val="12"/>
        <rFont val="Segoe UI"/>
        <family val="2"/>
      </rPr>
      <t>Executive Engineer, PWD Division, Amarpur</t>
    </r>
  </si>
  <si>
    <r>
      <rPr>
        <sz val="12"/>
        <rFont val="Segoe UI"/>
        <family val="2"/>
      </rPr>
      <t>Sub-Registrar, Amarpur</t>
    </r>
  </si>
  <si>
    <r>
      <rPr>
        <sz val="12"/>
        <rFont val="Segoe UI"/>
        <family val="2"/>
      </rPr>
      <t>Superintendent of Agriculture, Amarpur</t>
    </r>
  </si>
  <si>
    <r>
      <rPr>
        <sz val="12"/>
        <rFont val="Segoe UI"/>
        <family val="2"/>
      </rPr>
      <t>Superintendent of Fisheries, Amarpur</t>
    </r>
  </si>
  <si>
    <r>
      <rPr>
        <sz val="12"/>
        <rFont val="Segoe UI"/>
        <family val="2"/>
      </rPr>
      <t>Superintendent of Fisheries, Gomati Reservoir Project, Jatanbari</t>
    </r>
  </si>
  <si>
    <r>
      <rPr>
        <sz val="12"/>
        <rFont val="Segoe UI"/>
        <family val="2"/>
      </rPr>
      <t>Executive Officer, Amarpur Nagar Panchayat, Amarpur</t>
    </r>
  </si>
  <si>
    <r>
      <rPr>
        <sz val="12"/>
        <rFont val="Segoe UI"/>
        <family val="2"/>
      </rPr>
      <t>Sub-Treasury Officer, Amarpur</t>
    </r>
  </si>
  <si>
    <r>
      <rPr>
        <sz val="12"/>
        <rFont val="Segoe UI"/>
        <family val="2"/>
      </rPr>
      <t>Superintendent of Taxes, Udaipur</t>
    </r>
  </si>
  <si>
    <r>
      <rPr>
        <sz val="12"/>
        <rFont val="Segoe UI"/>
        <family val="2"/>
      </rPr>
      <t>Executive Engineer, RD Amarpur Division</t>
    </r>
  </si>
  <si>
    <r>
      <rPr>
        <sz val="12"/>
        <rFont val="Segoe UI"/>
        <family val="2"/>
      </rPr>
      <t>Sub-Divisional Welfare Officer, Amarpur</t>
    </r>
  </si>
  <si>
    <r>
      <rPr>
        <sz val="12"/>
        <rFont val="Segoe UI"/>
        <family val="2"/>
      </rPr>
      <t>Sub-Divisional Welfare Officer, Karbook</t>
    </r>
  </si>
  <si>
    <r>
      <rPr>
        <sz val="12"/>
        <rFont val="Segoe UI"/>
        <family val="2"/>
      </rPr>
      <t>Sub-Divisional Forest Officer,  Amarpur</t>
    </r>
  </si>
  <si>
    <r>
      <rPr>
        <sz val="12"/>
        <rFont val="Segoe UI"/>
        <family val="2"/>
      </rPr>
      <t>Sub-Divisional Forest Officer,  Karbook</t>
    </r>
  </si>
  <si>
    <r>
      <rPr>
        <sz val="12"/>
        <rFont val="Segoe UI"/>
        <family val="2"/>
      </rPr>
      <t>Superintendent of Agriculture, karbook</t>
    </r>
  </si>
  <si>
    <r>
      <rPr>
        <sz val="12"/>
        <rFont val="Segoe UI"/>
        <family val="2"/>
      </rPr>
      <t>Superintendent of Agriculture, Ompi Agri Sub-Divn</t>
    </r>
  </si>
  <si>
    <r>
      <rPr>
        <sz val="12"/>
        <rFont val="Segoe UI"/>
        <family val="2"/>
      </rPr>
      <t>Assistant Director  (BL), Belonia</t>
    </r>
  </si>
  <si>
    <r>
      <rPr>
        <sz val="12"/>
        <rFont val="Segoe UI"/>
        <family val="2"/>
      </rPr>
      <t>Assistant Registrar, Co-operative Societies, Belonia</t>
    </r>
  </si>
  <si>
    <r>
      <rPr>
        <sz val="12"/>
        <rFont val="Segoe UI"/>
        <family val="2"/>
      </rPr>
      <t>CDPO, Rajnagar</t>
    </r>
  </si>
  <si>
    <r>
      <rPr>
        <sz val="12"/>
        <rFont val="Segoe UI"/>
        <family val="2"/>
      </rPr>
      <t>Executive Engineer, Water Resource Division-IV, Belonia</t>
    </r>
  </si>
  <si>
    <r>
      <rPr>
        <sz val="12"/>
        <rFont val="Segoe UI"/>
        <family val="2"/>
      </rPr>
      <t>Superintendent of Agriculture, Hrishyamukh Agri Sub-Divn</t>
    </r>
  </si>
  <si>
    <r>
      <rPr>
        <sz val="12"/>
        <rFont val="Segoe UI"/>
        <family val="2"/>
      </rPr>
      <t>Superintendent of Fisheries, Belonia</t>
    </r>
  </si>
  <si>
    <r>
      <rPr>
        <sz val="12"/>
        <rFont val="Segoe UI"/>
        <family val="2"/>
      </rPr>
      <t>Wildlife Warden, Trishna Wildlife Sanctuary</t>
    </r>
  </si>
  <si>
    <r>
      <rPr>
        <sz val="12"/>
        <rFont val="Segoe UI"/>
        <family val="2"/>
      </rPr>
      <t>Executive Engineer, DWS Division-VII, Belonia</t>
    </r>
  </si>
  <si>
    <r>
      <rPr>
        <sz val="12"/>
        <rFont val="Segoe UI"/>
        <family val="2"/>
      </rPr>
      <t>CDPO, Hrishyamukh</t>
    </r>
  </si>
  <si>
    <r>
      <rPr>
        <sz val="12"/>
        <rFont val="Segoe UI"/>
        <family val="2"/>
      </rPr>
      <t>Principal, ITI Belonia</t>
    </r>
  </si>
  <si>
    <r>
      <rPr>
        <sz val="12"/>
        <rFont val="Segoe UI"/>
        <family val="2"/>
      </rPr>
      <t>Superintendent of Taxes,Belonia</t>
    </r>
  </si>
  <si>
    <r>
      <rPr>
        <sz val="12"/>
        <rFont val="Segoe UI"/>
        <family val="2"/>
      </rPr>
      <t>Executive Engineer, Belonia Division, Belonia, South Tripura.</t>
    </r>
  </si>
  <si>
    <r>
      <rPr>
        <sz val="12"/>
        <rFont val="Segoe UI"/>
        <family val="2"/>
      </rPr>
      <t>Treasury Officer, Belonia</t>
    </r>
  </si>
  <si>
    <r>
      <rPr>
        <sz val="12"/>
        <rFont val="Segoe UI"/>
        <family val="2"/>
      </rPr>
      <t>Superintendent of Horticulture &amp; Soil Conservation, Belonia</t>
    </r>
  </si>
  <si>
    <r>
      <rPr>
        <sz val="12"/>
        <rFont val="Segoe UI"/>
        <family val="2"/>
      </rPr>
      <t>Executive Engineer (Deputy General Manager), Electrical Division Belonia.</t>
    </r>
  </si>
  <si>
    <r>
      <rPr>
        <sz val="12"/>
        <rFont val="Segoe UI"/>
        <family val="2"/>
      </rPr>
      <t>CDPO, Belonia NP</t>
    </r>
  </si>
  <si>
    <r>
      <rPr>
        <sz val="12"/>
        <rFont val="Segoe UI"/>
        <family val="2"/>
      </rPr>
      <t>ADM &amp; Collector of Excise, South Tripura</t>
    </r>
  </si>
  <si>
    <r>
      <rPr>
        <sz val="12"/>
        <rFont val="Segoe UI"/>
        <family val="2"/>
      </rPr>
      <t>District Welfare Officer, South Tripura</t>
    </r>
  </si>
  <si>
    <r>
      <rPr>
        <sz val="12"/>
        <rFont val="Segoe UI"/>
        <family val="2"/>
      </rPr>
      <t>Programme Officer, South</t>
    </r>
  </si>
  <si>
    <r>
      <rPr>
        <sz val="12"/>
        <rFont val="Segoe UI"/>
        <family val="2"/>
      </rPr>
      <t>Senior Information Officer, District ICA Office, Belonia</t>
    </r>
  </si>
  <si>
    <r>
      <rPr>
        <sz val="12"/>
        <rFont val="Segoe UI"/>
        <family val="2"/>
      </rPr>
      <t>District Forest Officer, South District</t>
    </r>
  </si>
  <si>
    <r>
      <rPr>
        <sz val="12"/>
        <rFont val="Segoe UI"/>
        <family val="2"/>
      </rPr>
      <t>Labour Officer, South Tripura District Labour Office</t>
    </r>
  </si>
  <si>
    <r>
      <rPr>
        <sz val="12"/>
        <rFont val="Segoe UI"/>
        <family val="2"/>
      </rPr>
      <t>Addl. General Manager, Electrical Circle, Belonia</t>
    </r>
  </si>
  <si>
    <r>
      <rPr>
        <sz val="12"/>
        <rFont val="Segoe UI"/>
        <family val="2"/>
      </rPr>
      <t>Assistant Registrar, Co-operative Societies, Sabroom</t>
    </r>
  </si>
  <si>
    <r>
      <rPr>
        <sz val="12"/>
        <rFont val="Segoe UI"/>
        <family val="2"/>
      </rPr>
      <t>Executive Engineer, PWD Division, Sabroom</t>
    </r>
  </si>
  <si>
    <r>
      <rPr>
        <sz val="12"/>
        <rFont val="Segoe UI"/>
        <family val="2"/>
      </rPr>
      <t>Superintendent of Fisheries, Sabroom</t>
    </r>
  </si>
  <si>
    <r>
      <rPr>
        <sz val="12"/>
        <rFont val="Segoe UI"/>
        <family val="2"/>
      </rPr>
      <t>Executive Officer, Sabroom Nagar Panchayat</t>
    </r>
  </si>
  <si>
    <r>
      <rPr>
        <sz val="12"/>
        <rFont val="Segoe UI"/>
        <family val="2"/>
      </rPr>
      <t>Superintendent of Agriculture, Rupaichari  Agri Sub-Division, Sabroom</t>
    </r>
  </si>
  <si>
    <r>
      <rPr>
        <sz val="12"/>
        <rFont val="Segoe UI"/>
        <family val="2"/>
      </rPr>
      <t>Executive Engineer, RD Satchand Division</t>
    </r>
  </si>
  <si>
    <r>
      <rPr>
        <sz val="12"/>
        <rFont val="Segoe UI"/>
        <family val="2"/>
      </rPr>
      <t>Sub-Divisional Welfare Officer, Sabroom</t>
    </r>
  </si>
  <si>
    <r>
      <rPr>
        <sz val="12"/>
        <rFont val="Segoe UI"/>
        <family val="2"/>
      </rPr>
      <t>Principal, ITI Manubankul</t>
    </r>
  </si>
  <si>
    <r>
      <rPr>
        <sz val="12"/>
        <rFont val="Segoe UI"/>
        <family val="2"/>
      </rPr>
      <t>Sub-Divisional Forest Officer,  Sabroom</t>
    </r>
  </si>
  <si>
    <r>
      <rPr>
        <sz val="12"/>
        <rFont val="Segoe UI"/>
        <family val="2"/>
      </rPr>
      <t>Sub-Treasury Officer, Sabroom</t>
    </r>
  </si>
  <si>
    <r>
      <rPr>
        <sz val="12"/>
        <rFont val="Segoe UI"/>
        <family val="2"/>
      </rPr>
      <t>CDPO, Bishalgarh</t>
    </r>
  </si>
  <si>
    <r>
      <rPr>
        <sz val="12"/>
        <rFont val="Segoe UI"/>
        <family val="2"/>
      </rPr>
      <t>CDPO, Dukli</t>
    </r>
  </si>
  <si>
    <r>
      <rPr>
        <sz val="12"/>
        <rFont val="Segoe UI"/>
        <family val="2"/>
      </rPr>
      <t>Executive Engineer, RD Bisramganj Division</t>
    </r>
  </si>
  <si>
    <r>
      <rPr>
        <sz val="12"/>
        <rFont val="Segoe UI"/>
        <family val="2"/>
      </rPr>
      <t>Superintendent of Taxes, Bishalgarh</t>
    </r>
  </si>
  <si>
    <r>
      <rPr>
        <sz val="12"/>
        <rFont val="Segoe UI"/>
        <family val="2"/>
      </rPr>
      <t>Assistant Registrar, Co-operative Societies, Bisalgarh</t>
    </r>
  </si>
  <si>
    <r>
      <rPr>
        <sz val="12"/>
        <rFont val="Segoe UI"/>
        <family val="2"/>
      </rPr>
      <t>Executive Engineer,  PWD Bishalgarh Division.</t>
    </r>
  </si>
  <si>
    <r>
      <rPr>
        <sz val="12"/>
        <rFont val="Segoe UI"/>
        <family val="2"/>
      </rPr>
      <t>Executive Engineer, DWS Division-VI, Bisalgarh</t>
    </r>
  </si>
  <si>
    <r>
      <rPr>
        <sz val="12"/>
        <rFont val="Segoe UI"/>
        <family val="2"/>
      </rPr>
      <t>Executive Engineer, Resource Division, Panchamukh</t>
    </r>
  </si>
  <si>
    <r>
      <rPr>
        <sz val="12"/>
        <rFont val="Segoe UI"/>
        <family val="2"/>
      </rPr>
      <t>Officer-in-charge Central Store, A.D Nagar</t>
    </r>
  </si>
  <si>
    <r>
      <rPr>
        <sz val="12"/>
        <rFont val="Segoe UI"/>
        <family val="2"/>
      </rPr>
      <t>Superientendent of Fisheries, Bishalgarh</t>
    </r>
  </si>
  <si>
    <r>
      <rPr>
        <sz val="12"/>
        <rFont val="Segoe UI"/>
        <family val="2"/>
      </rPr>
      <t>Wildlife Warden, Sepahijala</t>
    </r>
  </si>
  <si>
    <r>
      <rPr>
        <sz val="12"/>
        <rFont val="Segoe UI"/>
        <family val="2"/>
      </rPr>
      <t>Executive Engineer, Bishramganj Division, Bishramganj</t>
    </r>
  </si>
  <si>
    <r>
      <rPr>
        <sz val="12"/>
        <rFont val="Segoe UI"/>
        <family val="2"/>
      </rPr>
      <t>Superintendent of Horticulture &amp; Soil Conservation, Bishalgarh, Sepahijala.</t>
    </r>
  </si>
  <si>
    <r>
      <rPr>
        <sz val="12"/>
        <rFont val="Segoe UI"/>
        <family val="2"/>
      </rPr>
      <t>Director, Sepahijala Zoological Park</t>
    </r>
  </si>
  <si>
    <r>
      <rPr>
        <sz val="12"/>
        <rFont val="Segoe UI"/>
        <family val="2"/>
      </rPr>
      <t>Treasury Officer, Bishalgarh</t>
    </r>
  </si>
  <si>
    <r>
      <rPr>
        <sz val="12"/>
        <rFont val="Segoe UI"/>
        <family val="2"/>
      </rPr>
      <t>Sub-Divisional Welfare Officer, Bishalgarh</t>
    </r>
  </si>
  <si>
    <r>
      <rPr>
        <sz val="12"/>
        <rFont val="Segoe UI"/>
        <family val="2"/>
      </rPr>
      <t>Superintendent of Excise, Sepahijala District</t>
    </r>
  </si>
  <si>
    <r>
      <rPr>
        <sz val="12"/>
        <rFont val="Segoe UI"/>
        <family val="2"/>
      </rPr>
      <t>Land Acquisition Collector, Sepahijala District</t>
    </r>
  </si>
  <si>
    <r>
      <rPr>
        <sz val="12"/>
        <rFont val="Segoe UI"/>
        <family val="2"/>
      </rPr>
      <t>District Welfare Officer, Sipahijala</t>
    </r>
  </si>
  <si>
    <r>
      <rPr>
        <sz val="12"/>
        <rFont val="Segoe UI"/>
        <family val="2"/>
      </rPr>
      <t>Sub-Divisional Welfare Officer, Jampuijala</t>
    </r>
  </si>
  <si>
    <r>
      <rPr>
        <sz val="12"/>
        <rFont val="Segoe UI"/>
        <family val="2"/>
      </rPr>
      <t>Principal, ITI Boxanagar</t>
    </r>
  </si>
  <si>
    <r>
      <rPr>
        <sz val="12"/>
        <rFont val="Segoe UI"/>
        <family val="2"/>
      </rPr>
      <t>District Transport Officer, Sepahijala District</t>
    </r>
  </si>
  <si>
    <r>
      <rPr>
        <sz val="12"/>
        <rFont val="Segoe UI"/>
        <family val="2"/>
      </rPr>
      <t>District Forest Officer, Sepahijala District</t>
    </r>
  </si>
  <si>
    <r>
      <rPr>
        <sz val="12"/>
        <rFont val="Segoe UI"/>
        <family val="2"/>
      </rPr>
      <t>Sub-Divisional Forest Officer,  Bishalgarh</t>
    </r>
  </si>
  <si>
    <r>
      <rPr>
        <sz val="12"/>
        <rFont val="Segoe UI"/>
        <family val="2"/>
      </rPr>
      <t>Deputy Director of Horiculture, Sepahijala District, Sepahijala</t>
    </r>
  </si>
  <si>
    <r>
      <rPr>
        <sz val="12"/>
        <rFont val="Segoe UI"/>
        <family val="2"/>
      </rPr>
      <t>Chief Labour Officer, Sepahijala District Labour Office</t>
    </r>
  </si>
  <si>
    <r>
      <rPr>
        <sz val="12"/>
        <rFont val="Segoe UI"/>
        <family val="2"/>
      </rPr>
      <t>Addl. General Manager, Electrical Circle, Sipahijala</t>
    </r>
  </si>
  <si>
    <r>
      <rPr>
        <sz val="12"/>
        <rFont val="Segoe UI"/>
        <family val="2"/>
      </rPr>
      <t>Deputy General Manager, Electrical Division,  Jampuijala</t>
    </r>
  </si>
  <si>
    <r>
      <rPr>
        <sz val="12"/>
        <rFont val="Segoe UI"/>
        <family val="2"/>
      </rPr>
      <t>Dy.Director of ARDD, Sepahijala</t>
    </r>
  </si>
  <si>
    <r>
      <rPr>
        <sz val="12"/>
        <rFont val="Segoe UI"/>
        <family val="2"/>
      </rPr>
      <t>Principal, ITI-Bishramgang, Sipahijala</t>
    </r>
  </si>
  <si>
    <r>
      <rPr>
        <sz val="12"/>
        <rFont val="Segoe UI"/>
        <family val="2"/>
      </rPr>
      <t>Sub-Treasury Officer, Gandacherra</t>
    </r>
  </si>
  <si>
    <r>
      <rPr>
        <sz val="12"/>
        <rFont val="Segoe UI"/>
        <family val="2"/>
      </rPr>
      <t>The Supdt. of Agriculture, Gandacherra</t>
    </r>
  </si>
  <si>
    <r>
      <rPr>
        <sz val="12"/>
        <rFont val="Segoe UI"/>
        <family val="2"/>
      </rPr>
      <t>Sub-Divisional Welfare Officer, Gandacherra</t>
    </r>
  </si>
  <si>
    <r>
      <rPr>
        <sz val="12"/>
        <rFont val="Segoe UI"/>
        <family val="2"/>
      </rPr>
      <t>Wildlife Warden, Gomati Wildlife Sanctuary</t>
    </r>
  </si>
  <si>
    <r>
      <rPr>
        <sz val="12"/>
        <rFont val="Segoe UI"/>
        <family val="2"/>
      </rPr>
      <t>D.C.M., (In Charge Sub-Registrar), Gandacherra</t>
    </r>
  </si>
  <si>
    <r>
      <rPr>
        <sz val="12"/>
        <rFont val="Segoe UI"/>
        <family val="2"/>
      </rPr>
      <t>Sub-Treasury Officer, Panisagar Sub-Treasury</t>
    </r>
  </si>
  <si>
    <r>
      <rPr>
        <sz val="12"/>
        <rFont val="Segoe UI"/>
        <family val="2"/>
      </rPr>
      <t>Assistant Director, DPF, Panisagar</t>
    </r>
  </si>
  <si>
    <r>
      <rPr>
        <sz val="12"/>
        <rFont val="Segoe UI"/>
        <family val="2"/>
      </rPr>
      <t>CDPO, Panisagar</t>
    </r>
  </si>
  <si>
    <r>
      <rPr>
        <sz val="12"/>
        <rFont val="Segoe UI"/>
        <family val="2"/>
      </rPr>
      <t>Sub-Divisional Welfare Officer, Panisagar</t>
    </r>
  </si>
  <si>
    <r>
      <rPr>
        <sz val="12"/>
        <rFont val="Segoe UI"/>
        <family val="2"/>
      </rPr>
      <t>Wildlife Warden, Rowa Wildlife Sanctuary</t>
    </r>
  </si>
  <si>
    <r>
      <rPr>
        <sz val="12"/>
        <rFont val="Segoe UI"/>
        <family val="2"/>
      </rPr>
      <t>Sub-Treasury Officer, Kumarghat Sub-Treasury</t>
    </r>
  </si>
  <si>
    <r>
      <rPr>
        <sz val="12"/>
        <rFont val="Segoe UI"/>
        <family val="2"/>
      </rPr>
      <t>DCM In-Charge Sub Registrar, Kumarghat</t>
    </r>
  </si>
  <si>
    <r>
      <rPr>
        <sz val="12"/>
        <rFont val="Segoe UI"/>
        <family val="2"/>
      </rPr>
      <t>CDPO, Pecharthal</t>
    </r>
  </si>
  <si>
    <r>
      <rPr>
        <sz val="12"/>
        <rFont val="Segoe UI"/>
        <family val="2"/>
      </rPr>
      <t>Executive Engineer, Water Resource Division No.VII, Pecharthal</t>
    </r>
  </si>
  <si>
    <r>
      <rPr>
        <sz val="12"/>
        <rFont val="Segoe UI"/>
        <family val="2"/>
      </rPr>
      <t>Assistant Director (BL), ARDD, Kumarghat</t>
    </r>
  </si>
  <si>
    <r>
      <rPr>
        <sz val="12"/>
        <rFont val="Segoe UI"/>
        <family val="2"/>
      </rPr>
      <t>Executive Engineer, PWD Division, Kumarghat</t>
    </r>
  </si>
  <si>
    <r>
      <rPr>
        <sz val="12"/>
        <rFont val="Segoe UI"/>
        <family val="2"/>
      </rPr>
      <t>TA to  Superintending Engineer, Water Resource Circle-II, Kumarghat</t>
    </r>
  </si>
  <si>
    <r>
      <rPr>
        <sz val="12"/>
        <rFont val="Segoe UI"/>
        <family val="2"/>
      </rPr>
      <t>TA to  Superintending Engineer, PWD  1st Circle, Kumarghat</t>
    </r>
  </si>
  <si>
    <r>
      <rPr>
        <sz val="12"/>
        <rFont val="Segoe UI"/>
        <family val="2"/>
      </rPr>
      <t>Deputy Director, Tribal Rehabilitation Division,Unakoti District, Kumarghat</t>
    </r>
  </si>
  <si>
    <r>
      <rPr>
        <sz val="12"/>
        <rFont val="Segoe UI"/>
        <family val="2"/>
      </rPr>
      <t>Superintendent of Horticulture &amp; Soil Conservation, Kumarghat, Unakoti</t>
    </r>
  </si>
  <si>
    <r>
      <rPr>
        <sz val="12"/>
        <rFont val="Segoe UI"/>
        <family val="2"/>
      </rPr>
      <t>Executive Engineer, RD Circle-III, Kumarghat</t>
    </r>
  </si>
  <si>
    <r>
      <rPr>
        <sz val="12"/>
        <rFont val="Segoe UI"/>
        <family val="2"/>
      </rPr>
      <t>TA to  PMGSY Circle, Kumarghat</t>
    </r>
  </si>
  <si>
    <r>
      <rPr>
        <sz val="12"/>
        <rFont val="Segoe UI"/>
        <family val="2"/>
      </rPr>
      <t>TA to  Superintending Engineer, DWS Circle, Kumarghat</t>
    </r>
  </si>
  <si>
    <r>
      <rPr>
        <sz val="12"/>
        <rFont val="Segoe UI"/>
        <family val="2"/>
      </rPr>
      <t>Sub-Divisional Welfare Officer, Kumarghat</t>
    </r>
  </si>
  <si>
    <r>
      <rPr>
        <sz val="12"/>
        <rFont val="Segoe UI"/>
        <family val="2"/>
      </rPr>
      <t>Sub-Divisional Forest Officer, Kumarghat</t>
    </r>
  </si>
  <si>
    <r>
      <rPr>
        <sz val="12"/>
        <rFont val="Segoe UI"/>
        <family val="2"/>
      </rPr>
      <t>Executive Engineer, PWD, NH Division, Kumarghat</t>
    </r>
  </si>
  <si>
    <r>
      <rPr>
        <sz val="12"/>
        <rFont val="Segoe UI"/>
        <family val="2"/>
      </rPr>
      <t>Executive Engineer ,PMGSY Division Kumarghat, North Tripura</t>
    </r>
  </si>
  <si>
    <r>
      <rPr>
        <sz val="12"/>
        <rFont val="Segoe UI"/>
        <family val="2"/>
      </rPr>
      <t>Executive Engineer, RD Kumarghat Division</t>
    </r>
  </si>
  <si>
    <r>
      <rPr>
        <sz val="12"/>
        <rFont val="Segoe UI"/>
        <family val="2"/>
      </rPr>
      <t>Horticulturist, Unakoti District, Kailasahar</t>
    </r>
  </si>
  <si>
    <r>
      <rPr>
        <sz val="12"/>
        <rFont val="Segoe UI"/>
        <family val="2"/>
      </rPr>
      <t>Superintendent of Fisheries, Kailasahar</t>
    </r>
  </si>
  <si>
    <r>
      <rPr>
        <sz val="12"/>
        <rFont val="Segoe UI"/>
        <family val="2"/>
      </rPr>
      <t>District Forest Officer, Unakoti District</t>
    </r>
  </si>
  <si>
    <r>
      <rPr>
        <sz val="12"/>
        <rFont val="Segoe UI"/>
        <family val="2"/>
      </rPr>
      <t>Sub-Treasury Officer, Teliamura Sub-Treasury</t>
    </r>
  </si>
  <si>
    <r>
      <rPr>
        <sz val="12"/>
        <rFont val="Segoe UI"/>
        <family val="2"/>
      </rPr>
      <t>Assistant Director (BL), Teliamura</t>
    </r>
  </si>
  <si>
    <r>
      <rPr>
        <sz val="12"/>
        <rFont val="Segoe UI"/>
        <family val="2"/>
      </rPr>
      <t>Superintendent of Taxes, Teliamura</t>
    </r>
  </si>
  <si>
    <r>
      <rPr>
        <sz val="12"/>
        <rFont val="Segoe UI"/>
        <family val="2"/>
      </rPr>
      <t>Executive Engineer, RD Teliamura Division</t>
    </r>
  </si>
  <si>
    <r>
      <rPr>
        <sz val="12"/>
        <rFont val="Segoe UI"/>
        <family val="2"/>
      </rPr>
      <t>Superintendent of Fisheries, Teliamura</t>
    </r>
  </si>
  <si>
    <r>
      <rPr>
        <sz val="12"/>
        <rFont val="Segoe UI"/>
        <family val="2"/>
      </rPr>
      <t>Executive Engineer , DWS Division, Kalyanpur</t>
    </r>
  </si>
  <si>
    <r>
      <rPr>
        <sz val="12"/>
        <rFont val="Segoe UI"/>
        <family val="2"/>
      </rPr>
      <t>Assistant Registrar, Co-operative Societies, Teliamura.</t>
    </r>
  </si>
  <si>
    <r>
      <rPr>
        <sz val="12"/>
        <rFont val="Segoe UI"/>
        <family val="2"/>
      </rPr>
      <t>Sub-Divisional Welfare Officer, Teliamura</t>
    </r>
  </si>
  <si>
    <r>
      <rPr>
        <sz val="12"/>
        <rFont val="Segoe UI"/>
        <family val="2"/>
      </rPr>
      <t>District Transport Officer, Khowai District</t>
    </r>
  </si>
  <si>
    <r>
      <rPr>
        <sz val="12"/>
        <rFont val="Segoe UI"/>
        <family val="2"/>
      </rPr>
      <t>District Forest Officer, Khowai District</t>
    </r>
  </si>
  <si>
    <r>
      <rPr>
        <sz val="12"/>
        <rFont val="Segoe UI"/>
        <family val="2"/>
      </rPr>
      <t>Sub-Divisional Forest Officer, Teliamura</t>
    </r>
  </si>
  <si>
    <r>
      <rPr>
        <sz val="12"/>
        <rFont val="Segoe UI"/>
        <family val="2"/>
      </rPr>
      <t>Principal, ITI-Teliamura</t>
    </r>
  </si>
  <si>
    <r>
      <rPr>
        <sz val="12"/>
        <rFont val="Segoe UI"/>
        <family val="2"/>
      </rPr>
      <t>DCM (In Charge Sub-Registrar) Teliamura, Sub-Registry Office</t>
    </r>
  </si>
  <si>
    <r>
      <rPr>
        <sz val="12"/>
        <rFont val="Segoe UI"/>
        <family val="2"/>
      </rPr>
      <t>Sub-Treasury Officer,  Jirania Sub-Treasury</t>
    </r>
  </si>
  <si>
    <r>
      <rPr>
        <sz val="12"/>
        <rFont val="Segoe UI"/>
        <family val="2"/>
      </rPr>
      <t>CDPO, Mandwai</t>
    </r>
  </si>
  <si>
    <r>
      <rPr>
        <sz val="12"/>
        <rFont val="Segoe UI"/>
        <family val="2"/>
      </rPr>
      <t>Executive Officer, Ranir Bazar Nagar Panchayat</t>
    </r>
  </si>
  <si>
    <r>
      <rPr>
        <sz val="12"/>
        <rFont val="Segoe UI"/>
        <family val="2"/>
      </rPr>
      <t>DCM (In Charge Sub-Registrar),Sub-Registry Office, Jirania</t>
    </r>
  </si>
  <si>
    <r>
      <rPr>
        <sz val="12"/>
        <rFont val="Segoe UI"/>
        <family val="2"/>
      </rPr>
      <t>Deputy Director of ARDD, R. K. Nagar</t>
    </r>
  </si>
  <si>
    <r>
      <rPr>
        <sz val="12"/>
        <rFont val="Segoe UI"/>
        <family val="2"/>
      </rPr>
      <t>Executive Engineer, PWD Jirania Division, Jirania, West Tripura.</t>
    </r>
  </si>
  <si>
    <r>
      <rPr>
        <sz val="12"/>
        <rFont val="Segoe UI"/>
        <family val="2"/>
      </rPr>
      <t>Sub-Divisional Welfare officer, Jirania</t>
    </r>
  </si>
  <si>
    <r>
      <rPr>
        <sz val="12"/>
        <rFont val="Segoe UI"/>
        <family val="2"/>
      </rPr>
      <t>Principal, ITI Khumulwng</t>
    </r>
  </si>
  <si>
    <r>
      <rPr>
        <sz val="12"/>
        <rFont val="Segoe UI"/>
        <family val="2"/>
      </rPr>
      <t>Sub-Divisional Forest Officer,  Mandwai</t>
    </r>
  </si>
  <si>
    <r>
      <rPr>
        <sz val="12"/>
        <rFont val="Segoe UI"/>
        <family val="2"/>
      </rPr>
      <t>Sub-Treasury Officer, Mohanpur Sub-Treasury</t>
    </r>
  </si>
  <si>
    <r>
      <rPr>
        <sz val="12"/>
        <rFont val="Segoe UI"/>
        <family val="2"/>
      </rPr>
      <t>DCM In-Charge Sub-Registrar, Mohanpur Sub-Registry Office</t>
    </r>
  </si>
  <si>
    <r>
      <rPr>
        <sz val="12"/>
        <rFont val="Segoe UI"/>
        <family val="2"/>
      </rPr>
      <t>Assistant Director (BL), Mohanpur</t>
    </r>
  </si>
  <si>
    <r>
      <rPr>
        <sz val="12"/>
        <rFont val="Segoe UI"/>
        <family val="2"/>
      </rPr>
      <t>Executive Engineer,  Mohanpur Division, Mohanpur</t>
    </r>
  </si>
  <si>
    <r>
      <rPr>
        <sz val="12"/>
        <rFont val="Segoe UI"/>
        <family val="2"/>
      </rPr>
      <t>Sub-Divisional Welfare officer, Mohanpur</t>
    </r>
  </si>
  <si>
    <r>
      <rPr>
        <sz val="12"/>
        <rFont val="Segoe UI"/>
        <family val="2"/>
      </rPr>
      <t>Chief Superintendent, Protective Home, Taranagar, Mohanpur</t>
    </r>
  </si>
  <si>
    <r>
      <rPr>
        <sz val="12"/>
        <rFont val="Segoe UI"/>
        <family val="2"/>
      </rPr>
      <t>Sub-Treasury Officer, Santirbazar Sub-Treasury</t>
    </r>
  </si>
  <si>
    <r>
      <rPr>
        <sz val="12"/>
        <rFont val="Segoe UI"/>
        <family val="2"/>
      </rPr>
      <t>Executive Engineer, PWD (R&amp;B), Santirberazar Division</t>
    </r>
  </si>
  <si>
    <r>
      <rPr>
        <sz val="12"/>
        <rFont val="Segoe UI"/>
        <family val="2"/>
      </rPr>
      <t>Horticulturist, South Tripura District, Santirbazar</t>
    </r>
  </si>
  <si>
    <r>
      <rPr>
        <sz val="12"/>
        <rFont val="Segoe UI"/>
        <family val="2"/>
      </rPr>
      <t>Handloom Development Officer, Sericulture Training Institute, Santirbazar</t>
    </r>
  </si>
  <si>
    <r>
      <rPr>
        <sz val="12"/>
        <rFont val="Segoe UI"/>
        <family val="2"/>
      </rPr>
      <t>CDPO, Jolaibari</t>
    </r>
  </si>
  <si>
    <r>
      <rPr>
        <sz val="12"/>
        <rFont val="Segoe UI"/>
        <family val="2"/>
      </rPr>
      <t>Executive Engineer, RD Santirbazar Division</t>
    </r>
  </si>
  <si>
    <r>
      <rPr>
        <sz val="12"/>
        <rFont val="Segoe UI"/>
        <family val="2"/>
      </rPr>
      <t>Superintendent of Fisheries, Santirbazar</t>
    </r>
  </si>
  <si>
    <r>
      <rPr>
        <sz val="12"/>
        <rFont val="Segoe UI"/>
        <family val="2"/>
      </rPr>
      <t>Assistant Registrar, Co-operative Societies,  Santirbazar.</t>
    </r>
  </si>
  <si>
    <r>
      <rPr>
        <sz val="12"/>
        <rFont val="Segoe UI"/>
        <family val="2"/>
      </rPr>
      <t>Sub-Divisional Welfare Officer, Santirbazar</t>
    </r>
  </si>
  <si>
    <r>
      <rPr>
        <sz val="12"/>
        <rFont val="Segoe UI"/>
        <family val="2"/>
      </rPr>
      <t>District Transport Officer, South Tripura District</t>
    </r>
  </si>
  <si>
    <r>
      <rPr>
        <sz val="12"/>
        <rFont val="Segoe UI"/>
        <family val="2"/>
      </rPr>
      <t>Sub-Divisional Forest Officer,  Bogafa</t>
    </r>
  </si>
  <si>
    <r>
      <rPr>
        <sz val="12"/>
        <rFont val="Segoe UI"/>
        <family val="2"/>
      </rPr>
      <t>Executive Engineer, NH Division, PWD, Santirbazar</t>
    </r>
  </si>
  <si>
    <r>
      <rPr>
        <sz val="12"/>
        <rFont val="Segoe UI"/>
        <family val="2"/>
      </rPr>
      <t>Dy. Collector &amp; Magistrate, Santirbazar Sub-Registry Office</t>
    </r>
  </si>
  <si>
    <r>
      <rPr>
        <sz val="12"/>
        <rFont val="Segoe UI"/>
        <family val="2"/>
      </rPr>
      <t>Deputy General Manager, Electrical Division, Santirbazar</t>
    </r>
  </si>
  <si>
    <t>Assistant Director of ARDD(BL), Bisalgarh, Sepahijala Dist.</t>
  </si>
  <si>
    <t>Assistant Director of ARDD(BL), Sonamura, Sepahijala Tripura</t>
  </si>
  <si>
    <t>Assistant Director, ARDD(BL), Howaibari, Teliamura</t>
  </si>
  <si>
    <t>Assistant Director, ARDD(BL), Salema, Dhalai Dist.</t>
  </si>
  <si>
    <t>Flag-Aᶜ at Service Book</t>
  </si>
  <si>
    <t>Flag-Aᴿ at Service Book</t>
  </si>
  <si>
    <t>Total Non-QS</t>
  </si>
  <si>
    <t xml:space="preserve">Headmaster, Anandabazar H.S. School </t>
  </si>
  <si>
    <t xml:space="preserve">Headmaster, Durgaram Reang Para H.S. School </t>
  </si>
  <si>
    <t>Headmaster, Jampui H.S. School (Eng. Med), Jampui</t>
  </si>
  <si>
    <t xml:space="preserve">Headmaster, Kanchanpur HS School, Kanchanpur </t>
  </si>
  <si>
    <t xml:space="preserve">Headmaster, Laljuri H.S. School, Laljuri </t>
  </si>
  <si>
    <t xml:space="preserve">Inspector of Schools, Kanchanpur </t>
  </si>
  <si>
    <t>Headmaster, Kanchanpur Col. Girls H.S. School, Kanchanpur</t>
  </si>
  <si>
    <t xml:space="preserve">Headmaster, Satnala HS School, Kanchanpur </t>
  </si>
  <si>
    <t xml:space="preserve">Headmaster, Rabindranagar H.S. School, Kanchanpur </t>
  </si>
  <si>
    <t xml:space="preserve">Principal-in-Charge, Degree College, Kanchanpur </t>
  </si>
  <si>
    <t>principal@gdck.ac.in</t>
  </si>
  <si>
    <t xml:space="preserve">Sub-Treasury Officer, Kanchanpur </t>
  </si>
  <si>
    <t xml:space="preserve">Inspector of Schools, TTAADC, Kanchanpur </t>
  </si>
  <si>
    <t xml:space="preserve">Inspector of Schools, Machmara, TTAADC </t>
  </si>
  <si>
    <t>gautamkcp7@gmail.com</t>
  </si>
  <si>
    <t xml:space="preserve">Administrator, D.N. Vidyamandir, Dharmanagar </t>
  </si>
  <si>
    <t>bdojirania1952@gmail.com</t>
  </si>
  <si>
    <t xml:space="preserve">Headmaster, Baghan HS School, Dharmanagar </t>
  </si>
  <si>
    <t xml:space="preserve">Headmaster, Baruakandi Colony HS School, Dharmanagar </t>
  </si>
  <si>
    <t xml:space="preserve">Headmaster, Bir Bikram Institution, Dharmanagar </t>
  </si>
  <si>
    <t>hmsasanka62@gmail.com</t>
  </si>
  <si>
    <t>Headmaster, Brajendranagar HS School, Dharmanagar</t>
  </si>
  <si>
    <t>Headmaster, Chandrapur HS School, Dharmanagar</t>
  </si>
  <si>
    <t>Headmaster, Churaibari HS School, Churaibari</t>
  </si>
  <si>
    <t>Headmaster, Dharmanagar Girls HS School, Dharmanagar</t>
  </si>
  <si>
    <t>hm.dghs@gmail.com</t>
  </si>
  <si>
    <t>Headmaster, Ganganagar HS School, Dharmanagar</t>
  </si>
  <si>
    <t>Headmaster, Joynagar High School, Dharmanagar</t>
  </si>
  <si>
    <t>Headmaster, Kadamtala HS School, Dharmanagar</t>
  </si>
  <si>
    <t>Headmaster, Kalacherra HS School, Dharmanagar</t>
  </si>
  <si>
    <t>Headmaster, Krishnapur HS School, Dharmanagar</t>
  </si>
  <si>
    <t>Headmaster, Nayapara HS School, Dharmanagar</t>
  </si>
  <si>
    <t xml:space="preserve">Headmaster, Padmapur HS School, Dharmanagar </t>
  </si>
  <si>
    <t>Headmaster, Pratyekroy HS School, Dharmanagar</t>
  </si>
  <si>
    <t>Headmaster, Raghna High School, Dharmanagar</t>
  </si>
  <si>
    <t>Headmaster, Rajbari Girls HS School, Dharmanagar</t>
  </si>
  <si>
    <t>Headmaster, Sribhumi Vidyabhawan HS School, Dharmanagar</t>
  </si>
  <si>
    <t>sribhumihsschool@gmail.com</t>
  </si>
  <si>
    <t>Headmaster, Tilthai Rupcharan HS School, Dharmanagar</t>
  </si>
  <si>
    <t>Headmaster, Bakbaki High School, Dharmanagar</t>
  </si>
  <si>
    <t>hmbakbaki15@gmail.com</t>
  </si>
  <si>
    <t>Inspector of Schools, Dharmanagar, North Tripura</t>
  </si>
  <si>
    <t xml:space="preserve">Principal, Government Degree College, Dharmanagar </t>
  </si>
  <si>
    <t>Administrator, Golden Velly Eng. Medium HS School, Dharmanagar</t>
  </si>
  <si>
    <t>Asstt Headmaster, Jiban Tripura H.S School, Dharmanagar</t>
  </si>
  <si>
    <t>Headmaster, Lalchara H.S. School, Kadamtala, Dharmanagar</t>
  </si>
  <si>
    <t>Asstt. Headmaster, Fulbari H.S. School, Kadamtala, Dharmanagar</t>
  </si>
  <si>
    <t>Headmaster, Laxminagar High School, Laxminagar. Kadamtala, Dharmanagar.</t>
  </si>
  <si>
    <t>Deputy Director, North District Education Office, Dharmanagar</t>
  </si>
  <si>
    <t xml:space="preserve">Principal, North Tripura District Polytechnic, Dharmanagar, North Tripura. </t>
  </si>
  <si>
    <t xml:space="preserve">Treasury Officer, Dharmanagar </t>
  </si>
  <si>
    <t>DDO, Netaji Vidyapith H.S School (Eng.Med.), Kailasahar</t>
  </si>
  <si>
    <t>Deputy Director of Education, Unakoti District, Kailasahar</t>
  </si>
  <si>
    <t>ssaunakoti@gmail.com</t>
  </si>
  <si>
    <t>Headmaster, Belkumbari H.S School, Kailashahar</t>
  </si>
  <si>
    <t>Headmaster, Bhadrapalli H.S. School, Kailasahar</t>
  </si>
  <si>
    <t>Headmaster, Dolugaon HS School, Kailashahar</t>
  </si>
  <si>
    <t>Headmaster, Goldharpur R.S. H.S. School, Kailashahar</t>
  </si>
  <si>
    <t>hm16080301302@gmail.com</t>
  </si>
  <si>
    <t>Headmaster, Bhagini Nivedita Girls H.S. School, Kailashahar</t>
  </si>
  <si>
    <t>Headmaster, Kailasahar Girls H.S. School, Kailasahar</t>
  </si>
  <si>
    <t>Headmaster, Baidyanath Majumder Smriti H.S School, Kailashahar</t>
  </si>
  <si>
    <t>baidyanathmajumdersmritihs@gmail.com</t>
  </si>
  <si>
    <t>Headmaster, Radhakishore Institution, Kailasahar</t>
  </si>
  <si>
    <t>hmrki17@gmail.com</t>
  </si>
  <si>
    <t>Headmaster, Ramakrishna Shiksha Pratisthan, Kailasahar</t>
  </si>
  <si>
    <t>Headmaster, Rangauti High School, Kailasahar</t>
  </si>
  <si>
    <t>Headmaster, Srirampur Surjyamani Memorial H.S. School, Kailasahar</t>
  </si>
  <si>
    <t>Headmaster, Tilabazar H. S. School, Kailasahar</t>
  </si>
  <si>
    <t>Headmaster, Vidyanagar HS School,Kailashahar</t>
  </si>
  <si>
    <t>Inspector of Schools, Kailasahar, Unakoti</t>
  </si>
  <si>
    <t xml:space="preserve">Principal, Ramakrishna Mahavidyalaya, Kailasahar </t>
  </si>
  <si>
    <t xml:space="preserve">Treasury Officer, Kailashahar </t>
  </si>
  <si>
    <t>Principal-in-charge, District Institute of Education And Training, Kailashahar</t>
  </si>
  <si>
    <t>Headmaster, Sishu Niketan High School, Kailashahar.</t>
  </si>
  <si>
    <t>Headmaster, Jarultali H.S. School, Gournagar.</t>
  </si>
  <si>
    <t>Headmaster, Ramkamal H.S. School Unakoti, Tripura.</t>
  </si>
  <si>
    <t xml:space="preserve">Assistant Headmaster, Dhanbilash H.S.School, Gournagar, Kailashahar, Unakoti, </t>
  </si>
  <si>
    <t xml:space="preserve">Headmaster, Chailengta Class-XII School, Chailengta </t>
  </si>
  <si>
    <t>chailengtaclassxii@gmail.com</t>
  </si>
  <si>
    <t xml:space="preserve">Headmaster, Hokhu Twisa Class-XII School </t>
  </si>
  <si>
    <t>debbarmadhruba2016@gmail.com</t>
  </si>
  <si>
    <t>Headmaster, Kathalchhara T. M. C.Class-XII School, Manu</t>
  </si>
  <si>
    <t>rajibsinha841@gmail.com</t>
  </si>
  <si>
    <t xml:space="preserve">Headmaster, Madhabchandra Class-XII School </t>
  </si>
  <si>
    <t>madhabchandrahs@gmail.com</t>
  </si>
  <si>
    <t xml:space="preserve">Headmaster, Manughat Class-XII School </t>
  </si>
  <si>
    <t>manughaths1@gmail.com</t>
  </si>
  <si>
    <t xml:space="preserve">Headmaster, Twikarma Twisa Class-XII School </t>
  </si>
  <si>
    <t>twikarmatwisahsschool@gmail.com</t>
  </si>
  <si>
    <t xml:space="preserve">Inspector of Schools, Chailengta </t>
  </si>
  <si>
    <t>is.chailengta@gmail.com</t>
  </si>
  <si>
    <t xml:space="preserve">Inspector of Schools, TTAADC, Khumtaya, 82 Mile </t>
  </si>
  <si>
    <t>iskhumtaya82miles@gmail.com</t>
  </si>
  <si>
    <t xml:space="preserve">Inspector of Schools, TTAADC, Chailengta </t>
  </si>
  <si>
    <t>isttadc.clt@gmail.com</t>
  </si>
  <si>
    <t xml:space="preserve">Asstt Headmaster, Chawmanu HS School, LTV, Dhalai </t>
  </si>
  <si>
    <t>chamanuclassxii@gmail.com</t>
  </si>
  <si>
    <t xml:space="preserve">Assistant Headmaster, 82 Miles Proper H.S School, 82 Miles, Dhalai </t>
  </si>
  <si>
    <t>82milesproper@gmail.com</t>
  </si>
  <si>
    <t xml:space="preserve">Principal-in-Charge, General Degree College, Longthoraivalley </t>
  </si>
  <si>
    <t>malsawma3@gmail.com</t>
  </si>
  <si>
    <t xml:space="preserve">Inspector of Schools, Chawmanu, TTAADC </t>
  </si>
  <si>
    <t>ischawmanu@gmail.com</t>
  </si>
  <si>
    <t xml:space="preserve">Sub-Treasury Officer, Longthraivalley </t>
  </si>
  <si>
    <t xml:space="preserve">Deputy Director, Education, Dhalai District, Ambassa </t>
  </si>
  <si>
    <t>deodhalai-tr@gov.in</t>
  </si>
  <si>
    <t xml:space="preserve">Headmaster, Balaram High School, Ambassa </t>
  </si>
  <si>
    <t>durgacharandebbarma615@gmail.com</t>
  </si>
  <si>
    <t xml:space="preserve">Headmaster, Chandraipara Class-XII School, Ambassa </t>
  </si>
  <si>
    <t>hmchandraipara@gmail.com</t>
  </si>
  <si>
    <t xml:space="preserve">Headmaster, Ganganagar High School, Ganganagar </t>
  </si>
  <si>
    <t>Headmaster, Kulai Class-XII School, Kulai, Dhalai Dist.</t>
  </si>
  <si>
    <t>kulaihs1@gmail.com</t>
  </si>
  <si>
    <t>Headmaster, North Nalicherra HS School, Kulai, Dhalai Dist.</t>
  </si>
  <si>
    <t>northnalichara2017@gmail.com</t>
  </si>
  <si>
    <t xml:space="preserve">Headmaster, Satyaram Chowdhury Para HS School, Shikaribari </t>
  </si>
  <si>
    <t>satyaramchowdhuryparahs@gmail.com</t>
  </si>
  <si>
    <t>Treasury Officer, Ambassa, Dhalai Dist.</t>
  </si>
  <si>
    <t xml:space="preserve">Inspector of Schools, TTAADC, Ambassa, Dhalai </t>
  </si>
  <si>
    <t xml:space="preserve">Headmaster, Kulai Colony High School, Ambassa </t>
  </si>
  <si>
    <t>kulaicolhigh@gmail.com</t>
  </si>
  <si>
    <t xml:space="preserve">Principal-in-charge, Dhalai District Polytechnic, Ambassa </t>
  </si>
  <si>
    <t>ddpgovt.polytechnic@gmail.com</t>
  </si>
  <si>
    <t xml:space="preserve">Inspector of Schools, Ganganagar, TTAADC </t>
  </si>
  <si>
    <t xml:space="preserve">Headmaster, Dalubari Gate H.S.School, Ambassa, Dhalai Dist. Tripura. </t>
  </si>
  <si>
    <t>sukamalkantidas@gmail.com</t>
  </si>
  <si>
    <t xml:space="preserve">Assistant Headmaster, Harachandra Class-XII School, Manikbhandar </t>
  </si>
  <si>
    <t xml:space="preserve">Headmaster, Balogaon High School, Kamalpur </t>
  </si>
  <si>
    <t xml:space="preserve">Headmaster, Bamancherra High School, Kamalpur </t>
  </si>
  <si>
    <t>bamancharahs@gmail.com</t>
  </si>
  <si>
    <t>Headmaster, Baralutma Class-XII School, Kamalpur</t>
  </si>
  <si>
    <t>baralutmahs1@gmail.com</t>
  </si>
  <si>
    <t>Headmaster, Devicherra High School, Halahali, Kamalpur</t>
  </si>
  <si>
    <t>debicharahighschool@gmail.com</t>
  </si>
  <si>
    <t xml:space="preserve">Headmaster, Duraicherra Shibbari High School, Kamalpur </t>
  </si>
  <si>
    <t xml:space="preserve">Headmaster, Fulchari High School, Kamalpur </t>
  </si>
  <si>
    <t>Headmaster, Halahali Class-XII School, Halahali, Kamalpur</t>
  </si>
  <si>
    <t xml:space="preserve">Headmaster, K. C. Girls Class-XII School, Kamalpur </t>
  </si>
  <si>
    <t>kcgirlshs@gmail.com</t>
  </si>
  <si>
    <t xml:space="preserve">Headmaster, Kalacheri HS School, Kamalpur </t>
  </si>
  <si>
    <t>kalachari56@gmail.com</t>
  </si>
  <si>
    <t>Headmaster, Kamalpur Boys HS School, Kamalpur</t>
  </si>
  <si>
    <t>hmkmphss@gmail.com</t>
  </si>
  <si>
    <t xml:space="preserve">Headmaster, Kamalpur Madrassa Class-XII School, Kamalpur </t>
  </si>
  <si>
    <t>kamalpurmadressa@gmail.com</t>
  </si>
  <si>
    <t xml:space="preserve">Headmaster, Lambucherra High School, Kamalpur </t>
  </si>
  <si>
    <t xml:space="preserve">Headmaster, Maharani High School, Maharani </t>
  </si>
  <si>
    <t xml:space="preserve">Headmaster, Maracherra Class-XII School, Kamalpur </t>
  </si>
  <si>
    <t>hm.16195400041@gmail.com</t>
  </si>
  <si>
    <t xml:space="preserve">Headmaster, Salema Class-XII School, Salema </t>
  </si>
  <si>
    <t>salemaschool@gmail.com</t>
  </si>
  <si>
    <t xml:space="preserve">Headmaster, Salema Colony H.S. School, Salema </t>
  </si>
  <si>
    <t xml:space="preserve">Inspector of Schools, Kamalpur </t>
  </si>
  <si>
    <t>iskmpdh@gmail.com</t>
  </si>
  <si>
    <t xml:space="preserve">Principal, Government Degree College, Kamalpur </t>
  </si>
  <si>
    <t>ddogdck03@gmail.com</t>
  </si>
  <si>
    <t xml:space="preserve">DDO, DIET, Kamalpur </t>
  </si>
  <si>
    <t xml:space="preserve">Headmaster, Sridampur H.S. School, Nagbanshi, Kamalpur, Dhalai </t>
  </si>
  <si>
    <t>sridhampurhs@gmail.com</t>
  </si>
  <si>
    <t xml:space="preserve">Asstt. Headmaster, Kamalpur English Medium H.S. School, Kamalpur. </t>
  </si>
  <si>
    <t>kmpgovths@gmail.com</t>
  </si>
  <si>
    <t xml:space="preserve">Headmaster, Ujan Chankap Class-XII School, Kamalpur </t>
  </si>
  <si>
    <t xml:space="preserve">Principal, ITI-Kamalpur, Chulubari, Kamalpur, Dhalai </t>
  </si>
  <si>
    <t xml:space="preserve">Sub-Treasury Officer, Kamalpur </t>
  </si>
  <si>
    <t xml:space="preserve">Administrator, Srinath Vidyaniketan, Khowai </t>
  </si>
  <si>
    <t>snvkhowai2014@gmail.com</t>
  </si>
  <si>
    <t>Headmaster, Ampura Bazar H.S School, Khowai</t>
  </si>
  <si>
    <t>ampura.kwi.2017@gmail.com</t>
  </si>
  <si>
    <t xml:space="preserve">Headmaster, Asharambari HS School, Khowai </t>
  </si>
  <si>
    <t>nipendb44@gmail.com</t>
  </si>
  <si>
    <t>Headmaster, Bachaibari H.S. School, Khowai</t>
  </si>
  <si>
    <t>hmbbhss@gmail.com</t>
  </si>
  <si>
    <t>Headmaster, Baijalbari H.S School, Khowai</t>
  </si>
  <si>
    <t>debbarmasanju69@gmail.com</t>
  </si>
  <si>
    <t>Headmaster, Battali High School, Khowai</t>
  </si>
  <si>
    <t>amardebbarmabattali@gmail.com</t>
  </si>
  <si>
    <t>Headmaster, Behalabari HS School, Khowai</t>
  </si>
  <si>
    <t>kandarpadebbarma@gmail.com</t>
  </si>
  <si>
    <t>Headmaster, Belcherra High School, Khowai</t>
  </si>
  <si>
    <t>bhupendradbkwi@gmail.com</t>
  </si>
  <si>
    <t>Headmaster, Bharat Sardar Para HS School, Khowai</t>
  </si>
  <si>
    <t>ramendradebbarma219@gmail.com</t>
  </si>
  <si>
    <t>Headmaster, Bidyamohan Thakur Para High School, Khowai</t>
  </si>
  <si>
    <t>bmtphs.cheb@gmail.com</t>
  </si>
  <si>
    <t>Headmaster, Birchandrapur Class XII School, Khowai</t>
  </si>
  <si>
    <t>hmbirchandrapur@gmail.com</t>
  </si>
  <si>
    <t>Headmaster, Chebri HS School, Chebri, Khowai</t>
  </si>
  <si>
    <t>mihirdebnath63@rediffmail.com</t>
  </si>
  <si>
    <t>Headmaster, Ganki H.S. School, Ganki, Khowai</t>
  </si>
  <si>
    <t>gankihss@gmail.com</t>
  </si>
  <si>
    <t xml:space="preserve">Headmaster, Jambura HS School, Khowai </t>
  </si>
  <si>
    <t>pranab.khowai63@gmail.com</t>
  </si>
  <si>
    <t xml:space="preserve">Headmaster, Khowai Government Girls HS School, Khowai </t>
  </si>
  <si>
    <t>kgghss1929@gmail.com</t>
  </si>
  <si>
    <t xml:space="preserve">Headmaster, Khowai Government HS School, Khowai </t>
  </si>
  <si>
    <t>debbarmad89@gmail.com</t>
  </si>
  <si>
    <t>Headmaster, Lalchara Girls H.S.School, Khowai</t>
  </si>
  <si>
    <t>debbarmanaresh27@gmail.com</t>
  </si>
  <si>
    <t>Headmaster, Paharmura H.S. School, Khowai</t>
  </si>
  <si>
    <t>paharmurahsschool@gmail.com</t>
  </si>
  <si>
    <t>Headmaster, Rammanik Sardar Para High School, Khowai</t>
  </si>
  <si>
    <t>pdbarma64@gmail.com</t>
  </si>
  <si>
    <t>Headmaster, Ratanpur Class XII School, Khowai</t>
  </si>
  <si>
    <t>tarunkr.debbarmahm@gmail.com</t>
  </si>
  <si>
    <t xml:space="preserve">Headmaster, Sarat Chandra H.S. School, Khowai </t>
  </si>
  <si>
    <t>sushantadaskh@gmail.com</t>
  </si>
  <si>
    <t xml:space="preserve">Headmaster, Sonatala HS School, Khowai </t>
  </si>
  <si>
    <t>hm16061500905@gmail.com</t>
  </si>
  <si>
    <t xml:space="preserve">Headmaster, Sri Krishna High School, Khowai </t>
  </si>
  <si>
    <t>iskhowai@gmail.com</t>
  </si>
  <si>
    <t>Headmaster, Tulashikhar Rajnagar HS School, Khowai</t>
  </si>
  <si>
    <t>tulashikharrajnagaschool@gmail.com</t>
  </si>
  <si>
    <t>Headmaster, Uttar Ramchandraghat High School, Khowai</t>
  </si>
  <si>
    <t>debbarmaprabhat1@gmail.com</t>
  </si>
  <si>
    <t xml:space="preserve">Inspector of Schools, Khowai </t>
  </si>
  <si>
    <t xml:space="preserve">Principal, Dasharatha Dev Memorial Degree College, Khowai </t>
  </si>
  <si>
    <t>ddmc.khowai@gmail.com</t>
  </si>
  <si>
    <t>Headmaster, Gouranga Tilla H.S. School, Khowai</t>
  </si>
  <si>
    <t>subodhdbrma@gmail.com</t>
  </si>
  <si>
    <t xml:space="preserve">Headmaster, Knowai Govt. Eng. Medium H.S Class- XII School, Khowai </t>
  </si>
  <si>
    <t>kgemhss2014@gmail.com</t>
  </si>
  <si>
    <t xml:space="preserve">Treasury Officer, Khowai </t>
  </si>
  <si>
    <t xml:space="preserve">Inspector of Schools, TTAADC, Harepkuwar </t>
  </si>
  <si>
    <t>isharepkuwar@gmail.com</t>
  </si>
  <si>
    <t xml:space="preserve">Inspector of Schools, TTAADC, Tulashikar </t>
  </si>
  <si>
    <t>istlskadc@gmail.com</t>
  </si>
  <si>
    <t xml:space="preserve">Headmaster, Purnima High School, Khowai </t>
  </si>
  <si>
    <t>jharnadebbarma0@gmail.com</t>
  </si>
  <si>
    <t xml:space="preserve">Headmaster, Dhalabil High School </t>
  </si>
  <si>
    <t>mahanandadebbarma1@gmail.com</t>
  </si>
  <si>
    <t xml:space="preserve">District Education Officer, Khowai </t>
  </si>
  <si>
    <t>deokh14@gmail.com</t>
  </si>
  <si>
    <t>Administrator, Bordowali HS School, Agartala</t>
  </si>
  <si>
    <t xml:space="preserve">Administrator, Hindi HS School, Agartala </t>
  </si>
  <si>
    <t xml:space="preserve">Administrator, Netaji Shishu Shiksha Kendra SB School, Agartala </t>
  </si>
  <si>
    <t xml:space="preserve">Administrator, Netaji Subhas Vidyaniketan, Agartala </t>
  </si>
  <si>
    <t xml:space="preserve">Asstt. Headmaster, Sakhicharan Vidyaniketan, Agartala </t>
  </si>
  <si>
    <t xml:space="preserve">Administrator, Shankaracharya Vidyayetan HS School, Agartala </t>
  </si>
  <si>
    <t xml:space="preserve">Headmaster, Swami Dayalananda Vidyaniketan, Agartala </t>
  </si>
  <si>
    <t xml:space="preserve">DDO, Bholananda Vidya Bhawan, Agartala </t>
  </si>
  <si>
    <t>DDO, Deshbandu Shishu Tirtha, Agartala</t>
  </si>
  <si>
    <t xml:space="preserve">Statistical Officer of Higher Education </t>
  </si>
  <si>
    <t>DDO, Mahatma Gandhi Memorial HS School, Agartala</t>
  </si>
  <si>
    <t>Headmaster, Mariamnagar High School, Agartala</t>
  </si>
  <si>
    <t>DDO, Prachya Bharati HS School, Agartala</t>
  </si>
  <si>
    <t>Headmaster, Pragati Vidyabhavan H. S. School, Agartala</t>
  </si>
  <si>
    <t>DDO, Ramakrishna Ashram Vidya Mandir, Agartala</t>
  </si>
  <si>
    <t>DDO, Ramakrishna Vivekananda Vidya Mandir, Agartala</t>
  </si>
  <si>
    <t>DDO, Ramtakur Pathshala Boys HS School, Agartala</t>
  </si>
  <si>
    <t>DDO, Ramtakur Pathshala Girls HS School, Agartala</t>
  </si>
  <si>
    <t>DDO, Ranirbazar Vidya Mandir, Ranirbazar, West Tripura</t>
  </si>
  <si>
    <t>DDO, Vivekananda Vidyalaya</t>
  </si>
  <si>
    <t xml:space="preserve">District Education Officer, West Zone, Agartala </t>
  </si>
  <si>
    <t>dpcwest@gmail.com</t>
  </si>
  <si>
    <t>Headmaster, Abhoynagar NS Vidyalaya HS School, Agartala</t>
  </si>
  <si>
    <t>ansv2016@rediffmail.com</t>
  </si>
  <si>
    <t>Headmaster, Arundhatinagar HS School, Arundhatinagar, Agartala</t>
  </si>
  <si>
    <t xml:space="preserve">Headmaster, Bapuji Vidyamandir High School, Agartala </t>
  </si>
  <si>
    <t>Headmaster, Barjala H.S. School, Agartala</t>
  </si>
  <si>
    <t xml:space="preserve">Headmaster, Bijoykumar Girls HS School, Agartala </t>
  </si>
  <si>
    <t xml:space="preserve">Headmaster, Bodhjung Boys HS School, Agartala </t>
  </si>
  <si>
    <t>bodhjungboys@gmail.com</t>
  </si>
  <si>
    <t xml:space="preserve">Headmaster, Bodhjung Girls HS School, Agartala </t>
  </si>
  <si>
    <t>bodhjunggirls123@gmail.com</t>
  </si>
  <si>
    <t>Headmaster, Chandrapur (South) High School, Agartala</t>
  </si>
  <si>
    <t>georgedebbarma72@gmail.com</t>
  </si>
  <si>
    <t>Headmaster, Kamini Kumar Singha Memorial H.S. School, Agartala</t>
  </si>
  <si>
    <t>schoolprincipaldhaleswar@gmail.com</t>
  </si>
  <si>
    <t>Headmaster, Dr B.R. Ambedkar High School, Joynagar, Agartala</t>
  </si>
  <si>
    <t>drbrambedkarhigh19@gmail.com</t>
  </si>
  <si>
    <t>Headmaster, Hariganga High School, Agartala</t>
  </si>
  <si>
    <t>Headmaster, Indranagar High School, Agartala</t>
  </si>
  <si>
    <t>Headmaster, Lankamura H.S. School, Agartala</t>
  </si>
  <si>
    <t>Headmaster, Madhya Bhubanban High School,Agartala</t>
  </si>
  <si>
    <t>sarmisthadeb0419@gmail.com</t>
  </si>
  <si>
    <t>Headmaster, Nandannagar HS School, Agartala</t>
  </si>
  <si>
    <t>Headmaster, Acharya Prafulla Chandra Roy Smriti Vidya Mandir HS School, Agartala</t>
  </si>
  <si>
    <t xml:space="preserve">Headmaster, Noagaon Krishnanagar High School </t>
  </si>
  <si>
    <t xml:space="preserve">Headmaster, Pallimangal HS School, Khayerpur </t>
  </si>
  <si>
    <t xml:space="preserve">Headmaster, Rajnagar H.S. School </t>
  </si>
  <si>
    <t>rajnagar123@gmail.com</t>
  </si>
  <si>
    <t xml:space="preserve">Headmaster, Ramnagar HS School, Agartala </t>
  </si>
  <si>
    <t xml:space="preserve">Headmaster, Shishubihar HS School, Agartala </t>
  </si>
  <si>
    <t xml:space="preserve">Headmaster, Umakanta Academy, Agartala </t>
  </si>
  <si>
    <t>umakantaacademy2017@gmail.com</t>
  </si>
  <si>
    <t xml:space="preserve">Headmaster, Upendra Vidya Bhawan, Agartala </t>
  </si>
  <si>
    <t xml:space="preserve">Headmistress, Banividyapith HS School, Agartala </t>
  </si>
  <si>
    <t xml:space="preserve">Headmaster, Maharani Tulsibati Girls HS School, Agartala </t>
  </si>
  <si>
    <t>8195ddo@gmail.com</t>
  </si>
  <si>
    <t xml:space="preserve">H.M &amp;DDO, Ramnagar Girls High School, Agartala,Tripura(w) </t>
  </si>
  <si>
    <t>8196ddo@gmail.com</t>
  </si>
  <si>
    <t xml:space="preserve">Headmistress, Reshambagan HS School, Agartala </t>
  </si>
  <si>
    <t>OSD, Directorate of Secondary Education, Agartala,West Tripura</t>
  </si>
  <si>
    <t>8198ddo@gmail.com</t>
  </si>
  <si>
    <t xml:space="preserve">Inspector of Schools, Sadar, Agartala, West Tripura </t>
  </si>
  <si>
    <t>ednins.sadar.a@gmail.com</t>
  </si>
  <si>
    <t xml:space="preserve">Principal , Bir Bikram Evening College, College Tilla, Agartala </t>
  </si>
  <si>
    <t xml:space="preserve">Principal, DIET, West Tripura District, Agartala </t>
  </si>
  <si>
    <t xml:space="preserve">Principal, Government College of Art &amp; Crafts, Agartala </t>
  </si>
  <si>
    <t>Principal, Institute of Advanced Studies in Education, Agartala</t>
  </si>
  <si>
    <t xml:space="preserve">Principal, Sachin Debbarman Smriti Government Music College </t>
  </si>
  <si>
    <t xml:space="preserve">Principal, Maharaj Bir Bikram College, College Tilla, Agartala </t>
  </si>
  <si>
    <t>mbbc.agt2015@gmail.com</t>
  </si>
  <si>
    <t xml:space="preserve">Principal, SCERT, Agartala </t>
  </si>
  <si>
    <t xml:space="preserve">Principal, Tripura Law College, Agartala </t>
  </si>
  <si>
    <t xml:space="preserve">Principal, Womens College, Agartala </t>
  </si>
  <si>
    <t xml:space="preserve">Secretary, Netaji Adarsha Shiksa Mandir </t>
  </si>
  <si>
    <t xml:space="preserve">Sr. Librarian, Birchandra State Public Library, Agartala </t>
  </si>
  <si>
    <t xml:space="preserve">Treasury Officer, Agartala Treasury No. I, Agartala </t>
  </si>
  <si>
    <t>Headmaster, Vivekananda Vidyamandir High School, West Pratapgarh, Agartala</t>
  </si>
  <si>
    <t>vvivekananadavidyamandirhigh@gmail.com</t>
  </si>
  <si>
    <t xml:space="preserve">Headmaster, Henry Derozio Academy, Kunjaban, Agartala, West Tripura </t>
  </si>
  <si>
    <t>subratakumarbhattacharjee@gmail.com</t>
  </si>
  <si>
    <t xml:space="preserve">Principal, Ramthakur College, Agartala </t>
  </si>
  <si>
    <t>ramthakur.college@rediffmail.com</t>
  </si>
  <si>
    <t xml:space="preserve">Under Secretary, Tripura Public Service Commission </t>
  </si>
  <si>
    <t>saumen.datt@gmail.com</t>
  </si>
  <si>
    <t xml:space="preserve">Addl. Director, GA (P &amp; S). </t>
  </si>
  <si>
    <t>govtpress-tr@gov.in</t>
  </si>
  <si>
    <t xml:space="preserve">Treasry Officer, Agartala Treasury No.II, Agartala </t>
  </si>
  <si>
    <t>Joint Director, Directorate of Treasuries</t>
  </si>
  <si>
    <t>Administrator, Ishan Chandra Nagar Pargana H.S. School, West Tripura</t>
  </si>
  <si>
    <t>Headmistress, Vidyasagar Uchhatara Madhyamik Balika Vidyalaya, Agartala, West Tripura</t>
  </si>
  <si>
    <t>vumbvjogendranagar2018@gmail.com</t>
  </si>
  <si>
    <t xml:space="preserve">Headmaster, Amtali HS School, Amtali </t>
  </si>
  <si>
    <t xml:space="preserve">Headmaster, Anandanagar HS School, Anandanagar </t>
  </si>
  <si>
    <t>anandanagarschool15015@gmail.com</t>
  </si>
  <si>
    <t>Headmaster, Badharghat HS School, Badharghat, Agartala</t>
  </si>
  <si>
    <t>Headmaster, Belabar H. S. School, Agartala</t>
  </si>
  <si>
    <t xml:space="preserve">Headmaster, Bidrohi Kabi Nazrul Vidya Bhawan H. S. School, Jogendranagar </t>
  </si>
  <si>
    <t>sanudebbarma30116@gmail.com</t>
  </si>
  <si>
    <t>Headmaster, Charipara HS School, Agartala</t>
  </si>
  <si>
    <t>papridebbarma@gmail.com</t>
  </si>
  <si>
    <t xml:space="preserve">Headmaster, Sreenagar Kabi Sukanta Vidyalaya High School </t>
  </si>
  <si>
    <t xml:space="preserve">Headmaster, Dr B. R. Ambedkar Vidyabhawan, Aralia </t>
  </si>
  <si>
    <t xml:space="preserve">Headmaster, Laxmicherra R.K. H. S. School </t>
  </si>
  <si>
    <t>Headmaster, Madhuban (Dukli) HS School, Agartala</t>
  </si>
  <si>
    <t>Headmaster, Madhuban (Kathaltali) HS School, Agartala</t>
  </si>
  <si>
    <t>hsmadhubanschool2019@gmail.com</t>
  </si>
  <si>
    <t xml:space="preserve">Headmaster, Pratapgarh Eng. Medium High School, Agartala </t>
  </si>
  <si>
    <t>Headmaster, Sadhutilla(C.M.S) Girls High School, Agartala</t>
  </si>
  <si>
    <t>Headmaster, Sekerkote HS School, Sekerkote, West Tripura</t>
  </si>
  <si>
    <t>sekerkotehs2016@gmail.com</t>
  </si>
  <si>
    <t>Headmaster, Hapania H.S. School, West Tripura</t>
  </si>
  <si>
    <t>Headmaster, Subhasnagar HS School, Agartala</t>
  </si>
  <si>
    <t>subhashnagarhsschool@gmail.com</t>
  </si>
  <si>
    <t>Headmaster, Suryamani Nagar H.S. School, West Tripura</t>
  </si>
  <si>
    <t>surjyamaninagarhs2018@gmail.com</t>
  </si>
  <si>
    <t>Headmaster, Madhabpur High School,West Tripura</t>
  </si>
  <si>
    <t xml:space="preserve">DDO, Ramkrishna Mission School, Amtali, West Tripura </t>
  </si>
  <si>
    <t xml:space="preserve">Headmistress, Dasarath Deb Adarsha Uchha Vidyalaya </t>
  </si>
  <si>
    <t>Headmaster, Matinagar H.S. School, West Tripura</t>
  </si>
  <si>
    <t>charanshib765@gmail.com</t>
  </si>
  <si>
    <t>Headmaster, Pandabpur High School, West Tripura</t>
  </si>
  <si>
    <t>pandabpurhighschool@gamil.com</t>
  </si>
  <si>
    <t xml:space="preserve">Asstt. Headmaster, Dr. B.R Ambedkar English Model School, Anandanagar </t>
  </si>
  <si>
    <t>uttamkrdattagupta641@gmail.com</t>
  </si>
  <si>
    <t xml:space="preserve">Headmaster, Vidyasagar High School </t>
  </si>
  <si>
    <t>Headmistress, Kabiraj Tilla H.S School, Agartala</t>
  </si>
  <si>
    <t>kabirajtilla2019@gmail.com</t>
  </si>
  <si>
    <t xml:space="preserve">Headmaster, Sammilita High School </t>
  </si>
  <si>
    <t xml:space="preserve">DDO, Daodharini Siddiqula Sr Madrassa, Sonamura </t>
  </si>
  <si>
    <t>DDO, Hazi Haider Ali Jr Madrassa, Sonamura</t>
  </si>
  <si>
    <t xml:space="preserve">DDO, Sonamura Ahmedia Islimia Sr Madrassa, Sonamura </t>
  </si>
  <si>
    <t xml:space="preserve">Headmaster, Adwaita Malla Barman Srmiti H.S School </t>
  </si>
  <si>
    <t xml:space="preserve">Headmaster, Barnarayan HS School, Sonamura </t>
  </si>
  <si>
    <t xml:space="preserve">Headmaster, Boxnagar Class-XII School, Boxnagar </t>
  </si>
  <si>
    <t xml:space="preserve">Headmaster, Chandanmura High School, Sonamura </t>
  </si>
  <si>
    <t xml:space="preserve">Headmaster, Durlavnarayan HS School, Sonamura </t>
  </si>
  <si>
    <t>utpal.hm@rediffmail.com</t>
  </si>
  <si>
    <t>Headmaster, Kalamchowra H. S. School, Kalamchowra</t>
  </si>
  <si>
    <t xml:space="preserve">Headmaster, Kalamkshet High School </t>
  </si>
  <si>
    <t xml:space="preserve">Headmaster, Kathalia H. S. School </t>
  </si>
  <si>
    <t xml:space="preserve">Headmaster, Khas Chowmuhani H. S. School </t>
  </si>
  <si>
    <t xml:space="preserve">Headmaster, Kulubari H.S. School </t>
  </si>
  <si>
    <t xml:space="preserve">Headmaster, Manaipathar H.S. School </t>
  </si>
  <si>
    <t>manaipatharhs4@gmail.com</t>
  </si>
  <si>
    <t xml:space="preserve">Headmaster, Melaghar Class XII School, Melaghar, Sepahijala, Tripura </t>
  </si>
  <si>
    <t>mlghs2016@gmail.com</t>
  </si>
  <si>
    <t xml:space="preserve">Headmaster, Melaghar Girls HS School, Melaghar </t>
  </si>
  <si>
    <t xml:space="preserve">Headmaster, N. C. Institution, Sonamura  </t>
  </si>
  <si>
    <t>nic.sonamura@gmail.com</t>
  </si>
  <si>
    <t>Headmaster, Nalchar Class-XII School, Nalchar</t>
  </si>
  <si>
    <t>Headmaster, Nalchar High School, Nalchar</t>
  </si>
  <si>
    <t>Headmaster, Nidaya Class-XII School, Nidaya</t>
  </si>
  <si>
    <t>Headmaster, North Kamrangatali H.S. School, Melaghar</t>
  </si>
  <si>
    <t xml:space="preserve"> nkamrangatalischool@gmail.com</t>
  </si>
  <si>
    <t>Headmaster, Rahimpur H.S. School</t>
  </si>
  <si>
    <t xml:space="preserve"> chandanagt8@gmail.com</t>
  </si>
  <si>
    <t>Headmaster, Sonamura Girls HS School, Sonamura</t>
  </si>
  <si>
    <t>Headmaster, South Paharpur H.S. School</t>
  </si>
  <si>
    <t>Headmaster, Veluarchar H.S.School, Sonamura</t>
  </si>
  <si>
    <t xml:space="preserve"> dilipdas171213@gamil.com</t>
  </si>
  <si>
    <t>Inspector of Schools, Sonamura, Sepahijala</t>
  </si>
  <si>
    <t xml:space="preserve"> isofficesonamura@gmail.com</t>
  </si>
  <si>
    <t xml:space="preserve">Principal, Kabi Nazrul Mahavidyalaya, Sonamura </t>
  </si>
  <si>
    <t>Headmaster, Nirvoypur High School</t>
  </si>
  <si>
    <t>Headmaster, Urmai H.S School, Sonamaura</t>
  </si>
  <si>
    <t>Headmaster, Thalibari H.S. School</t>
  </si>
  <si>
    <t>Headmaster, Rabindranagar H.S. School, Sonamura</t>
  </si>
  <si>
    <t>Headmaster, Taibandal H.S. School, Sonamura</t>
  </si>
  <si>
    <t>Headmaster, Santinagar H.S. School, Sonamura</t>
  </si>
  <si>
    <t>Headmaster, Bejimara High School, Sonamura</t>
  </si>
  <si>
    <t>Headmaster, Thakurmura High School, Sonamura</t>
  </si>
  <si>
    <t>Headmaster, Poangbari High School, Sonamura</t>
  </si>
  <si>
    <t>Headmaster, Matinagar H.S. School, Sonamura</t>
  </si>
  <si>
    <t>Headmaster, Manikyanagar High School, Sonamura</t>
  </si>
  <si>
    <t xml:space="preserve"> manikyanagarhighschool@gmail.com</t>
  </si>
  <si>
    <t xml:space="preserve">Asstt. Headmaster, Sonamura English Medium H.S. School, Sonamura </t>
  </si>
  <si>
    <t xml:space="preserve">Sub-Treasury Officer, Sonamura </t>
  </si>
  <si>
    <t xml:space="preserve">Administrator, Five Jewels High School, Udaipur </t>
  </si>
  <si>
    <t xml:space="preserve">Deputy Director, Education, Gomati District, Udaipur  </t>
  </si>
  <si>
    <t>gomatideo@gmail.com</t>
  </si>
  <si>
    <t xml:space="preserve">Headmaster, Bagabassa High School, Udaipur  </t>
  </si>
  <si>
    <t>hmbagabasa2018@gmail.com</t>
  </si>
  <si>
    <t xml:space="preserve">Headmaster, Barabhaiya High School, Udaipur  </t>
  </si>
  <si>
    <t>barabhaiyahighs@gmail.com</t>
  </si>
  <si>
    <t xml:space="preserve">Headmaster, Chandrapur Colony H.S. School, Udaipur  </t>
  </si>
  <si>
    <t>hm016070103204@gmail.com</t>
  </si>
  <si>
    <t xml:space="preserve">Headmaster, Chandrapur Girls High School, Udaipur </t>
  </si>
  <si>
    <t xml:space="preserve">Headmaster, Chandrapur HS School, Chandrapur  </t>
  </si>
  <si>
    <t>chandrapurhsschool@gmail.com</t>
  </si>
  <si>
    <t xml:space="preserve">Headmaster, Dudhpuskarini High School, Udaipur  </t>
  </si>
  <si>
    <t>das68014@gmail.com</t>
  </si>
  <si>
    <t xml:space="preserve">Headmaster, East Fotamati High School, Udaipur </t>
  </si>
  <si>
    <t xml:space="preserve">Headmaster, Gamaria HS School, Udaipur  </t>
  </si>
  <si>
    <t>ritab7253@gmail.com</t>
  </si>
  <si>
    <t xml:space="preserve">Headmaster, Gangacherra HS School, Gangacherra </t>
  </si>
  <si>
    <t>gangacharrahsschool@gmail.com</t>
  </si>
  <si>
    <t xml:space="preserve">Headmaster, Garjanmura H.S. School, Udaipur </t>
  </si>
  <si>
    <t>hm01670700601@gmail.com</t>
  </si>
  <si>
    <t xml:space="preserve">Headmaster, Garjee Bazar HS School, Garjee </t>
  </si>
  <si>
    <t xml:space="preserve">Headmaster, Gokulpur Colony HS School, Udaipur </t>
  </si>
  <si>
    <t>gchsschool027@gmail.com</t>
  </si>
  <si>
    <t xml:space="preserve">Headmaster, Hariananda Girls HS School, Udaipur </t>
  </si>
  <si>
    <t xml:space="preserve">Headmaster, Jamjuri HS School, Jamjuri  </t>
  </si>
  <si>
    <t>jamjutihsschool2019@gmail.com</t>
  </si>
  <si>
    <t xml:space="preserve">Headmaster, Kakraban HS School, Kakraban  </t>
  </si>
  <si>
    <t>hm016070301602@gmail.com</t>
  </si>
  <si>
    <t xml:space="preserve">Headmaster, Kirit Bikram Institution, Udaipur </t>
  </si>
  <si>
    <t xml:space="preserve">Headmaster, Matarbari H.S School, Udaipur  </t>
  </si>
  <si>
    <t>bhattacharyaalak@gmail.com</t>
  </si>
  <si>
    <t>Headmaster, Mirza H. S. School, Udaipur</t>
  </si>
  <si>
    <t xml:space="preserve">Headmaster, Noabari HS School, Udaipur  </t>
  </si>
  <si>
    <t>hm16070200906@gmail.com</t>
  </si>
  <si>
    <t>Asstt. Headmaster, Paltana H.S. School, Udaipur, Gomati Dist.</t>
  </si>
  <si>
    <t>palatanahs2017@gmail.com</t>
  </si>
  <si>
    <t xml:space="preserve">Headmaster, Pitra H. S. School, Pitra  </t>
  </si>
  <si>
    <t>dilip.udaipur16@gmail.com</t>
  </si>
  <si>
    <t>Headmaster, East R. K. Pur Girls High School, Udaipur</t>
  </si>
  <si>
    <t xml:space="preserve">Headmaster, Ramesh HS School, Udaipur </t>
  </si>
  <si>
    <t xml:space="preserve">Headmaster, Sardar Para High School, Udaipur </t>
  </si>
  <si>
    <t xml:space="preserve">Headmaster, Shalgarah HS School, Shalgarah  </t>
  </si>
  <si>
    <t>apkhmshss@gmail.com</t>
  </si>
  <si>
    <t xml:space="preserve">Headmaster, Shilghati High School, Udaipur </t>
  </si>
  <si>
    <t xml:space="preserve">Headmaster, South Bagma Samatalpara HS School, Bagma </t>
  </si>
  <si>
    <t xml:space="preserve">Headmaster, Tripurasundari HS School, Udaipur  </t>
  </si>
  <si>
    <t>tripurasundarischool1965@gmail.com</t>
  </si>
  <si>
    <t xml:space="preserve">Headmaster, Tulamura H.S. School, Tulamura  </t>
  </si>
  <si>
    <t>tulamurahsschool@gmail.com</t>
  </si>
  <si>
    <t xml:space="preserve">Headmaster, Udaipur Girls HS School, Udaipur </t>
  </si>
  <si>
    <t xml:space="preserve">Headmaster, Khilpara H. S. School, Udaipur </t>
  </si>
  <si>
    <t xml:space="preserve">Inspector of Schools, Udaipur, Gomati  </t>
  </si>
  <si>
    <t>isudaipur1@gmail.com</t>
  </si>
  <si>
    <t xml:space="preserve">Principal, District Institute of Education &amp; Training (DIET), Kakraban </t>
  </si>
  <si>
    <t xml:space="preserve">Principal, Netaji Subhas Mahavidyalaya, Udaipur </t>
  </si>
  <si>
    <t>Treasury Officer, Udaipur, Gomati Dist.</t>
  </si>
  <si>
    <t xml:space="preserve">Inspector of Schools, TTAADC, Raiyabari, Udaipur </t>
  </si>
  <si>
    <t>israiyabari@gmail.com</t>
  </si>
  <si>
    <t xml:space="preserve">Headmaster, Udaipur English Medium H.S. School, Udaipur.  </t>
  </si>
  <si>
    <t>hm016070800402@gmail.com</t>
  </si>
  <si>
    <t xml:space="preserve">Headmistress, Murapara High School </t>
  </si>
  <si>
    <t xml:space="preserve">Headmaster, Raiyabari H.S. School </t>
  </si>
  <si>
    <t xml:space="preserve">Headmaster, Mirza Chandrapur High School, Udaipur. </t>
  </si>
  <si>
    <t xml:space="preserve">Headmaster, Kakraban Girls High School, Udaipur.  </t>
  </si>
  <si>
    <t>kaktabangirlshighs@gmail.com</t>
  </si>
  <si>
    <t xml:space="preserve">Headmaster, Holakhet High School, Udaipur  </t>
  </si>
  <si>
    <t>holakhethighschool19@gmail.com</t>
  </si>
  <si>
    <t xml:space="preserve">Headmaster, Matangini Hazra Balika Vidyalaya, Udaipur. </t>
  </si>
  <si>
    <t xml:space="preserve">Headmaster, Jalemabari H.S. School </t>
  </si>
  <si>
    <t>jalemabarihs@gmail.com</t>
  </si>
  <si>
    <t xml:space="preserve">Principal, Gomati District Polytechnic, Fulkumari, Udaipur </t>
  </si>
  <si>
    <t xml:space="preserve">Headmaster, Amarpur Girls HS School, Amarpur  </t>
  </si>
  <si>
    <t>hm016070445001@gmail.com</t>
  </si>
  <si>
    <t>Headmaster, Amarpur HS School , Amarpur, Gomati Dist.</t>
  </si>
  <si>
    <t>amarpurhs@gmail.com</t>
  </si>
  <si>
    <t xml:space="preserve">Headmaster, Ampinagar HS School, Ampinagar  </t>
  </si>
  <si>
    <t>bharatdebbarma69@gmail.com</t>
  </si>
  <si>
    <t xml:space="preserve">Headmaster, Chelakaham H.S. School, Chellagong  </t>
  </si>
  <si>
    <t>hm016070600206@gmail.com</t>
  </si>
  <si>
    <t xml:space="preserve">Headmaster, Karbook Panjiham HS School, Karbook  </t>
  </si>
  <si>
    <t>kartikkarbook@gmail.com</t>
  </si>
  <si>
    <t xml:space="preserve">Headmaster, Nutanbazar HS School, Nutanbazar  </t>
  </si>
  <si>
    <t>dilipdas171213@gmail.com</t>
  </si>
  <si>
    <t xml:space="preserve">Headmaster, Shilacherri HS School, Shilacherri  </t>
  </si>
  <si>
    <t>sunildebbbs@gmail.com</t>
  </si>
  <si>
    <t xml:space="preserve">Headmaster, Taidubari HS School, Taidu  </t>
  </si>
  <si>
    <t>nandakalai001@gmail.com</t>
  </si>
  <si>
    <t xml:space="preserve">Inspector of Schools, Amarpur, Gomati  </t>
  </si>
  <si>
    <t>isamarpur644@gmail.com</t>
  </si>
  <si>
    <t xml:space="preserve">Principal, Adwita Mallabarman Smriti Mahavidyalaya, Amarpur </t>
  </si>
  <si>
    <t>bhupendradebbarma.143@gmail.com</t>
  </si>
  <si>
    <t xml:space="preserve">Sub-Treasury Officer, Amarpur </t>
  </si>
  <si>
    <t xml:space="preserve">Inspector of Schools, TTAADC, Ampinagar, Amarpur </t>
  </si>
  <si>
    <t>ampinagaris@gmail.com</t>
  </si>
  <si>
    <t xml:space="preserve">Inspector of Schools, TTAADC, Chellangangmukh, Amarpur </t>
  </si>
  <si>
    <t xml:space="preserve">Principal, ITI Jatanbari </t>
  </si>
  <si>
    <t xml:space="preserve">Headmaster, Dakshin Amarpur Town H.S. School, Amarpur  </t>
  </si>
  <si>
    <t>hm016070445004@gmail.com</t>
  </si>
  <si>
    <t xml:space="preserve">Assistant Headmaster, Rangamati H.S. School, Amarpur. </t>
  </si>
  <si>
    <t>rangamatihss@gmail.com</t>
  </si>
  <si>
    <t xml:space="preserve">Assistant Headmaster, Ek-Jatan Kumar H.S. School, Amarpur </t>
  </si>
  <si>
    <t>ekjatankumar@gmail.com</t>
  </si>
  <si>
    <t xml:space="preserve">Headmaster, Malbassa High School, Amarpur </t>
  </si>
  <si>
    <t>malbasaschool1952@gmail.com</t>
  </si>
  <si>
    <t xml:space="preserve">Inspector of Schools, Karbook, TTAADC </t>
  </si>
  <si>
    <t xml:space="preserve">Headmaster, Amarpur Eng.Med. H.S. School, Amarpur </t>
  </si>
  <si>
    <t>bhowmikkajalkumar@gmail.com</t>
  </si>
  <si>
    <t xml:space="preserve">Assistant Headmaster, Vidyapith HS School, Belonia </t>
  </si>
  <si>
    <t>bvhs1950@gmail.com</t>
  </si>
  <si>
    <t>Headmaster, Abhoynagar H. S. School, Abhoynagar</t>
  </si>
  <si>
    <t>Headmaster, Arya Colony High School, Belonia</t>
  </si>
  <si>
    <t>Headmaster, Barpathari HS School, Barpathari</t>
  </si>
  <si>
    <t>Headmaster, Belonia Girls HS School, Belonia</t>
  </si>
  <si>
    <t xml:space="preserve">Headmaster, Birendra Kishore Institution, Belonia </t>
  </si>
  <si>
    <t>bk.institution@yahoo.in</t>
  </si>
  <si>
    <t>Headmaster, Gajaria High Scool, Gajaria</t>
  </si>
  <si>
    <t>Headmaster, Hrishyamukh HS School, Hrishyamukh</t>
  </si>
  <si>
    <t>Headmaster, Ishanchandra Nagar H.S. School</t>
  </si>
  <si>
    <t>Headmaster, Matai H. S. School, Matai</t>
  </si>
  <si>
    <t>Headmaster, Niharnagar HS School, Niharnagar</t>
  </si>
  <si>
    <t>Headmaster, Sarasima H.S. School, Belonia</t>
  </si>
  <si>
    <t>Headmaster, South Bharat Chandra Nagar HS School, Belonia</t>
  </si>
  <si>
    <t>Inspector of Schools, Belonia</t>
  </si>
  <si>
    <t>Principal, Iswar Chandra Vidyasagar College, Belonia</t>
  </si>
  <si>
    <t>Headmaster, Belonia English Medium H.S. School, Belonia</t>
  </si>
  <si>
    <t>Asstt. Headmaster, East Kalabaria HS School, Belonia</t>
  </si>
  <si>
    <t xml:space="preserve">Principal, ITI Belonia </t>
  </si>
  <si>
    <t>Assistant Headmaster, Rajnagar Coloney H.S. School, Belonia.</t>
  </si>
  <si>
    <t xml:space="preserve">Treasury Officer, Belonia </t>
  </si>
  <si>
    <t>Headmaster, Chottakhala H.S School, Belonia</t>
  </si>
  <si>
    <t>Headmaster , Hrishyamukh Girls H.S. School, Hrishyamuk, Belonia</t>
  </si>
  <si>
    <t>Headmaster, Uttar Bharat Chandra Nagar H.S. School, Belonia</t>
  </si>
  <si>
    <t>Headmaster, Krishnanagar HS School, Hrishyamukh, South Tripura</t>
  </si>
  <si>
    <t xml:space="preserve">Deputy Director, South District Education Office, Belonia. </t>
  </si>
  <si>
    <t>deosouth2013@gmail.com</t>
  </si>
  <si>
    <t>Inspector of Schools, Ratanpur, TTAADC</t>
  </si>
  <si>
    <t>Headmaster, Radhanagar H.S. School,Belonia,South Tripura</t>
  </si>
  <si>
    <t xml:space="preserve">Headmaster, Bhuratali H.S. School, Satchand </t>
  </si>
  <si>
    <t xml:space="preserve">Headmaster, Amlighat High School, Amlighat </t>
  </si>
  <si>
    <t>hm16021500602@gmail.com</t>
  </si>
  <si>
    <t xml:space="preserve">Headmaster, Brajendranagar HS School, Brajendranagar </t>
  </si>
  <si>
    <t>hm16021000104@gmail.com</t>
  </si>
  <si>
    <t xml:space="preserve">Headmaster, Chatakcherri HS School, Chatakcherri </t>
  </si>
  <si>
    <t>hmudc16021101605@gmail.com</t>
  </si>
  <si>
    <t xml:space="preserve">Headmaster, Doulbari High School, Doulbari </t>
  </si>
  <si>
    <t>hmdolubarihigh@gmail.com</t>
  </si>
  <si>
    <t xml:space="preserve">Headmaster, Gardhang HS School, Gardhang </t>
  </si>
  <si>
    <t>gardhanghs@gmail.com</t>
  </si>
  <si>
    <t xml:space="preserve">Headmaster, Ghorakhapa High School, Ghorakhapa </t>
  </si>
  <si>
    <t>hm16071200204@gmail.com</t>
  </si>
  <si>
    <t xml:space="preserve">Headmaster, Harina HS School, Harina </t>
  </si>
  <si>
    <t>hatinahsschoool@gmail.com</t>
  </si>
  <si>
    <t xml:space="preserve">Headmaster, Manu HS School, Manubazar </t>
  </si>
  <si>
    <t>manuhsschool@gmail.com</t>
  </si>
  <si>
    <t xml:space="preserve">Headmaster, Manu-Bankul HS School, Bankul </t>
  </si>
  <si>
    <t>hm16021101403@gmail.com</t>
  </si>
  <si>
    <t xml:space="preserve">Headmaster, No.2 Jalefa HS School, Sabroom </t>
  </si>
  <si>
    <t>hm16021000705@gmail.com</t>
  </si>
  <si>
    <t xml:space="preserve">Headmaster, Sabroom Girls HS School, Sabroom </t>
  </si>
  <si>
    <t>sabroomgirlshsschool@gmail.com</t>
  </si>
  <si>
    <t xml:space="preserve">Headmaster, Sabroom HS School, Sabroom </t>
  </si>
  <si>
    <t>sabroomhsschool@gmail.com</t>
  </si>
  <si>
    <t xml:space="preserve">Headmaster, Samarendraganj H.S. School </t>
  </si>
  <si>
    <t>hm16021500302@gmail.com</t>
  </si>
  <si>
    <t xml:space="preserve">Headmaster, Srinagar HS School, Srinagar </t>
  </si>
  <si>
    <t>hm1602150085@gmail.com</t>
  </si>
  <si>
    <t xml:space="preserve">Inspector of Schools, Sabroom </t>
  </si>
  <si>
    <t>bpc.stcrpc.sbm@gmail.com</t>
  </si>
  <si>
    <t xml:space="preserve">Principal, Michael Madhusudan Datta College, Sabroom </t>
  </si>
  <si>
    <t>mmdcollege@gmail.com</t>
  </si>
  <si>
    <t xml:space="preserve">Headmaster, Satchand Higher Secondary School, Satchand </t>
  </si>
  <si>
    <t>hm16021002702@gmail.com</t>
  </si>
  <si>
    <t>Deputy Inspector of Schools, TTAADC, Rupaichari, Sabroom, South Tripura</t>
  </si>
  <si>
    <t xml:space="preserve">Assistant Headmaster, Madhabnagar H.S. School, Sabroom. </t>
  </si>
  <si>
    <t>hm16021500203@gmail.com</t>
  </si>
  <si>
    <t xml:space="preserve">Headmaster, Manu Tahsil High School, Sabroom </t>
  </si>
  <si>
    <t>dise16021001302@gmail.com</t>
  </si>
  <si>
    <t xml:space="preserve">Headmaster, Jalefa H.S. School, Satchand, Sabroom. </t>
  </si>
  <si>
    <t>hm16021000303@gmail.com</t>
  </si>
  <si>
    <t xml:space="preserve">Headmaster, Dasarath Deb Memorial Residential H.S School , Sabroom </t>
  </si>
  <si>
    <t>hm16021002415@gmail.com</t>
  </si>
  <si>
    <t xml:space="preserve">Headmaster,Chalita Bankul Col. HS School, Sabroom, South Tripura. </t>
  </si>
  <si>
    <t>ahm16021101505@gmail.com</t>
  </si>
  <si>
    <t xml:space="preserve">Sub-Treasury Officer, Sabroom </t>
  </si>
  <si>
    <t xml:space="preserve">Administrator, Bishalgarh Class-XII School </t>
  </si>
  <si>
    <t xml:space="preserve">Administrator, Karaimura Class XII School </t>
  </si>
  <si>
    <t xml:space="preserve">Headmaster, Arabinda Vidyamandir High School </t>
  </si>
  <si>
    <t xml:space="preserve">Headmaster, Baidyardighi H.S. School </t>
  </si>
  <si>
    <t xml:space="preserve">Headmaster, Bishramganj HS School, Bishramganj </t>
  </si>
  <si>
    <t xml:space="preserve">Headmaster, Champamura H.S. School </t>
  </si>
  <si>
    <t>samirchowdhury1974@gmail.com</t>
  </si>
  <si>
    <t xml:space="preserve">Headmaster, Chandranagar High School </t>
  </si>
  <si>
    <t>Headmaster, Charilam HS School, Charilam, Sepahijala Dist.</t>
  </si>
  <si>
    <t>Headmaster, Debipur H.S. School, Sepahijala Dist.</t>
  </si>
  <si>
    <t xml:space="preserve">Headmaster, Dhakarbari High School </t>
  </si>
  <si>
    <t>daccabarihigh@gmail.com</t>
  </si>
  <si>
    <t xml:space="preserve">Headmaster, Dharithal High School </t>
  </si>
  <si>
    <t xml:space="preserve">Headmaster, Gajaria H.S. School </t>
  </si>
  <si>
    <t>Headmaster, Konaban West H.S. School, Konaban, Sepahijala Dist.</t>
  </si>
  <si>
    <t xml:space="preserve">Headmaster, Latiacherra High School </t>
  </si>
  <si>
    <t>latiacharahighschool@gmail.com</t>
  </si>
  <si>
    <t>Headmaster, Madhupur HS School, Madhupur, Sepahijala Dist.</t>
  </si>
  <si>
    <t>Headmaster, Office Tilla HS School, Bishalalgarh, Sepahijala Dist.</t>
  </si>
  <si>
    <t xml:space="preserve">Headmaster, Paschim Gakulnagar High School </t>
  </si>
  <si>
    <t xml:space="preserve">Headmaster, Pathaliaghat High School, Bishramganj </t>
  </si>
  <si>
    <t>pathaliaghat662@gmail.com</t>
  </si>
  <si>
    <t xml:space="preserve">Headmaster, Pekuarjala H.S. School </t>
  </si>
  <si>
    <t>hm16050204801@gmail.com</t>
  </si>
  <si>
    <t>Headmaster, Purba Laxmibil H. S. School,Bishalgarh, Sepahijala Dist.</t>
  </si>
  <si>
    <t>Headmaster, Sepahijala HS School, Sepahijala Dist.</t>
  </si>
  <si>
    <t>hmsepoyjalahsschool@gmail.com</t>
  </si>
  <si>
    <t xml:space="preserve">Headmaster, Srinagar Gabardi H.S. School </t>
  </si>
  <si>
    <t xml:space="preserve">Headmaster, Sudhanya Debbarma Memorial HS School, Jampuijala </t>
  </si>
  <si>
    <t xml:space="preserve">Headmaster, Sutarmura High School </t>
  </si>
  <si>
    <t xml:space="preserve">Headmaster, Takarjala South H.S School </t>
  </si>
  <si>
    <t xml:space="preserve">Inspector of Schools, Bisalgarh, Sepahijala </t>
  </si>
  <si>
    <t>isbishalgarh.mdm@gmail.com</t>
  </si>
  <si>
    <t xml:space="preserve">Secretary, Ramakrishna Patshala </t>
  </si>
  <si>
    <t xml:space="preserve">Secretary, Vidyapith Satya Niketan </t>
  </si>
  <si>
    <t xml:space="preserve">Headmaster, Lalsingmura H.S. School </t>
  </si>
  <si>
    <t xml:space="preserve">Headmaster, Ambedkar Adarsha Uchcha Vidyalaya </t>
  </si>
  <si>
    <t>Headmistress, Ghaniamara H.S. School, Bishalgarh, Sepahijala Dist.</t>
  </si>
  <si>
    <t>Headmaster, Jampuijala Girls High School, Bishalgarh, Sepahijala Dist.</t>
  </si>
  <si>
    <t>Headmaster, Chesrimai High School, Bishalgarh, Sepahijala Dist.</t>
  </si>
  <si>
    <t>debbarmahiralal1962@gmail.com</t>
  </si>
  <si>
    <t>Headmistress, Murabari High School, Bishalgarh, Sepahijala Dist.</t>
  </si>
  <si>
    <t>murabarischool.blg@gmail.com</t>
  </si>
  <si>
    <t>Headmistress, Golaghati High School, Bishalgarhm Sepahijala Dist.</t>
  </si>
  <si>
    <t>Headmaster, Brajapur High School, Bishalgarh, Sepahijala Dist.</t>
  </si>
  <si>
    <t>Headmaster, Purba Gokulnagar H.S. School, Bishalgarh, Sepahijala Dist.</t>
  </si>
  <si>
    <t>purbagakulnagarhss@gmail.com</t>
  </si>
  <si>
    <t xml:space="preserve">Principal, Womens Polytechnic [Technical (Diploma) Institute], Hapania </t>
  </si>
  <si>
    <t xml:space="preserve">Treasury Officer, Bishalgarh </t>
  </si>
  <si>
    <t xml:space="preserve">Headmaster, Bishalgarh English Medium H.S. School, Bishalgarh </t>
  </si>
  <si>
    <t>bishalgarlengmedh@gmail.com</t>
  </si>
  <si>
    <t xml:space="preserve">Principal-In-Charge, Rabindranath Thakur Mahavidyalaya, Bishalgarh </t>
  </si>
  <si>
    <t xml:space="preserve">Deputy Director,District Education Office, Bishramganj, Sepahijala District. </t>
  </si>
  <si>
    <t>sepahijalamdm@rediffmail.com</t>
  </si>
  <si>
    <t>Headmaster, Gandacherra Class-XII School,Gandacherra</t>
  </si>
  <si>
    <t>Headmaster, Kabiguru Rabindranath Smriti Vidyabhavan H.S. School</t>
  </si>
  <si>
    <t xml:space="preserve">Sub-Treasury Officer, Gandacherra </t>
  </si>
  <si>
    <t xml:space="preserve">Headmaster, Raishyabari H.S. School </t>
  </si>
  <si>
    <t>Principal-In-Charge, Govt. Degree College, Gandacherra</t>
  </si>
  <si>
    <t xml:space="preserve">Sub-Treasury Officer, Panisagar Sub-Treasury </t>
  </si>
  <si>
    <t xml:space="preserve">Headmaster, Bilthai HS School </t>
  </si>
  <si>
    <t xml:space="preserve">Headmaster, Damcherra HS School </t>
  </si>
  <si>
    <t xml:space="preserve">Headmaster, Panisagar HS School, Panisagar </t>
  </si>
  <si>
    <t xml:space="preserve">Headmaster, Jalebasa H.S School, Panisagar </t>
  </si>
  <si>
    <t xml:space="preserve">Headmaster, Padmabil H.S. School, Panisagar </t>
  </si>
  <si>
    <t xml:space="preserve">Sub-Treasury Officer, Kumarghat Sub-Treasury </t>
  </si>
  <si>
    <t>Headmaster, Ledrai Dewan H.S. School, Machmara, Unakoti Dist.</t>
  </si>
  <si>
    <t>hm1680801306@gmail.com</t>
  </si>
  <si>
    <t xml:space="preserve">Headmaster, Akshoymani Dhanichara High School, Kanchanpur </t>
  </si>
  <si>
    <t>hm160808406@gmail.com</t>
  </si>
  <si>
    <t xml:space="preserve">Headmaster, Pecharthal HS School, Pecharthal </t>
  </si>
  <si>
    <t>phss1947@gmail.com</t>
  </si>
  <si>
    <t xml:space="preserve">Headmaster, Raitwisa HS School, Kumarghat </t>
  </si>
  <si>
    <t>hm16080600106@gmail.com</t>
  </si>
  <si>
    <t xml:space="preserve">Headmaster, Darchawi Christian H.S. School </t>
  </si>
  <si>
    <t>dchssdarchawi@gmail.com</t>
  </si>
  <si>
    <t xml:space="preserve">Assistant Headmaster, Fatikroy HS School, Fatikroy </t>
  </si>
  <si>
    <t>fatikroyschool@gmail.com</t>
  </si>
  <si>
    <t xml:space="preserve">Headmaster, Dhana Singh Choudhury Memorial H.S. School, Kanchanbari </t>
  </si>
  <si>
    <t>dscmhsschool@gmail.com</t>
  </si>
  <si>
    <t xml:space="preserve">Principal, Ambedkar Mahavidyalaya, Fatikroy </t>
  </si>
  <si>
    <t>knock2biplu@gmail.com</t>
  </si>
  <si>
    <t xml:space="preserve">Headmaster, Fatikroy Girls High School </t>
  </si>
  <si>
    <t>apoddar981@gmail.com</t>
  </si>
  <si>
    <t>Assistant Professor, College of Teacher Education (CTE), Kumarghat, Unakoti,</t>
  </si>
  <si>
    <t xml:space="preserve">Headmaster, Pabiacherra HS School, Kumarghat </t>
  </si>
  <si>
    <t>sanatkumarnathhm@gmail.com</t>
  </si>
  <si>
    <t xml:space="preserve">Headmaster, Kumarghat Girls HS School, Kumarghat </t>
  </si>
  <si>
    <t>kgtgirls@gmail.com</t>
  </si>
  <si>
    <t xml:space="preserve">Headmaster, Krishnanagar B.M High School, Fatikroy </t>
  </si>
  <si>
    <t>bahar555822@gmail.com</t>
  </si>
  <si>
    <t xml:space="preserve">Headmaster, Joyganti H.S. School, Kailashahar,Unakoti, Tripura. </t>
  </si>
  <si>
    <t>hmjoiganti@gmail.com</t>
  </si>
  <si>
    <t xml:space="preserve">Sub-Treasury Officer, Teliamura Sub-Treasury </t>
  </si>
  <si>
    <t xml:space="preserve">Administrator, Saradamoyee Vidyapith, Teliamura </t>
  </si>
  <si>
    <t>amardatta91@gmail.com</t>
  </si>
  <si>
    <t xml:space="preserve">Headmaster, Vivekananda H. S. School </t>
  </si>
  <si>
    <t>vhss2017@gmail.com</t>
  </si>
  <si>
    <t xml:space="preserve">Teacher-in-charge , Zion Hill School </t>
  </si>
  <si>
    <t>zionhillschool74@gmail.com</t>
  </si>
  <si>
    <t xml:space="preserve">Headmaster, Balaram Kobra H.S. School </t>
  </si>
  <si>
    <t>tapanbanik333@gmail.com</t>
  </si>
  <si>
    <t xml:space="preserve">Headmaster, Brahmacherra High School, Teliamura </t>
  </si>
  <si>
    <t>brahmacherra@gmail.com</t>
  </si>
  <si>
    <t xml:space="preserve">Headmaster, Ghilatali Bazar H.S. School </t>
  </si>
  <si>
    <t>ghilatali.bazar@gmail.com</t>
  </si>
  <si>
    <t xml:space="preserve">Headmaster, Icharbil H.S. School, Teliamura </t>
  </si>
  <si>
    <t>ibhssteliamura3@gmail.com</t>
  </si>
  <si>
    <t xml:space="preserve">Assistant Headmaster, Kabi Nazrul Vidyabhavan H.S.School, Teliamura </t>
  </si>
  <si>
    <t>chandanbiswas44@gmail.com</t>
  </si>
  <si>
    <t xml:space="preserve">Headmaster, Kalyanpur (Totabari) High School </t>
  </si>
  <si>
    <t>ktbtlm@gmail.com</t>
  </si>
  <si>
    <t xml:space="preserve">Headmaster, Kalyanpur H.S.School, Kalyanpur </t>
  </si>
  <si>
    <t>kalyanpurclassxiischool@gmail.com</t>
  </si>
  <si>
    <t xml:space="preserve">Headmaster, Krishnapur High School </t>
  </si>
  <si>
    <t>debbarmarana86@gmail.com</t>
  </si>
  <si>
    <t xml:space="preserve">Headmaster, Maiganga Sukanta Class XII School, Maiganga </t>
  </si>
  <si>
    <t>ukpaul74@gmail.com</t>
  </si>
  <si>
    <t xml:space="preserve">Headmaster, Moharcherra H.S. School, Moharcherra </t>
  </si>
  <si>
    <t>moharcharrahsschool2017@gmail.com</t>
  </si>
  <si>
    <t xml:space="preserve">Headmaster, North Ghilatali (Ratia) H.S. School </t>
  </si>
  <si>
    <t>pallabkn57@gmail.com</t>
  </si>
  <si>
    <t xml:space="preserve">Headmaster, Parakalok H.S. School </t>
  </si>
  <si>
    <t>hmparakalokddo51@gmail.com</t>
  </si>
  <si>
    <t>Headmaster, Teliamura H.S. School, Teliamura, Khowai Dist.</t>
  </si>
  <si>
    <t>teliamurahs2017@gmail.com</t>
  </si>
  <si>
    <t xml:space="preserve">Headmaster, Tuichindraibari H.S.School, Teliamura </t>
  </si>
  <si>
    <t>tuichindraibarihsschool@gmail.com</t>
  </si>
  <si>
    <t xml:space="preserve">Inspector of Schools, Teliamura </t>
  </si>
  <si>
    <t>isteliamura@gmail.com</t>
  </si>
  <si>
    <t xml:space="preserve">Headmaster, Kalyanpur Bazar Colony Girls High School </t>
  </si>
  <si>
    <t>daspadma17@gmail.com</t>
  </si>
  <si>
    <t xml:space="preserve">Headmaster, Maharanipur H.S. School, Teliamura </t>
  </si>
  <si>
    <t>papridebbarma70@gmail.com</t>
  </si>
  <si>
    <t xml:space="preserve">Headmaster, Kunjaban High School </t>
  </si>
  <si>
    <t>sankardebbarma567@gmail.com</t>
  </si>
  <si>
    <t xml:space="preserve">Headmaster, Netajinagar High School, Teliamura </t>
  </si>
  <si>
    <t>netajinagarsc@gmail.com</t>
  </si>
  <si>
    <t xml:space="preserve">Headmaster, Mungiabari H.S. School, Teliamura </t>
  </si>
  <si>
    <t>mungiabarihss@gmail.com</t>
  </si>
  <si>
    <t xml:space="preserve">Headmaster, Dwarikapur High School, Teliamura </t>
  </si>
  <si>
    <t>dwarikapurhighschool@gmail.com</t>
  </si>
  <si>
    <t xml:space="preserve">Principal-in-Charge, General Degree College, Teliamura </t>
  </si>
  <si>
    <t>gdcteliamura@gmail.com</t>
  </si>
  <si>
    <t xml:space="preserve">Inspector of Schools, Mungiakami, TTAADC </t>
  </si>
  <si>
    <t>ismgkadc@gmail.com</t>
  </si>
  <si>
    <t xml:space="preserve">Sub-Treasury Officer, Jirania Sub-Treasury </t>
  </si>
  <si>
    <t xml:space="preserve">DDO, Budhai Saha Primary School </t>
  </si>
  <si>
    <t xml:space="preserve">DDO, Jatindra Kumar High School </t>
  </si>
  <si>
    <t xml:space="preserve">Headmaster, Barjala Binapani H.S School, Jirania </t>
  </si>
  <si>
    <t xml:space="preserve">Headmaster, Birendranagar H.S. School, Jirania </t>
  </si>
  <si>
    <t xml:space="preserve">Headmaster, Brajanagar H.S. School </t>
  </si>
  <si>
    <t xml:space="preserve">Headmaster, Champaknagar H.S. School </t>
  </si>
  <si>
    <t>champaknagarhsschool1952@gmail.com</t>
  </si>
  <si>
    <t xml:space="preserve">Headmaster, Chowdhury Bari Girls H.S. School </t>
  </si>
  <si>
    <t xml:space="preserve">Headmaster, D.C. Para Hemanta Smriti Vidyalaya </t>
  </si>
  <si>
    <t>pranati.dcphsv@gmail.com</t>
  </si>
  <si>
    <t xml:space="preserve">Headmaster, Makhumai Kami High School </t>
  </si>
  <si>
    <t>Headmaster, Janmejoynagar H.S. School, Jirania, West Tripura</t>
  </si>
  <si>
    <t>rimayrokhum41@gmail.com</t>
  </si>
  <si>
    <t xml:space="preserve">Headmaster, Kamanmura High School </t>
  </si>
  <si>
    <t>Headmaster, Kobra Khamar H.S. School, West Tripura</t>
  </si>
  <si>
    <t>Headmaster, Mandwai Bazar H.S. School, West Tripura</t>
  </si>
  <si>
    <t>Headmaster, Noagaon High School, West Tripura</t>
  </si>
  <si>
    <t xml:space="preserve">Headmaster, Old Agartala H.S. School, Khayerpur </t>
  </si>
  <si>
    <t>Headmaster, Raniganj Girls H.S School, West Tripura</t>
  </si>
  <si>
    <t>raniganjgirls123@gmail.com</t>
  </si>
  <si>
    <t xml:space="preserve">Headmaster, Ranirgaon H.S. School </t>
  </si>
  <si>
    <t xml:space="preserve">Headmaster, Sanghati Vidya Mandir H.S. School, Jirania </t>
  </si>
  <si>
    <t>tamannamajumder06333@gmail.com</t>
  </si>
  <si>
    <t xml:space="preserve">Headmaster, Tripura Lokshikshalay High School </t>
  </si>
  <si>
    <t>hmtishighschool@gmail.com</t>
  </si>
  <si>
    <t xml:space="preserve">Headmaster, Tulakona High School </t>
  </si>
  <si>
    <t>chandrakishore@gmail.com</t>
  </si>
  <si>
    <t xml:space="preserve">Inspector of Schools, Jirania </t>
  </si>
  <si>
    <t>jiraniamdm@gmail.com</t>
  </si>
  <si>
    <t xml:space="preserve">Asstt Professor, Government Degree College, Khumlwang </t>
  </si>
  <si>
    <t>gdc_khumulwng@rediffmail.com</t>
  </si>
  <si>
    <t xml:space="preserve">Headmaster, Jiraniakhola H.S. School </t>
  </si>
  <si>
    <t>jiraniakholahs@gmail.com</t>
  </si>
  <si>
    <t xml:space="preserve">Headmaster, Chantaibari H.S. School, Ramchandra Nagar </t>
  </si>
  <si>
    <t>nilmanidebbarma89@gmail.com</t>
  </si>
  <si>
    <t xml:space="preserve">Headmaster, Brighudasbari High School, Jirania </t>
  </si>
  <si>
    <t xml:space="preserve">Headmaster, South Joynagar High School, Jirania </t>
  </si>
  <si>
    <t xml:space="preserve">Headmaster, New Mandwai Girls High School, Mandwai, Jirania </t>
  </si>
  <si>
    <t xml:space="preserve">Headmaster, Sukanta Academy Govt. English Medium H.S. School, Jirania </t>
  </si>
  <si>
    <t>Headmaster, West Noabadi (S) High School, Jirania</t>
  </si>
  <si>
    <t xml:space="preserve">Headmaster, Gurucharan High School, Jirania </t>
  </si>
  <si>
    <t xml:space="preserve">Principal, Polytechnic Institute, TTAADC, Khumulung </t>
  </si>
  <si>
    <t xml:space="preserve">Sub-Treasury Officer, Mohanpur Sub-Treasury </t>
  </si>
  <si>
    <t xml:space="preserve">DDO, Bsf Primary School, Shalbagan </t>
  </si>
  <si>
    <t xml:space="preserve">Headmaster, Akhalia Cherra High School, Sonaram </t>
  </si>
  <si>
    <t>8088ddo@gmail.com</t>
  </si>
  <si>
    <t xml:space="preserve">Headmaster, Barkathal HS School </t>
  </si>
  <si>
    <t>8097ddo@gmail.com</t>
  </si>
  <si>
    <t xml:space="preserve">Headmaster, Berimura HS School, Bamutia </t>
  </si>
  <si>
    <t>berimurahsschool@gmail.com</t>
  </si>
  <si>
    <t xml:space="preserve">Headmaster, East Durjoynagar High School </t>
  </si>
  <si>
    <t>8124ddo@gmail.com</t>
  </si>
  <si>
    <t xml:space="preserve">Headmaster, Gamcha Kobra Para High School </t>
  </si>
  <si>
    <t>8126ddo@gmail.com</t>
  </si>
  <si>
    <t xml:space="preserve">Headmaster, Gandhigram HS School, Gandhigram </t>
  </si>
  <si>
    <t>gandhigramhsschool@gmail.com</t>
  </si>
  <si>
    <t xml:space="preserve">Headmaster, Gopalnagar H.S. School, Mohanpur </t>
  </si>
  <si>
    <t>gopalnagarhs123@gmail.com</t>
  </si>
  <si>
    <t xml:space="preserve">Headmaster, Ishanpur H. S. School </t>
  </si>
  <si>
    <t>barmanpradip5@gmail.com</t>
  </si>
  <si>
    <t xml:space="preserve">Headmaster, Kalagachia High School </t>
  </si>
  <si>
    <t>8135ddo@gmail.com</t>
  </si>
  <si>
    <t xml:space="preserve">Headmaster, Kamalghat HS School </t>
  </si>
  <si>
    <t>8136ddo@gmail.com</t>
  </si>
  <si>
    <t xml:space="preserve">Headmaster, Katlamara High School </t>
  </si>
  <si>
    <t>katlamarahighschool2@gmail.com</t>
  </si>
  <si>
    <t xml:space="preserve">Headmaster, Lefunga H.S. School </t>
  </si>
  <si>
    <t>8144ddo@gmail.com</t>
  </si>
  <si>
    <t>Headmaster, Mohanpur HS School, Mohanpur, West Tripura</t>
  </si>
  <si>
    <t>hmmnp.mohanpur@gmail.com</t>
  </si>
  <si>
    <t>Headmaster, Narsingarh H.S School, Narsingarh, West Tripura</t>
  </si>
  <si>
    <t>narsingarhhs@gmail.com</t>
  </si>
  <si>
    <t xml:space="preserve">Headmaster, Navagram HS School </t>
  </si>
  <si>
    <t>8153ddo@gmail.com</t>
  </si>
  <si>
    <t xml:space="preserve">Headmaster, Nutannagar Girls HS School </t>
  </si>
  <si>
    <t>nutannagargirls@gmail.com</t>
  </si>
  <si>
    <t xml:space="preserve">Headmaster, Rabikumar H.S.School, Lembucherra </t>
  </si>
  <si>
    <t>rabikumarhs2016@gmail.com</t>
  </si>
  <si>
    <t xml:space="preserve">Headmaster, Rajnagar Gandhigram High School </t>
  </si>
  <si>
    <t>rghsgandhigram123@gmail.com</t>
  </si>
  <si>
    <t xml:space="preserve">Headmaster, Simna High School </t>
  </si>
  <si>
    <t>simnahighschool@gmail.com</t>
  </si>
  <si>
    <t xml:space="preserve">Headmaster, Sukhamoy HS School </t>
  </si>
  <si>
    <t>bhattacharjeesanjoy62@gmail.com</t>
  </si>
  <si>
    <t xml:space="preserve">Headmaster, Surendranagar HS School </t>
  </si>
  <si>
    <t>8183ddo@gmail.com</t>
  </si>
  <si>
    <t xml:space="preserve">Headmaster, Taltala HS School </t>
  </si>
  <si>
    <t xml:space="preserve">Headmaster, Tarapur High School </t>
  </si>
  <si>
    <t>8188ddo@gmail.com</t>
  </si>
  <si>
    <t xml:space="preserve">Headmaster, Tebaria High School </t>
  </si>
  <si>
    <t>8189ddo@gmail.com</t>
  </si>
  <si>
    <t xml:space="preserve">Inspector of Schools, Mohanpur </t>
  </si>
  <si>
    <t>8206ddo@gmail.com</t>
  </si>
  <si>
    <t xml:space="preserve">Principal, Tripura Institute of Technology, Narsingarh </t>
  </si>
  <si>
    <t>ashishdebbarma@gmail.com</t>
  </si>
  <si>
    <t xml:space="preserve">Headmaster, Patunagar High School, Durjoynagar, Agartala </t>
  </si>
  <si>
    <t>nilmadhabsaha1969@gmail.com</t>
  </si>
  <si>
    <t xml:space="preserve">Headmaster, Mohanpur Girls High School, Sadar </t>
  </si>
  <si>
    <t>8335ddo@gmail.com</t>
  </si>
  <si>
    <t xml:space="preserve">Headmaster, Mantala High School, Jirania </t>
  </si>
  <si>
    <t>8337ddo@gmail.com</t>
  </si>
  <si>
    <t>Headmaster, Madhu Choudhury Para H.S. School, Mohanpur, West Tripura</t>
  </si>
  <si>
    <t>8346ddo@gmail.com</t>
  </si>
  <si>
    <t xml:space="preserve">Headmaster, Chandpur H.S.School, Hezamara, Mohanpur </t>
  </si>
  <si>
    <t>8347ddo@gmail.com</t>
  </si>
  <si>
    <t xml:space="preserve">Principal-in-Charge, Swami Vivekananda Maha Vidyalaya, Mohanpur </t>
  </si>
  <si>
    <t>nirmalbhadra@yahoo.co.in</t>
  </si>
  <si>
    <t xml:space="preserve">Principal, UGTC, Lembucherra </t>
  </si>
  <si>
    <t xml:space="preserve">Asstt. Professor, College of Agriculture, Lembucherra </t>
  </si>
  <si>
    <t>Sub-Treasury Officer, Santirbazar Sub-Treasury</t>
  </si>
  <si>
    <t xml:space="preserve">Administrator, Jolaibari H. S. School, Jolaibari </t>
  </si>
  <si>
    <t xml:space="preserve">Headmaster, Twikormo H.S.School </t>
  </si>
  <si>
    <t>baidyapalas47@gmail.com</t>
  </si>
  <si>
    <t xml:space="preserve">Headmaster, Bagafa Ashram H.S.School, Santirbazar </t>
  </si>
  <si>
    <t xml:space="preserve">Headmaster, Baikhora HS School, Baikhora </t>
  </si>
  <si>
    <t>hmbkh16021301403@gmail.com</t>
  </si>
  <si>
    <t xml:space="preserve">Headmaster, Birchandra Manu Sahid Smriti Vidyamandir (H. S.), Birchandra Manu </t>
  </si>
  <si>
    <t xml:space="preserve">Headmaster, Muhuripur HS School, Muhuripur </t>
  </si>
  <si>
    <t>usutradhar.ahm@gmail.com</t>
  </si>
  <si>
    <t xml:space="preserve">Headmaster, Santirbazar HS School, Santirbazar </t>
  </si>
  <si>
    <t xml:space="preserve">Inspector of Schools, Santirbazar, South Tripura </t>
  </si>
  <si>
    <t>edn.stb@gmail.com</t>
  </si>
  <si>
    <t xml:space="preserve">Inspector of Schools, TTAADC, Birchandra Manu, Belonia </t>
  </si>
  <si>
    <t>is.bcmanu@gmail.com</t>
  </si>
  <si>
    <t xml:space="preserve">Headmaster, West Bokafa H.S. School, Santirbazar </t>
  </si>
  <si>
    <t>hmwestbokafa@gmail.com</t>
  </si>
  <si>
    <t xml:space="preserve">Assistant Headmaster, Debdaru H.S.School, Santirbazar. </t>
  </si>
  <si>
    <t>janatapati12@gmail.com</t>
  </si>
  <si>
    <t xml:space="preserve">Headmaster, Paschim Pilak H.S. School, Santirbazar. </t>
  </si>
  <si>
    <t>hm16026601503@gmail.com</t>
  </si>
  <si>
    <t xml:space="preserve">Headmaster, Jolaibari M.M. Girls H.S School, Belonia </t>
  </si>
  <si>
    <t>jlbmmgirls.hs@gmail.com</t>
  </si>
  <si>
    <t xml:space="preserve">Headmaster, Baikhora Girls H.S. School, Santirbazar </t>
  </si>
  <si>
    <t xml:space="preserve">Headmaster, Betaga H.S. School, Santirbazar </t>
  </si>
  <si>
    <t>Headmaster, Avangchara H.S. School, Bagafa</t>
  </si>
  <si>
    <t>Schoolahss074@gmail.com</t>
  </si>
  <si>
    <t xml:space="preserve">Principal-In-Charge, General Degree College, Santirbazar </t>
  </si>
  <si>
    <t>gdcsantirbazar2012@gmail.com</t>
  </si>
  <si>
    <t xml:space="preserve">Headmaster, Charakbai HS School, Santirbazar, Belonia, South Tripura </t>
  </si>
  <si>
    <t>Assistant Teacher</t>
  </si>
  <si>
    <t>U.G.T.</t>
  </si>
  <si>
    <t>G.T.</t>
  </si>
  <si>
    <t>P.G.T.</t>
  </si>
  <si>
    <t>A.H.M(H.S)</t>
  </si>
  <si>
    <t>A.H.M(High)</t>
  </si>
  <si>
    <t>A.H.M(S.B)</t>
  </si>
  <si>
    <t>H.M(H.S)</t>
  </si>
  <si>
    <t>H.M(High)</t>
  </si>
  <si>
    <t>H.M(S.B)</t>
  </si>
  <si>
    <t>H.M(Pry)</t>
  </si>
  <si>
    <t>GK</t>
  </si>
  <si>
    <t>Acctt.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</si>
</sst>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₹&quot;\ #,##0;&quot;₹&quot;\ \-#,##0"/>
    <numFmt numFmtId="43" formatCode="_ * #,##0.00_ ;_ * \-#,##0.00_ ;_ * &quot;-&quot;??_ ;_ @_ "/>
    <numFmt numFmtId="164" formatCode=";;;"/>
    <numFmt numFmtId="165" formatCode="0.0"/>
    <numFmt numFmtId="166" formatCode="&quot;₹&quot;\ #,##0;[Red]&quot;₹&quot;\ #,##0"/>
    <numFmt numFmtId="167" formatCode="[$₹-4009]\ #,##0;[Red][$₹-4009]\ #,##0"/>
    <numFmt numFmtId="168" formatCode="&quot;₹&quot;\ ###,###"/>
    <numFmt numFmtId="169" formatCode="&quot;₹&quot;\ #,##0"/>
    <numFmt numFmtId="170" formatCode="###\-###"/>
    <numFmt numFmtId="171" formatCode="[&lt;=9999999]###\-####;\(####\)\ ##\-####"/>
    <numFmt numFmtId="172" formatCode="&quot;₹&quot;\ #,##0.00"/>
    <numFmt numFmtId="173" formatCode="[$-14009]dd\-mm\-yyyy;@"/>
  </numFmts>
  <fonts count="112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2"/>
      <name val="Times New Roman"/>
      <family val="1"/>
    </font>
    <font>
      <sz val="11"/>
      <color theme="1"/>
      <name val="Times New Roman"/>
      <family val="1"/>
    </font>
    <font>
      <b/>
      <sz val="11"/>
      <color theme="1" tint="4.9989318521683403E-2"/>
      <name val="Times New Roman"/>
      <family val="1"/>
    </font>
    <font>
      <b/>
      <u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Cambria"/>
      <family val="1"/>
      <scheme val="major"/>
    </font>
    <font>
      <b/>
      <sz val="11"/>
      <color rgb="FFFF0000"/>
      <name val="Times New Roman"/>
      <family val="1"/>
    </font>
    <font>
      <b/>
      <sz val="12"/>
      <color rgb="FFC00000"/>
      <name val="Times New Roman"/>
      <family val="1"/>
    </font>
    <font>
      <b/>
      <sz val="11"/>
      <color theme="1"/>
      <name val="Cambria"/>
      <family val="1"/>
      <scheme val="major"/>
    </font>
    <font>
      <b/>
      <sz val="11"/>
      <color rgb="FF000000"/>
      <name val="Times New Roman"/>
      <family val="1"/>
    </font>
    <font>
      <b/>
      <sz val="12"/>
      <color theme="1"/>
      <name val="Cambria"/>
      <family val="1"/>
    </font>
    <font>
      <b/>
      <sz val="12"/>
      <color rgb="FF000000"/>
      <name val="Times New Roman"/>
      <family val="1"/>
    </font>
    <font>
      <b/>
      <sz val="18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1"/>
      <color rgb="FFC00000"/>
      <name val="Times New Roman"/>
      <family val="1"/>
    </font>
    <font>
      <b/>
      <sz val="14"/>
      <color rgb="FFC00000"/>
      <name val="Times New Roman"/>
      <family val="1"/>
    </font>
    <font>
      <b/>
      <sz val="11"/>
      <name val="Times New Roman"/>
      <family val="1"/>
    </font>
    <font>
      <u/>
      <sz val="11"/>
      <color theme="10"/>
      <name val="Calibri"/>
      <family val="2"/>
    </font>
    <font>
      <sz val="12"/>
      <color rgb="FFFF0000"/>
      <name val="Times New Roman"/>
      <family val="1"/>
    </font>
    <font>
      <u/>
      <sz val="12"/>
      <color theme="1"/>
      <name val="Times New Roman"/>
      <family val="1"/>
    </font>
    <font>
      <sz val="8"/>
      <name val="Calibri"/>
      <family val="2"/>
      <scheme val="minor"/>
    </font>
    <font>
      <b/>
      <u/>
      <sz val="14"/>
      <color theme="1"/>
      <name val="Times New Roman"/>
      <family val="1"/>
    </font>
    <font>
      <u/>
      <sz val="10"/>
      <color theme="1"/>
      <name val="Times New Roman"/>
      <family val="1"/>
    </font>
    <font>
      <sz val="14"/>
      <color theme="1"/>
      <name val="Times New Roman"/>
      <family val="1"/>
    </font>
    <font>
      <u/>
      <sz val="14"/>
      <color theme="1"/>
      <name val="Sitka Banner Semibold"/>
    </font>
    <font>
      <sz val="14"/>
      <color rgb="FFC0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theme="1" tint="4.9989318521683403E-2"/>
      <name val="Times New Roman"/>
      <family val="1"/>
    </font>
    <font>
      <sz val="12"/>
      <color rgb="FFC00000"/>
      <name val="Times New Roman"/>
      <family val="1"/>
    </font>
    <font>
      <sz val="12"/>
      <color rgb="FF000000"/>
      <name val="Times New Roman"/>
      <family val="1"/>
    </font>
    <font>
      <sz val="11"/>
      <color rgb="FFC00000"/>
      <name val="Times New Roman"/>
      <family val="1"/>
    </font>
    <font>
      <sz val="12"/>
      <name val="Times New Roman"/>
      <family val="1"/>
    </font>
    <font>
      <sz val="12"/>
      <color theme="5" tint="-0.249977111117893"/>
      <name val="Times New Roman"/>
      <family val="1"/>
    </font>
    <font>
      <u/>
      <sz val="14"/>
      <color theme="1"/>
      <name val="Times New Roman"/>
      <family val="1"/>
    </font>
    <font>
      <u/>
      <sz val="18"/>
      <color theme="1"/>
      <name val="Times New Roman"/>
      <family val="1"/>
    </font>
    <font>
      <b/>
      <sz val="14"/>
      <color theme="1"/>
      <name val="Cambria"/>
      <family val="1"/>
      <scheme val="major"/>
    </font>
    <font>
      <b/>
      <sz val="12"/>
      <color rgb="FF000000"/>
      <name val="Mangal"/>
      <family val="1"/>
    </font>
    <font>
      <b/>
      <sz val="12"/>
      <color rgb="FF000000"/>
      <name val="Courier New"/>
      <family val="3"/>
    </font>
    <font>
      <sz val="12"/>
      <color rgb="FF000000"/>
      <name val="Mangal"/>
      <family val="1"/>
    </font>
    <font>
      <b/>
      <sz val="12"/>
      <color rgb="FF212121"/>
      <name val="Mangal"/>
      <family val="1"/>
    </font>
    <font>
      <sz val="12"/>
      <color rgb="FF212121"/>
      <name val="Mangal"/>
      <family val="1"/>
    </font>
    <font>
      <i/>
      <sz val="12"/>
      <color theme="1"/>
      <name val="Times New Roman"/>
      <family val="1"/>
    </font>
    <font>
      <i/>
      <sz val="11"/>
      <color theme="1"/>
      <name val="Times New Roman"/>
      <family val="1"/>
    </font>
    <font>
      <sz val="12"/>
      <color theme="7" tint="-0.499984740745262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theme="8" tint="-0.249977111117893"/>
      <name val="Times New Roman"/>
      <family val="1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Times New Roman"/>
      <family val="1"/>
    </font>
    <font>
      <u/>
      <sz val="10"/>
      <color theme="10"/>
      <name val="Times New Roman"/>
      <family val="1"/>
    </font>
    <font>
      <i/>
      <sz val="10"/>
      <color theme="1"/>
      <name val="Times New Roman"/>
      <family val="1"/>
    </font>
    <font>
      <sz val="11"/>
      <color rgb="FF000000"/>
      <name val="Times New Roman"/>
      <family val="1"/>
    </font>
    <font>
      <b/>
      <i/>
      <sz val="11"/>
      <color theme="1"/>
      <name val="Times New Roman"/>
      <family val="1"/>
    </font>
    <font>
      <b/>
      <sz val="20"/>
      <color theme="8" tint="-0.249977111117893"/>
      <name val="Times New Roman"/>
      <family val="1"/>
    </font>
    <font>
      <b/>
      <u/>
      <sz val="12"/>
      <color rgb="FF0070C0"/>
      <name val="Times New Roman"/>
      <family val="1"/>
    </font>
    <font>
      <b/>
      <sz val="12"/>
      <color rgb="FF008000"/>
      <name val="Times New Roman"/>
      <family val="1"/>
    </font>
    <font>
      <b/>
      <i/>
      <sz val="12"/>
      <color theme="5" tint="-0.249977111117893"/>
      <name val="Times New Roman"/>
      <family val="1"/>
    </font>
    <font>
      <sz val="14"/>
      <color rgb="FFFF0000"/>
      <name val="Times New Roman"/>
      <family val="1"/>
    </font>
    <font>
      <sz val="12"/>
      <color rgb="FF008000"/>
      <name val="Times New Roman"/>
      <family val="1"/>
    </font>
    <font>
      <b/>
      <sz val="12"/>
      <color indexed="81"/>
      <name val="Times New Roman"/>
      <family val="1"/>
    </font>
    <font>
      <sz val="12"/>
      <color indexed="81"/>
      <name val="Times New Roman"/>
      <family val="1"/>
    </font>
    <font>
      <sz val="16"/>
      <color theme="1"/>
      <name val="Times New Roman"/>
      <family val="1"/>
    </font>
    <font>
      <sz val="10"/>
      <color theme="1"/>
      <name val="Times New Roman"/>
      <family val="1"/>
    </font>
    <font>
      <b/>
      <sz val="14"/>
      <color rgb="FF000000"/>
      <name val="Mangal"/>
      <family val="1"/>
    </font>
    <font>
      <sz val="14"/>
      <color rgb="FF000000"/>
      <name val="Mangal"/>
      <family val="1"/>
    </font>
    <font>
      <b/>
      <sz val="14"/>
      <color rgb="FF212121"/>
      <name val="Mangal"/>
      <family val="1"/>
    </font>
    <font>
      <sz val="14"/>
      <color rgb="FF212121"/>
      <name val="Mangal"/>
      <family val="1"/>
    </font>
    <font>
      <sz val="9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indexed="81"/>
      <name val="Times New Roman"/>
      <family val="1"/>
    </font>
    <font>
      <u/>
      <sz val="12"/>
      <color theme="1"/>
      <name val="Engravers MT"/>
      <family val="1"/>
    </font>
    <font>
      <u/>
      <sz val="12"/>
      <name val="Times New Roman"/>
      <family val="1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4"/>
      <color theme="1"/>
      <name val="Cambria"/>
      <family val="1"/>
      <scheme val="major"/>
    </font>
    <font>
      <b/>
      <sz val="11"/>
      <color theme="5" tint="-0.249977111117893"/>
      <name val="Times New Roman"/>
      <family val="1"/>
    </font>
    <font>
      <b/>
      <sz val="12"/>
      <color theme="5" tint="-0.249977111117893"/>
      <name val="Times New Roman"/>
      <family val="1"/>
    </font>
    <font>
      <sz val="11"/>
      <name val="Times New Roman"/>
      <family val="1"/>
    </font>
    <font>
      <b/>
      <sz val="11"/>
      <color theme="3" tint="-0.249977111117893"/>
      <name val="Times New Roman"/>
      <family val="1"/>
    </font>
    <font>
      <b/>
      <sz val="11"/>
      <color theme="8" tint="-0.249977111117893"/>
      <name val="Times New Roman"/>
      <family val="1"/>
    </font>
    <font>
      <b/>
      <sz val="14"/>
      <color indexed="81"/>
      <name val="Times New Roman"/>
      <family val="1"/>
    </font>
    <font>
      <sz val="11"/>
      <color rgb="FF7030A0"/>
      <name val="Times New Roman"/>
      <family val="1"/>
    </font>
    <font>
      <i/>
      <sz val="10"/>
      <color rgb="FFC00000"/>
      <name val="Times New Roman"/>
      <family val="1"/>
    </font>
    <font>
      <b/>
      <sz val="12"/>
      <color theme="3" tint="0.39997558519241921"/>
      <name val="Times New Roman"/>
      <family val="1"/>
    </font>
    <font>
      <b/>
      <sz val="10"/>
      <color theme="1"/>
      <name val="Times New Roman"/>
      <family val="1"/>
    </font>
    <font>
      <b/>
      <sz val="14"/>
      <color rgb="FF00B050"/>
      <name val="Cambria"/>
      <family val="1"/>
      <scheme val="major"/>
    </font>
    <font>
      <sz val="12"/>
      <color rgb="FF7030A0"/>
      <name val="Times New Roman"/>
      <family val="1"/>
    </font>
    <font>
      <b/>
      <sz val="10"/>
      <color rgb="FFC00000"/>
      <name val="Times New Roman"/>
      <family val="1"/>
    </font>
    <font>
      <sz val="10"/>
      <color rgb="FFC00000"/>
      <name val="Times New Roman"/>
      <family val="1"/>
    </font>
    <font>
      <b/>
      <i/>
      <sz val="12"/>
      <color theme="9" tint="-0.249977111117893"/>
      <name val="Times New Roman"/>
      <family val="1"/>
    </font>
    <font>
      <sz val="11"/>
      <color rgb="FF0A0A0A"/>
      <name val="Courier New"/>
      <family val="3"/>
    </font>
    <font>
      <b/>
      <sz val="14"/>
      <color theme="1"/>
      <name val="Mistral"/>
      <family val="4"/>
    </font>
    <font>
      <sz val="12"/>
      <color rgb="FF000000"/>
      <name val="Segoe UI"/>
      <family val="2"/>
    </font>
    <font>
      <sz val="12"/>
      <name val="Segoe UI"/>
      <family val="2"/>
    </font>
    <font>
      <sz val="12"/>
      <color theme="1"/>
      <name val="Segoe UI"/>
      <family val="2"/>
    </font>
    <font>
      <sz val="12"/>
      <color rgb="FFFF0000"/>
      <name val="Segoe UI"/>
      <family val="2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Segoe UI"/>
      <family val="2"/>
    </font>
    <font>
      <sz val="11"/>
      <name val="Segoe UI"/>
      <family val="2"/>
    </font>
    <font>
      <sz val="14"/>
      <color rgb="FFFF0000"/>
      <name val="Segoe UI"/>
      <family val="2"/>
    </font>
    <font>
      <u/>
      <sz val="12"/>
      <name val="Segoe UI"/>
      <family val="2"/>
    </font>
    <font>
      <sz val="11"/>
      <color rgb="FF444444"/>
      <name val="Segoe UI"/>
      <family val="2"/>
    </font>
    <font>
      <b/>
      <sz val="11"/>
      <color rgb="FF000000"/>
      <name val="Cambria"/>
      <family val="1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</fills>
  <borders count="1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24" fillId="0" borderId="0" applyNumberFormat="0" applyFill="0" applyBorder="0" applyAlignment="0" applyProtection="0">
      <alignment vertical="top"/>
      <protection locked="0"/>
    </xf>
    <xf numFmtId="43" fontId="51" fillId="0" borderId="0" applyFont="0" applyFill="0" applyBorder="0" applyAlignment="0" applyProtection="0"/>
    <xf numFmtId="0" fontId="56" fillId="0" borderId="0"/>
    <xf numFmtId="0" fontId="57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15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/>
    <xf numFmtId="0" fontId="8" fillId="0" borderId="0" xfId="0" applyFont="1" applyAlignment="1">
      <alignment horizontal="right"/>
    </xf>
    <xf numFmtId="0" fontId="1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1" fillId="0" borderId="1" xfId="0" applyNumberFormat="1" applyFont="1" applyBorder="1"/>
    <xf numFmtId="14" fontId="1" fillId="2" borderId="1" xfId="0" applyNumberFormat="1" applyFont="1" applyFill="1" applyBorder="1"/>
    <xf numFmtId="14" fontId="1" fillId="6" borderId="1" xfId="0" applyNumberFormat="1" applyFont="1" applyFill="1" applyBorder="1"/>
    <xf numFmtId="14" fontId="1" fillId="2" borderId="71" xfId="0" applyNumberFormat="1" applyFont="1" applyFill="1" applyBorder="1"/>
    <xf numFmtId="0" fontId="1" fillId="0" borderId="56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9" xfId="0" applyFont="1" applyBorder="1" applyAlignment="1">
      <alignment horizontal="center" vertical="center"/>
    </xf>
    <xf numFmtId="0" fontId="16" fillId="0" borderId="60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4" fillId="0" borderId="0" xfId="0" applyFont="1"/>
    <xf numFmtId="169" fontId="2" fillId="0" borderId="0" xfId="0" applyNumberFormat="1" applyFont="1" applyAlignment="1">
      <alignment vertical="center"/>
    </xf>
    <xf numFmtId="0" fontId="1" fillId="0" borderId="57" xfId="0" applyFont="1" applyBorder="1" applyAlignment="1">
      <alignment horizontal="center"/>
    </xf>
    <xf numFmtId="0" fontId="1" fillId="0" borderId="90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2" fillId="0" borderId="5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14" fontId="1" fillId="0" borderId="90" xfId="0" applyNumberFormat="1" applyFont="1" applyBorder="1" applyAlignment="1">
      <alignment horizontal="center" vertical="center"/>
    </xf>
    <xf numFmtId="14" fontId="1" fillId="0" borderId="56" xfId="0" applyNumberFormat="1" applyFont="1" applyBorder="1" applyAlignment="1">
      <alignment horizontal="center" vertical="center"/>
    </xf>
    <xf numFmtId="14" fontId="1" fillId="0" borderId="58" xfId="0" applyNumberFormat="1" applyFont="1" applyBorder="1" applyAlignment="1">
      <alignment horizontal="center" vertical="center"/>
    </xf>
    <xf numFmtId="14" fontId="20" fillId="0" borderId="0" xfId="0" applyNumberFormat="1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1" fillId="0" borderId="13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14" fontId="1" fillId="0" borderId="57" xfId="0" applyNumberFormat="1" applyFont="1" applyBorder="1" applyAlignment="1">
      <alignment horizontal="center" vertical="center"/>
    </xf>
    <xf numFmtId="14" fontId="1" fillId="0" borderId="55" xfId="0" applyNumberFormat="1" applyFont="1" applyBorder="1" applyAlignment="1">
      <alignment horizontal="center" vertical="center"/>
    </xf>
    <xf numFmtId="14" fontId="1" fillId="0" borderId="54" xfId="0" applyNumberFormat="1" applyFont="1" applyBorder="1" applyAlignment="1">
      <alignment horizontal="center" vertical="center"/>
    </xf>
    <xf numFmtId="14" fontId="1" fillId="0" borderId="36" xfId="0" applyNumberFormat="1" applyFont="1" applyBorder="1" applyAlignment="1">
      <alignment horizontal="center" vertical="center"/>
    </xf>
    <xf numFmtId="14" fontId="1" fillId="0" borderId="45" xfId="0" applyNumberFormat="1" applyFont="1" applyBorder="1" applyAlignment="1">
      <alignment horizontal="center" vertical="center"/>
    </xf>
    <xf numFmtId="14" fontId="1" fillId="0" borderId="91" xfId="0" applyNumberFormat="1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0" fillId="0" borderId="39" xfId="0" applyFont="1" applyBorder="1" applyAlignment="1">
      <alignment horizontal="center" vertical="center"/>
    </xf>
    <xf numFmtId="0" fontId="30" fillId="0" borderId="39" xfId="0" applyFont="1" applyBorder="1" applyAlignment="1">
      <alignment vertical="center"/>
    </xf>
    <xf numFmtId="0" fontId="30" fillId="0" borderId="0" xfId="0" applyFont="1" applyAlignment="1">
      <alignment vertical="center"/>
    </xf>
    <xf numFmtId="169" fontId="30" fillId="0" borderId="0" xfId="0" applyNumberFormat="1" applyFont="1" applyAlignment="1">
      <alignment horizontal="left" vertical="center"/>
    </xf>
    <xf numFmtId="169" fontId="30" fillId="0" borderId="0" xfId="0" applyNumberFormat="1" applyFont="1" applyAlignment="1">
      <alignment vertical="center"/>
    </xf>
    <xf numFmtId="0" fontId="4" fillId="0" borderId="39" xfId="0" applyFont="1" applyBorder="1" applyAlignment="1">
      <alignment vertical="center"/>
    </xf>
    <xf numFmtId="0" fontId="30" fillId="0" borderId="42" xfId="0" applyFont="1" applyBorder="1" applyAlignment="1">
      <alignment horizontal="right" vertical="center"/>
    </xf>
    <xf numFmtId="169" fontId="30" fillId="0" borderId="42" xfId="0" applyNumberFormat="1" applyFont="1" applyBorder="1" applyAlignment="1">
      <alignment horizontal="left" vertical="center"/>
    </xf>
    <xf numFmtId="0" fontId="30" fillId="0" borderId="40" xfId="0" applyFont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30" fillId="0" borderId="27" xfId="0" applyFont="1" applyBorder="1"/>
    <xf numFmtId="0" fontId="30" fillId="0" borderId="42" xfId="0" applyFont="1" applyBorder="1"/>
    <xf numFmtId="0" fontId="2" fillId="0" borderId="35" xfId="0" applyFont="1" applyBorder="1" applyAlignment="1">
      <alignment horizontal="center" vertical="center"/>
    </xf>
    <xf numFmtId="0" fontId="2" fillId="0" borderId="83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11" fillId="0" borderId="0" xfId="0" applyFont="1"/>
    <xf numFmtId="0" fontId="2" fillId="0" borderId="94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2" fillId="0" borderId="36" xfId="0" applyFont="1" applyBorder="1" applyAlignment="1">
      <alignment horizontal="center" vertical="center"/>
    </xf>
    <xf numFmtId="0" fontId="2" fillId="0" borderId="87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4" fillId="0" borderId="0" xfId="1" applyAlignment="1" applyProtection="1">
      <alignment horizontal="center"/>
    </xf>
    <xf numFmtId="0" fontId="26" fillId="0" borderId="0" xfId="0" applyFont="1" applyAlignment="1">
      <alignment horizontal="center"/>
    </xf>
    <xf numFmtId="0" fontId="11" fillId="0" borderId="0" xfId="0" applyFont="1" applyAlignment="1">
      <alignment vertical="top"/>
    </xf>
    <xf numFmtId="14" fontId="11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35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8" fillId="0" borderId="107" xfId="0" applyFont="1" applyBorder="1" applyAlignment="1">
      <alignment horizontal="center" vertical="center"/>
    </xf>
    <xf numFmtId="0" fontId="8" fillId="0" borderId="94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169" fontId="8" fillId="0" borderId="1" xfId="0" applyNumberFormat="1" applyFont="1" applyBorder="1" applyAlignment="1">
      <alignment horizontal="right"/>
    </xf>
    <xf numFmtId="0" fontId="8" fillId="0" borderId="15" xfId="0" applyFont="1" applyBorder="1" applyAlignment="1">
      <alignment horizontal="center" vertical="center"/>
    </xf>
    <xf numFmtId="169" fontId="8" fillId="0" borderId="18" xfId="0" applyNumberFormat="1" applyFont="1" applyBorder="1" applyAlignment="1">
      <alignment horizontal="right" vertical="center"/>
    </xf>
    <xf numFmtId="0" fontId="8" fillId="0" borderId="6" xfId="0" applyFont="1" applyBorder="1" applyAlignment="1">
      <alignment horizontal="center" vertical="center"/>
    </xf>
    <xf numFmtId="0" fontId="50" fillId="0" borderId="53" xfId="0" applyFont="1" applyBorder="1" applyAlignment="1">
      <alignment horizontal="center" vertical="center"/>
    </xf>
    <xf numFmtId="164" fontId="8" fillId="0" borderId="57" xfId="0" applyNumberFormat="1" applyFont="1" applyBorder="1" applyAlignment="1">
      <alignment horizontal="center"/>
    </xf>
    <xf numFmtId="164" fontId="8" fillId="0" borderId="90" xfId="0" applyNumberFormat="1" applyFont="1" applyBorder="1" applyAlignment="1">
      <alignment horizontal="center"/>
    </xf>
    <xf numFmtId="164" fontId="8" fillId="0" borderId="55" xfId="0" applyNumberFormat="1" applyFont="1" applyBorder="1" applyAlignment="1">
      <alignment horizontal="center"/>
    </xf>
    <xf numFmtId="0" fontId="8" fillId="0" borderId="0" xfId="2" applyNumberFormat="1" applyFont="1"/>
    <xf numFmtId="0" fontId="11" fillId="0" borderId="40" xfId="0" applyFont="1" applyBorder="1" applyAlignment="1">
      <alignment vertical="center"/>
    </xf>
    <xf numFmtId="169" fontId="8" fillId="0" borderId="1" xfId="0" applyNumberFormat="1" applyFont="1" applyBorder="1" applyAlignment="1">
      <alignment horizontal="right" vertical="center"/>
    </xf>
    <xf numFmtId="169" fontId="8" fillId="0" borderId="0" xfId="0" applyNumberFormat="1" applyFont="1" applyAlignment="1">
      <alignment vertical="center"/>
    </xf>
    <xf numFmtId="0" fontId="48" fillId="0" borderId="0" xfId="0" applyFont="1" applyAlignment="1">
      <alignment vertical="center"/>
    </xf>
    <xf numFmtId="0" fontId="11" fillId="0" borderId="0" xfId="0" applyFont="1" applyAlignment="1">
      <alignment horizontal="right"/>
    </xf>
    <xf numFmtId="0" fontId="2" fillId="5" borderId="31" xfId="0" applyFont="1" applyFill="1" applyBorder="1" applyAlignment="1">
      <alignment horizontal="center"/>
    </xf>
    <xf numFmtId="0" fontId="2" fillId="5" borderId="38" xfId="0" applyFont="1" applyFill="1" applyBorder="1" applyAlignment="1">
      <alignment horizontal="center"/>
    </xf>
    <xf numFmtId="169" fontId="2" fillId="9" borderId="18" xfId="0" applyNumberFormat="1" applyFont="1" applyFill="1" applyBorder="1" applyAlignment="1">
      <alignment horizontal="center"/>
    </xf>
    <xf numFmtId="0" fontId="2" fillId="8" borderId="16" xfId="0" applyFont="1" applyFill="1" applyBorder="1" applyAlignment="1">
      <alignment horizontal="center"/>
    </xf>
    <xf numFmtId="169" fontId="2" fillId="9" borderId="1" xfId="0" applyNumberFormat="1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9" fontId="2" fillId="9" borderId="13" xfId="0" applyNumberFormat="1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0" fontId="2" fillId="7" borderId="31" xfId="0" applyFont="1" applyFill="1" applyBorder="1" applyAlignment="1">
      <alignment horizontal="center"/>
    </xf>
    <xf numFmtId="169" fontId="2" fillId="9" borderId="31" xfId="0" applyNumberFormat="1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7" borderId="23" xfId="0" applyFont="1" applyFill="1" applyBorder="1" applyAlignment="1">
      <alignment horizontal="center"/>
    </xf>
    <xf numFmtId="169" fontId="2" fillId="9" borderId="23" xfId="0" applyNumberFormat="1" applyFont="1" applyFill="1" applyBorder="1" applyAlignment="1">
      <alignment horizontal="center"/>
    </xf>
    <xf numFmtId="169" fontId="2" fillId="8" borderId="24" xfId="0" applyNumberFormat="1" applyFont="1" applyFill="1" applyBorder="1" applyAlignment="1">
      <alignment horizontal="center"/>
    </xf>
    <xf numFmtId="14" fontId="8" fillId="0" borderId="1" xfId="0" applyNumberFormat="1" applyFont="1" applyBorder="1" applyAlignment="1">
      <alignment horizontal="center" vertical="center"/>
    </xf>
    <xf numFmtId="169" fontId="11" fillId="0" borderId="0" xfId="0" applyNumberFormat="1" applyFont="1" applyAlignment="1">
      <alignment vertical="center"/>
    </xf>
    <xf numFmtId="0" fontId="8" fillId="0" borderId="0" xfId="0" applyFont="1" applyAlignment="1">
      <alignment horizontal="left" vertical="center"/>
    </xf>
    <xf numFmtId="14" fontId="38" fillId="0" borderId="0" xfId="0" applyNumberFormat="1" applyFont="1" applyAlignment="1">
      <alignment vertical="center"/>
    </xf>
    <xf numFmtId="169" fontId="11" fillId="0" borderId="1" xfId="0" applyNumberFormat="1" applyFont="1" applyBorder="1" applyAlignment="1">
      <alignment horizontal="right" vertical="center"/>
    </xf>
    <xf numFmtId="14" fontId="38" fillId="0" borderId="1" xfId="0" applyNumberFormat="1" applyFont="1" applyBorder="1" applyAlignment="1">
      <alignment horizontal="center" vertical="center"/>
    </xf>
    <xf numFmtId="169" fontId="11" fillId="0" borderId="17" xfId="0" applyNumberFormat="1" applyFont="1" applyBorder="1" applyAlignment="1">
      <alignment horizontal="right" vertical="center"/>
    </xf>
    <xf numFmtId="0" fontId="11" fillId="0" borderId="50" xfId="0" applyFont="1" applyBorder="1" applyAlignment="1">
      <alignment horizontal="right" vertical="center"/>
    </xf>
    <xf numFmtId="0" fontId="8" fillId="0" borderId="20" xfId="0" applyFont="1" applyBorder="1" applyAlignment="1">
      <alignment horizontal="center" vertical="center"/>
    </xf>
    <xf numFmtId="169" fontId="11" fillId="0" borderId="1" xfId="0" applyNumberFormat="1" applyFont="1" applyBorder="1" applyAlignment="1">
      <alignment vertical="center"/>
    </xf>
    <xf numFmtId="0" fontId="26" fillId="0" borderId="20" xfId="0" applyFont="1" applyBorder="1" applyAlignment="1">
      <alignment horizontal="center" vertical="center"/>
    </xf>
    <xf numFmtId="0" fontId="11" fillId="0" borderId="27" xfId="0" applyFont="1" applyBorder="1" applyAlignment="1">
      <alignment horizontal="right" vertical="center"/>
    </xf>
    <xf numFmtId="0" fontId="1" fillId="0" borderId="138" xfId="0" applyFont="1" applyBorder="1"/>
    <xf numFmtId="0" fontId="16" fillId="0" borderId="139" xfId="0" applyFont="1" applyBorder="1" applyAlignment="1">
      <alignment horizontal="center" vertical="center"/>
    </xf>
    <xf numFmtId="0" fontId="1" fillId="0" borderId="126" xfId="0" applyFont="1" applyBorder="1"/>
    <xf numFmtId="0" fontId="1" fillId="0" borderId="146" xfId="0" applyFont="1" applyBorder="1"/>
    <xf numFmtId="0" fontId="1" fillId="0" borderId="148" xfId="0" applyFont="1" applyBorder="1"/>
    <xf numFmtId="0" fontId="1" fillId="0" borderId="150" xfId="0" applyFont="1" applyBorder="1"/>
    <xf numFmtId="0" fontId="1" fillId="0" borderId="124" xfId="0" applyFont="1" applyBorder="1"/>
    <xf numFmtId="0" fontId="1" fillId="0" borderId="128" xfId="0" applyFont="1" applyBorder="1"/>
    <xf numFmtId="0" fontId="16" fillId="0" borderId="120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14" fontId="8" fillId="0" borderId="0" xfId="0" applyNumberFormat="1" applyFont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69" fontId="1" fillId="0" borderId="18" xfId="0" applyNumberFormat="1" applyFont="1" applyBorder="1" applyAlignment="1">
      <alignment horizontal="center" vertical="center"/>
    </xf>
    <xf numFmtId="169" fontId="1" fillId="0" borderId="1" xfId="0" applyNumberFormat="1" applyFont="1" applyBorder="1" applyAlignment="1">
      <alignment horizontal="center" vertical="center"/>
    </xf>
    <xf numFmtId="169" fontId="1" fillId="0" borderId="13" xfId="0" applyNumberFormat="1" applyFont="1" applyBorder="1" applyAlignment="1">
      <alignment horizontal="center" vertical="center"/>
    </xf>
    <xf numFmtId="169" fontId="1" fillId="0" borderId="14" xfId="0" applyNumberFormat="1" applyFont="1" applyBorder="1" applyAlignment="1">
      <alignment horizontal="center" vertical="center"/>
    </xf>
    <xf numFmtId="169" fontId="1" fillId="0" borderId="16" xfId="0" applyNumberFormat="1" applyFont="1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69" fontId="1" fillId="0" borderId="48" xfId="0" applyNumberFormat="1" applyFont="1" applyBorder="1" applyAlignment="1">
      <alignment horizontal="center" vertical="center"/>
    </xf>
    <xf numFmtId="169" fontId="1" fillId="0" borderId="156" xfId="0" applyNumberFormat="1" applyFont="1" applyBorder="1" applyAlignment="1">
      <alignment horizontal="center" vertical="center"/>
    </xf>
    <xf numFmtId="0" fontId="11" fillId="0" borderId="157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164" fontId="8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14" fontId="8" fillId="0" borderId="0" xfId="0" applyNumberFormat="1" applyFont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5" fontId="8" fillId="0" borderId="0" xfId="0" applyNumberFormat="1" applyFo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4" borderId="31" xfId="0" applyFont="1" applyFill="1" applyBorder="1" applyAlignment="1">
      <alignment horizontal="center" vertical="center"/>
    </xf>
    <xf numFmtId="0" fontId="1" fillId="13" borderId="70" xfId="0" applyFont="1" applyFill="1" applyBorder="1" applyAlignment="1">
      <alignment horizontal="center"/>
    </xf>
    <xf numFmtId="0" fontId="1" fillId="13" borderId="106" xfId="0" applyFont="1" applyFill="1" applyBorder="1" applyAlignment="1">
      <alignment horizontal="center"/>
    </xf>
    <xf numFmtId="0" fontId="1" fillId="13" borderId="128" xfId="0" applyFont="1" applyFill="1" applyBorder="1" applyAlignment="1">
      <alignment horizontal="center"/>
    </xf>
    <xf numFmtId="0" fontId="1" fillId="13" borderId="120" xfId="0" applyFont="1" applyFill="1" applyBorder="1" applyAlignment="1">
      <alignment horizontal="center"/>
    </xf>
    <xf numFmtId="0" fontId="1" fillId="13" borderId="129" xfId="0" applyFont="1" applyFill="1" applyBorder="1" applyAlignment="1">
      <alignment horizontal="center"/>
    </xf>
    <xf numFmtId="0" fontId="1" fillId="13" borderId="73" xfId="0" applyFont="1" applyFill="1" applyBorder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4" borderId="5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33" xfId="0" applyFont="1" applyFill="1" applyBorder="1" applyAlignment="1">
      <alignment horizontal="center"/>
    </xf>
    <xf numFmtId="0" fontId="1" fillId="4" borderId="50" xfId="0" applyFont="1" applyFill="1" applyBorder="1" applyAlignment="1">
      <alignment horizontal="center"/>
    </xf>
    <xf numFmtId="0" fontId="1" fillId="4" borderId="10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0" fillId="0" borderId="0" xfId="0" applyAlignment="1" applyProtection="1">
      <alignment vertical="top"/>
      <protection locked="0"/>
    </xf>
    <xf numFmtId="0" fontId="1" fillId="4" borderId="15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14" borderId="13" xfId="0" applyFont="1" applyFill="1" applyBorder="1" applyAlignment="1">
      <alignment horizontal="center"/>
    </xf>
    <xf numFmtId="0" fontId="1" fillId="14" borderId="14" xfId="0" applyFont="1" applyFill="1" applyBorder="1" applyAlignment="1">
      <alignment horizontal="center"/>
    </xf>
    <xf numFmtId="0" fontId="1" fillId="14" borderId="93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43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93" xfId="0" applyFont="1" applyFill="1" applyBorder="1" applyAlignment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6" fillId="0" borderId="153" xfId="0" applyFont="1" applyBorder="1" applyAlignment="1" applyProtection="1">
      <alignment horizontal="right" vertical="center"/>
      <protection locked="0"/>
    </xf>
    <xf numFmtId="1" fontId="3" fillId="0" borderId="0" xfId="0" applyNumberFormat="1" applyFont="1" applyAlignment="1" applyProtection="1">
      <alignment vertical="center"/>
      <protection locked="0"/>
    </xf>
    <xf numFmtId="1" fontId="2" fillId="0" borderId="0" xfId="0" applyNumberFormat="1" applyFont="1" applyAlignment="1" applyProtection="1">
      <alignment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/>
      <protection locked="0"/>
    </xf>
    <xf numFmtId="0" fontId="18" fillId="0" borderId="87" xfId="0" applyFont="1" applyBorder="1" applyAlignment="1" applyProtection="1">
      <alignment horizontal="center" vertical="center"/>
      <protection locked="0"/>
    </xf>
    <xf numFmtId="0" fontId="2" fillId="0" borderId="90" xfId="0" applyFont="1" applyBorder="1" applyAlignment="1" applyProtection="1">
      <alignment horizontal="center" vertical="center"/>
      <protection locked="0"/>
    </xf>
    <xf numFmtId="169" fontId="2" fillId="0" borderId="0" xfId="0" applyNumberFormat="1" applyFont="1" applyAlignment="1" applyProtection="1">
      <alignment vertical="center"/>
      <protection locked="0"/>
    </xf>
    <xf numFmtId="164" fontId="8" fillId="0" borderId="12" xfId="0" applyNumberFormat="1" applyFont="1" applyBorder="1" applyProtection="1">
      <protection locked="0"/>
    </xf>
    <xf numFmtId="164" fontId="8" fillId="0" borderId="52" xfId="0" applyNumberFormat="1" applyFont="1" applyBorder="1" applyProtection="1">
      <protection locked="0"/>
    </xf>
    <xf numFmtId="0" fontId="11" fillId="0" borderId="0" xfId="0" applyFont="1" applyProtection="1">
      <protection locked="0"/>
    </xf>
    <xf numFmtId="0" fontId="5" fillId="0" borderId="57" xfId="0" applyFont="1" applyBorder="1" applyAlignment="1" applyProtection="1">
      <alignment horizontal="center" vertical="center"/>
      <protection locked="0"/>
    </xf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56" xfId="0" applyFont="1" applyBorder="1" applyAlignment="1" applyProtection="1">
      <alignment horizontal="center"/>
      <protection locked="0"/>
    </xf>
    <xf numFmtId="0" fontId="5" fillId="0" borderId="33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53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57" xfId="0" applyFont="1" applyBorder="1" applyAlignment="1" applyProtection="1">
      <alignment horizontal="center"/>
      <protection locked="0"/>
    </xf>
    <xf numFmtId="0" fontId="2" fillId="0" borderId="28" xfId="0" applyFont="1" applyBorder="1" applyAlignment="1" applyProtection="1">
      <alignment horizontal="center"/>
      <protection locked="0"/>
    </xf>
    <xf numFmtId="0" fontId="2" fillId="0" borderId="29" xfId="0" applyFont="1" applyBorder="1" applyAlignment="1" applyProtection="1">
      <alignment horizontal="center"/>
      <protection locked="0"/>
    </xf>
    <xf numFmtId="0" fontId="2" fillId="0" borderId="56" xfId="0" applyFont="1" applyBorder="1" applyAlignment="1" applyProtection="1">
      <alignment horizontal="center"/>
      <protection locked="0"/>
    </xf>
    <xf numFmtId="0" fontId="2" fillId="0" borderId="94" xfId="0" applyFont="1" applyBorder="1" applyAlignment="1" applyProtection="1">
      <alignment horizontal="center"/>
      <protection locked="0"/>
    </xf>
    <xf numFmtId="0" fontId="2" fillId="0" borderId="26" xfId="0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164" fontId="2" fillId="0" borderId="22" xfId="0" applyNumberFormat="1" applyFont="1" applyBorder="1" applyProtection="1">
      <protection locked="0"/>
    </xf>
    <xf numFmtId="0" fontId="2" fillId="0" borderId="58" xfId="0" applyFont="1" applyBorder="1" applyAlignment="1" applyProtection="1">
      <alignment horizontal="center"/>
      <protection locked="0"/>
    </xf>
    <xf numFmtId="0" fontId="14" fillId="0" borderId="57" xfId="0" applyFont="1" applyBorder="1" applyAlignment="1" applyProtection="1">
      <alignment horizontal="center" vertical="center"/>
      <protection locked="0"/>
    </xf>
    <xf numFmtId="0" fontId="2" fillId="0" borderId="142" xfId="0" applyFont="1" applyBorder="1" applyAlignment="1" applyProtection="1">
      <alignment horizontal="center" vertical="center"/>
      <protection locked="0"/>
    </xf>
    <xf numFmtId="0" fontId="2" fillId="0" borderId="140" xfId="0" applyFont="1" applyBorder="1" applyAlignment="1" applyProtection="1">
      <alignment horizontal="center" vertical="center"/>
      <protection locked="0"/>
    </xf>
    <xf numFmtId="0" fontId="2" fillId="0" borderId="115" xfId="0" applyFont="1" applyBorder="1" applyAlignment="1" applyProtection="1">
      <alignment horizontal="center" vertical="center"/>
      <protection locked="0"/>
    </xf>
    <xf numFmtId="0" fontId="2" fillId="0" borderId="98" xfId="0" applyFont="1" applyBorder="1" applyAlignment="1" applyProtection="1">
      <alignment horizontal="center" vertical="center"/>
      <protection locked="0"/>
    </xf>
    <xf numFmtId="0" fontId="2" fillId="0" borderId="143" xfId="0" applyFont="1" applyBorder="1" applyAlignment="1" applyProtection="1">
      <alignment horizontal="center" vertical="center"/>
      <protection locked="0"/>
    </xf>
    <xf numFmtId="0" fontId="2" fillId="0" borderId="141" xfId="0" applyFont="1" applyBorder="1" applyAlignment="1" applyProtection="1">
      <alignment horizontal="center" vertical="center"/>
      <protection locked="0"/>
    </xf>
    <xf numFmtId="0" fontId="2" fillId="0" borderId="116" xfId="0" applyFont="1" applyBorder="1" applyAlignment="1" applyProtection="1">
      <alignment horizontal="center" vertical="center"/>
      <protection locked="0"/>
    </xf>
    <xf numFmtId="0" fontId="2" fillId="0" borderId="11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94" xfId="0" applyFont="1" applyBorder="1" applyAlignment="1" applyProtection="1">
      <alignment horizontal="center" vertical="center"/>
      <protection locked="0"/>
    </xf>
    <xf numFmtId="164" fontId="2" fillId="0" borderId="22" xfId="0" applyNumberFormat="1" applyFont="1" applyBorder="1" applyAlignment="1" applyProtection="1">
      <alignment horizontal="center"/>
      <protection locked="0"/>
    </xf>
    <xf numFmtId="0" fontId="18" fillId="0" borderId="54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/>
      <protection locked="0"/>
    </xf>
    <xf numFmtId="0" fontId="2" fillId="0" borderId="99" xfId="0" applyFont="1" applyBorder="1" applyAlignment="1" applyProtection="1">
      <alignment horizontal="center"/>
      <protection locked="0"/>
    </xf>
    <xf numFmtId="0" fontId="2" fillId="0" borderId="100" xfId="0" applyFont="1" applyBorder="1" applyAlignment="1" applyProtection="1">
      <alignment horizontal="center"/>
      <protection locked="0"/>
    </xf>
    <xf numFmtId="0" fontId="2" fillId="0" borderId="54" xfId="0" applyFont="1" applyBorder="1" applyAlignment="1" applyProtection="1">
      <alignment horizontal="center"/>
      <protection locked="0"/>
    </xf>
    <xf numFmtId="0" fontId="2" fillId="0" borderId="101" xfId="0" applyFont="1" applyBorder="1" applyAlignment="1" applyProtection="1">
      <alignment horizontal="center" vertical="center"/>
      <protection locked="0"/>
    </xf>
    <xf numFmtId="0" fontId="2" fillId="0" borderId="107" xfId="0" applyFont="1" applyBorder="1" applyAlignment="1" applyProtection="1">
      <alignment horizontal="center"/>
      <protection locked="0"/>
    </xf>
    <xf numFmtId="0" fontId="2" fillId="0" borderId="103" xfId="0" applyFont="1" applyBorder="1" applyAlignment="1" applyProtection="1">
      <alignment horizontal="center"/>
      <protection locked="0"/>
    </xf>
    <xf numFmtId="164" fontId="2" fillId="0" borderId="104" xfId="0" applyNumberFormat="1" applyFont="1" applyBorder="1" applyProtection="1">
      <protection locked="0"/>
    </xf>
    <xf numFmtId="0" fontId="63" fillId="0" borderId="101" xfId="0" applyFont="1" applyBorder="1" applyAlignment="1" applyProtection="1">
      <alignment horizontal="center" vertical="center"/>
      <protection locked="0"/>
    </xf>
    <xf numFmtId="0" fontId="63" fillId="0" borderId="1" xfId="0" applyFont="1" applyBorder="1" applyAlignment="1" applyProtection="1">
      <alignment horizontal="center" vertical="center"/>
      <protection locked="0"/>
    </xf>
    <xf numFmtId="0" fontId="63" fillId="0" borderId="102" xfId="0" applyFont="1" applyBorder="1" applyAlignment="1" applyProtection="1">
      <alignment horizontal="center" vertical="center"/>
      <protection locked="0"/>
    </xf>
    <xf numFmtId="169" fontId="5" fillId="0" borderId="56" xfId="0" applyNumberFormat="1" applyFont="1" applyBorder="1" applyAlignment="1" applyProtection="1">
      <alignment vertical="center"/>
      <protection locked="0"/>
    </xf>
    <xf numFmtId="169" fontId="63" fillId="0" borderId="56" xfId="0" applyNumberFormat="1" applyFont="1" applyBorder="1" applyAlignment="1" applyProtection="1">
      <alignment vertical="center"/>
      <protection locked="0"/>
    </xf>
    <xf numFmtId="0" fontId="63" fillId="0" borderId="0" xfId="0" applyFont="1" applyAlignment="1" applyProtection="1">
      <alignment vertical="center"/>
      <protection locked="0"/>
    </xf>
    <xf numFmtId="169" fontId="63" fillId="0" borderId="0" xfId="0" applyNumberFormat="1" applyFont="1" applyAlignment="1" applyProtection="1">
      <alignment vertical="center"/>
      <protection locked="0"/>
    </xf>
    <xf numFmtId="167" fontId="64" fillId="0" borderId="90" xfId="0" applyNumberFormat="1" applyFont="1" applyBorder="1" applyAlignment="1" applyProtection="1">
      <alignment vertical="center"/>
      <protection locked="0"/>
    </xf>
    <xf numFmtId="169" fontId="5" fillId="0" borderId="57" xfId="0" applyNumberFormat="1" applyFont="1" applyBorder="1" applyAlignment="1" applyProtection="1">
      <alignment vertical="center"/>
      <protection locked="0"/>
    </xf>
    <xf numFmtId="169" fontId="5" fillId="0" borderId="58" xfId="0" applyNumberFormat="1" applyFont="1" applyBorder="1" applyAlignment="1" applyProtection="1">
      <alignment vertical="center"/>
      <protection locked="0"/>
    </xf>
    <xf numFmtId="168" fontId="63" fillId="0" borderId="55" xfId="0" applyNumberFormat="1" applyFont="1" applyBorder="1" applyAlignment="1" applyProtection="1">
      <alignment vertical="center"/>
      <protection locked="0"/>
    </xf>
    <xf numFmtId="0" fontId="66" fillId="0" borderId="4" xfId="0" applyFont="1" applyBorder="1" applyAlignment="1" applyProtection="1">
      <alignment horizontal="center" vertical="center"/>
      <protection locked="0"/>
    </xf>
    <xf numFmtId="167" fontId="7" fillId="0" borderId="57" xfId="0" applyNumberFormat="1" applyFont="1" applyBorder="1" applyAlignment="1" applyProtection="1">
      <alignment vertical="center"/>
      <protection locked="0"/>
    </xf>
    <xf numFmtId="0" fontId="49" fillId="0" borderId="0" xfId="0" applyFont="1" applyAlignment="1">
      <alignment vertical="center" wrapText="1"/>
    </xf>
    <xf numFmtId="0" fontId="11" fillId="0" borderId="135" xfId="0" applyFont="1" applyBorder="1" applyAlignment="1">
      <alignment horizontal="center" vertical="center"/>
    </xf>
    <xf numFmtId="169" fontId="1" fillId="0" borderId="49" xfId="0" applyNumberFormat="1" applyFont="1" applyBorder="1" applyAlignment="1">
      <alignment horizontal="center" vertical="center"/>
    </xf>
    <xf numFmtId="169" fontId="1" fillId="0" borderId="158" xfId="0" applyNumberFormat="1" applyFont="1" applyBorder="1" applyAlignment="1">
      <alignment horizontal="center" vertical="center"/>
    </xf>
    <xf numFmtId="169" fontId="1" fillId="0" borderId="23" xfId="0" applyNumberFormat="1" applyFont="1" applyBorder="1" applyAlignment="1">
      <alignment horizontal="center" vertical="center"/>
    </xf>
    <xf numFmtId="169" fontId="1" fillId="0" borderId="24" xfId="0" applyNumberFormat="1" applyFont="1" applyBorder="1" applyAlignment="1">
      <alignment horizontal="center" vertical="center"/>
    </xf>
    <xf numFmtId="0" fontId="16" fillId="0" borderId="47" xfId="0" applyFont="1" applyBorder="1" applyAlignment="1">
      <alignment horizontal="left" vertical="center" wrapText="1"/>
    </xf>
    <xf numFmtId="0" fontId="16" fillId="0" borderId="85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64" fontId="37" fillId="0" borderId="4" xfId="0" applyNumberFormat="1" applyFont="1" applyBorder="1" applyProtection="1">
      <protection locked="0"/>
    </xf>
    <xf numFmtId="169" fontId="11" fillId="0" borderId="0" xfId="0" applyNumberFormat="1" applyFont="1" applyAlignment="1">
      <alignment vertical="top" wrapText="1"/>
    </xf>
    <xf numFmtId="169" fontId="11" fillId="0" borderId="0" xfId="0" applyNumberFormat="1" applyFont="1" applyAlignment="1">
      <alignment vertical="center" wrapText="1"/>
    </xf>
    <xf numFmtId="0" fontId="8" fillId="0" borderId="19" xfId="0" applyFont="1" applyBorder="1" applyAlignment="1">
      <alignment horizontal="center" vertical="center"/>
    </xf>
    <xf numFmtId="169" fontId="8" fillId="0" borderId="23" xfId="0" applyNumberFormat="1" applyFont="1" applyBorder="1" applyAlignment="1">
      <alignment horizontal="right"/>
    </xf>
    <xf numFmtId="169" fontId="8" fillId="0" borderId="0" xfId="0" applyNumberFormat="1" applyFont="1" applyAlignment="1">
      <alignment horizontal="right"/>
    </xf>
    <xf numFmtId="0" fontId="10" fillId="0" borderId="42" xfId="0" applyFont="1" applyBorder="1" applyAlignment="1">
      <alignment vertical="center"/>
    </xf>
    <xf numFmtId="0" fontId="70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center" vertical="center"/>
      <protection locked="0"/>
    </xf>
    <xf numFmtId="0" fontId="8" fillId="0" borderId="16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7" fillId="0" borderId="50" xfId="0" applyFont="1" applyBorder="1" applyAlignment="1" applyProtection="1">
      <alignment horizontal="center" vertical="center"/>
      <protection locked="0"/>
    </xf>
    <xf numFmtId="14" fontId="59" fillId="0" borderId="59" xfId="0" applyNumberFormat="1" applyFont="1" applyBorder="1"/>
    <xf numFmtId="0" fontId="8" fillId="0" borderId="46" xfId="0" applyFont="1" applyBorder="1"/>
    <xf numFmtId="0" fontId="18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14" fontId="8" fillId="0" borderId="0" xfId="0" applyNumberFormat="1" applyFont="1"/>
    <xf numFmtId="169" fontId="18" fillId="0" borderId="18" xfId="0" applyNumberFormat="1" applyFont="1" applyBorder="1" applyAlignment="1">
      <alignment horizontal="center" vertical="center"/>
    </xf>
    <xf numFmtId="169" fontId="18" fillId="0" borderId="16" xfId="0" applyNumberFormat="1" applyFont="1" applyBorder="1" applyAlignment="1">
      <alignment horizontal="center" vertical="center"/>
    </xf>
    <xf numFmtId="169" fontId="18" fillId="0" borderId="1" xfId="0" applyNumberFormat="1" applyFont="1" applyBorder="1" applyAlignment="1">
      <alignment horizontal="center" vertical="center"/>
    </xf>
    <xf numFmtId="169" fontId="18" fillId="0" borderId="7" xfId="0" applyNumberFormat="1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1" fillId="0" borderId="149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1" fillId="0" borderId="151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47" xfId="0" applyFont="1" applyBorder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0" fontId="1" fillId="0" borderId="77" xfId="0" applyFont="1" applyBorder="1" applyAlignment="1">
      <alignment horizontal="center" vertical="center"/>
    </xf>
    <xf numFmtId="0" fontId="3" fillId="0" borderId="0" xfId="0" applyFont="1" applyAlignment="1" applyProtection="1">
      <alignment vertical="center"/>
      <protection locked="0"/>
    </xf>
    <xf numFmtId="9" fontId="11" fillId="0" borderId="1" xfId="0" applyNumberFormat="1" applyFont="1" applyBorder="1" applyAlignment="1">
      <alignment horizontal="center" vertical="center" wrapText="1"/>
    </xf>
    <xf numFmtId="169" fontId="11" fillId="0" borderId="0" xfId="0" applyNumberFormat="1" applyFont="1" applyProtection="1">
      <protection locked="0"/>
    </xf>
    <xf numFmtId="169" fontId="11" fillId="0" borderId="0" xfId="0" applyNumberFormat="1" applyFont="1" applyAlignment="1" applyProtection="1">
      <alignment vertical="center"/>
      <protection locked="0"/>
    </xf>
    <xf numFmtId="169" fontId="64" fillId="0" borderId="57" xfId="0" applyNumberFormat="1" applyFont="1" applyBorder="1" applyAlignment="1" applyProtection="1">
      <alignment vertical="center"/>
      <protection locked="0"/>
    </xf>
    <xf numFmtId="0" fontId="2" fillId="0" borderId="20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top"/>
      <protection locked="0"/>
    </xf>
    <xf numFmtId="0" fontId="69" fillId="0" borderId="0" xfId="0" applyFont="1" applyAlignment="1">
      <alignment horizontal="center" vertical="center"/>
    </xf>
    <xf numFmtId="0" fontId="17" fillId="0" borderId="5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53" xfId="0" applyFont="1" applyBorder="1" applyAlignment="1">
      <alignment vertical="center"/>
    </xf>
    <xf numFmtId="0" fontId="12" fillId="0" borderId="92" xfId="0" applyFont="1" applyBorder="1" applyAlignment="1">
      <alignment vertical="center"/>
    </xf>
    <xf numFmtId="0" fontId="12" fillId="0" borderId="44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/>
    <xf numFmtId="0" fontId="1" fillId="6" borderId="1" xfId="0" applyFont="1" applyFill="1" applyBorder="1"/>
    <xf numFmtId="0" fontId="48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26" fillId="0" borderId="0" xfId="0" applyFont="1" applyAlignment="1">
      <alignment horizontal="center" vertical="center" wrapText="1"/>
    </xf>
    <xf numFmtId="0" fontId="48" fillId="0" borderId="0" xfId="0" applyFont="1" applyAlignment="1">
      <alignment vertical="center" wrapText="1"/>
    </xf>
    <xf numFmtId="5" fontId="11" fillId="0" borderId="0" xfId="0" applyNumberFormat="1" applyFont="1" applyAlignment="1">
      <alignment horizontal="left" vertical="center"/>
    </xf>
    <xf numFmtId="164" fontId="79" fillId="0" borderId="0" xfId="0" applyNumberFormat="1" applyFont="1" applyAlignment="1">
      <alignment vertical="center"/>
    </xf>
    <xf numFmtId="0" fontId="80" fillId="0" borderId="0" xfId="0" applyFont="1"/>
    <xf numFmtId="0" fontId="80" fillId="0" borderId="0" xfId="0" applyFont="1" applyAlignment="1">
      <alignment horizontal="right"/>
    </xf>
    <xf numFmtId="164" fontId="81" fillId="0" borderId="0" xfId="0" applyNumberFormat="1" applyFont="1"/>
    <xf numFmtId="167" fontId="11" fillId="0" borderId="41" xfId="0" applyNumberFormat="1" applyFont="1" applyBorder="1" applyAlignment="1">
      <alignment horizontal="left" vertical="center"/>
    </xf>
    <xf numFmtId="169" fontId="11" fillId="0" borderId="47" xfId="0" applyNumberFormat="1" applyFont="1" applyBorder="1" applyAlignment="1">
      <alignment horizontal="left" vertical="center"/>
    </xf>
    <xf numFmtId="167" fontId="11" fillId="0" borderId="0" xfId="0" applyNumberFormat="1" applyFont="1" applyAlignment="1">
      <alignment horizontal="left" vertical="center"/>
    </xf>
    <xf numFmtId="0" fontId="0" fillId="0" borderId="0" xfId="0" applyAlignment="1">
      <alignment vertical="center"/>
    </xf>
    <xf numFmtId="0" fontId="78" fillId="0" borderId="0" xfId="0" applyFont="1" applyAlignment="1">
      <alignment vertical="center" textRotation="26"/>
    </xf>
    <xf numFmtId="169" fontId="65" fillId="0" borderId="0" xfId="0" applyNumberFormat="1" applyFont="1" applyAlignment="1" applyProtection="1">
      <alignment horizontal="right" vertical="center"/>
      <protection locked="0"/>
    </xf>
    <xf numFmtId="172" fontId="38" fillId="0" borderId="0" xfId="0" applyNumberFormat="1" applyFont="1" applyAlignment="1" applyProtection="1">
      <alignment horizontal="right" vertical="center"/>
      <protection locked="0"/>
    </xf>
    <xf numFmtId="172" fontId="11" fillId="0" borderId="0" xfId="0" applyNumberFormat="1" applyFont="1" applyAlignment="1" applyProtection="1">
      <alignment horizontal="right" vertical="center"/>
      <protection locked="0"/>
    </xf>
    <xf numFmtId="172" fontId="39" fillId="0" borderId="0" xfId="0" applyNumberFormat="1" applyFont="1" applyAlignment="1" applyProtection="1">
      <alignment horizontal="right"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horizontal="right" vertical="center"/>
      <protection locked="0"/>
    </xf>
    <xf numFmtId="14" fontId="11" fillId="0" borderId="0" xfId="0" applyNumberFormat="1" applyFont="1" applyAlignment="1" applyProtection="1">
      <alignment horizontal="center" vertical="center"/>
      <protection locked="0"/>
    </xf>
    <xf numFmtId="169" fontId="38" fillId="0" borderId="0" xfId="0" applyNumberFormat="1" applyFont="1" applyAlignment="1" applyProtection="1">
      <alignment horizontal="right" vertical="center"/>
      <protection locked="0"/>
    </xf>
    <xf numFmtId="169" fontId="11" fillId="0" borderId="0" xfId="0" applyNumberFormat="1" applyFont="1" applyAlignment="1" applyProtection="1">
      <alignment horizontal="right" vertical="center"/>
      <protection locked="0"/>
    </xf>
    <xf numFmtId="0" fontId="35" fillId="0" borderId="0" xfId="0" applyFont="1" applyProtection="1">
      <protection locked="0"/>
    </xf>
    <xf numFmtId="172" fontId="34" fillId="0" borderId="0" xfId="0" applyNumberFormat="1" applyFont="1" applyAlignment="1" applyProtection="1">
      <alignment horizontal="right" vertical="center"/>
      <protection locked="0"/>
    </xf>
    <xf numFmtId="172" fontId="35" fillId="0" borderId="0" xfId="0" applyNumberFormat="1" applyFont="1" applyAlignment="1" applyProtection="1">
      <alignment horizontal="right" vertical="center"/>
      <protection locked="0"/>
    </xf>
    <xf numFmtId="0" fontId="37" fillId="0" borderId="0" xfId="0" applyFont="1" applyProtection="1">
      <protection locked="0"/>
    </xf>
    <xf numFmtId="169" fontId="35" fillId="0" borderId="0" xfId="0" applyNumberFormat="1" applyFont="1" applyAlignment="1" applyProtection="1">
      <alignment horizontal="right" vertical="center"/>
      <protection locked="0"/>
    </xf>
    <xf numFmtId="169" fontId="34" fillId="0" borderId="0" xfId="0" applyNumberFormat="1" applyFont="1" applyAlignment="1" applyProtection="1">
      <alignment horizontal="right" vertical="center"/>
      <protection locked="0"/>
    </xf>
    <xf numFmtId="169" fontId="36" fillId="0" borderId="0" xfId="0" applyNumberFormat="1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right"/>
      <protection locked="0"/>
    </xf>
    <xf numFmtId="0" fontId="35" fillId="0" borderId="0" xfId="0" applyFont="1" applyAlignment="1" applyProtection="1">
      <alignment horizontal="right" vertical="center"/>
      <protection locked="0"/>
    </xf>
    <xf numFmtId="0" fontId="38" fillId="0" borderId="0" xfId="0" applyFont="1" applyAlignment="1" applyProtection="1">
      <alignment vertical="center"/>
      <protection locked="0"/>
    </xf>
    <xf numFmtId="169" fontId="35" fillId="0" borderId="0" xfId="0" applyNumberFormat="1" applyFont="1" applyAlignment="1" applyProtection="1">
      <alignment vertical="center"/>
      <protection locked="0"/>
    </xf>
    <xf numFmtId="0" fontId="35" fillId="0" borderId="0" xfId="0" applyFont="1" applyAlignment="1" applyProtection="1">
      <alignment horizontal="left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69" fontId="35" fillId="0" borderId="0" xfId="0" applyNumberFormat="1" applyFont="1" applyAlignment="1" applyProtection="1">
      <alignment horizontal="left" vertical="center"/>
      <protection locked="0"/>
    </xf>
    <xf numFmtId="0" fontId="39" fillId="0" borderId="0" xfId="0" applyFont="1" applyAlignment="1" applyProtection="1">
      <alignment vertical="center"/>
      <protection locked="0"/>
    </xf>
    <xf numFmtId="0" fontId="49" fillId="0" borderId="0" xfId="0" applyFont="1" applyAlignment="1" applyProtection="1">
      <alignment horizontal="left" vertical="top"/>
      <protection locked="0"/>
    </xf>
    <xf numFmtId="0" fontId="26" fillId="0" borderId="0" xfId="0" applyFont="1" applyProtection="1">
      <protection locked="0"/>
    </xf>
    <xf numFmtId="0" fontId="8" fillId="0" borderId="0" xfId="0" applyFont="1" applyAlignment="1" applyProtection="1">
      <alignment vertical="center" wrapText="1"/>
      <protection locked="0"/>
    </xf>
    <xf numFmtId="1" fontId="11" fillId="0" borderId="0" xfId="0" applyNumberFormat="1" applyFont="1" applyAlignment="1">
      <alignment horizontal="left" vertical="center"/>
    </xf>
    <xf numFmtId="0" fontId="70" fillId="0" borderId="0" xfId="0" applyFont="1" applyAlignment="1">
      <alignment vertical="center" wrapText="1"/>
    </xf>
    <xf numFmtId="0" fontId="48" fillId="0" borderId="0" xfId="0" applyFont="1" applyAlignment="1">
      <alignment horizontal="left" vertical="top"/>
    </xf>
    <xf numFmtId="5" fontId="11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82" fillId="0" borderId="0" xfId="0" applyFont="1" applyAlignment="1">
      <alignment vertical="center"/>
    </xf>
    <xf numFmtId="0" fontId="14" fillId="0" borderId="55" xfId="0" applyFont="1" applyBorder="1" applyAlignment="1" applyProtection="1">
      <alignment horizontal="center" vertical="center"/>
      <protection locked="0"/>
    </xf>
    <xf numFmtId="166" fontId="11" fillId="0" borderId="0" xfId="0" applyNumberFormat="1" applyFont="1" applyAlignment="1">
      <alignment horizontal="left" vertical="center"/>
    </xf>
    <xf numFmtId="0" fontId="1" fillId="0" borderId="57" xfId="0" applyFont="1" applyBorder="1" applyAlignment="1" applyProtection="1">
      <alignment horizontal="right"/>
      <protection locked="0"/>
    </xf>
    <xf numFmtId="0" fontId="1" fillId="0" borderId="56" xfId="0" applyFont="1" applyBorder="1" applyAlignment="1" applyProtection="1">
      <alignment horizontal="right"/>
      <protection locked="0"/>
    </xf>
    <xf numFmtId="0" fontId="1" fillId="0" borderId="56" xfId="0" applyFont="1" applyBorder="1" applyAlignment="1" applyProtection="1">
      <alignment horizontal="right" vertical="center"/>
      <protection locked="0"/>
    </xf>
    <xf numFmtId="0" fontId="1" fillId="0" borderId="58" xfId="0" applyFont="1" applyBorder="1" applyAlignment="1" applyProtection="1">
      <alignment horizontal="right"/>
      <protection locked="0"/>
    </xf>
    <xf numFmtId="14" fontId="8" fillId="0" borderId="0" xfId="0" applyNumberFormat="1" applyFont="1" applyAlignment="1" applyProtection="1">
      <alignment vertical="center"/>
      <protection locked="0"/>
    </xf>
    <xf numFmtId="0" fontId="85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vertical="center" wrapText="1"/>
    </xf>
    <xf numFmtId="9" fontId="8" fillId="0" borderId="0" xfId="0" applyNumberFormat="1" applyFont="1" applyProtection="1">
      <protection locked="0"/>
    </xf>
    <xf numFmtId="0" fontId="39" fillId="0" borderId="157" xfId="0" applyFont="1" applyBorder="1" applyAlignment="1" applyProtection="1">
      <alignment horizontal="center" vertical="center" wrapText="1"/>
      <protection locked="0"/>
    </xf>
    <xf numFmtId="0" fontId="39" fillId="0" borderId="155" xfId="0" applyFont="1" applyBorder="1" applyAlignment="1" applyProtection="1">
      <alignment horizontal="center" vertical="center" wrapText="1"/>
      <protection locked="0"/>
    </xf>
    <xf numFmtId="0" fontId="8" fillId="0" borderId="55" xfId="0" applyFont="1" applyBorder="1" applyProtection="1">
      <protection locked="0"/>
    </xf>
    <xf numFmtId="14" fontId="23" fillId="0" borderId="0" xfId="0" applyNumberFormat="1" applyFont="1" applyAlignment="1" applyProtection="1">
      <alignment vertical="center"/>
      <protection locked="0"/>
    </xf>
    <xf numFmtId="0" fontId="2" fillId="2" borderId="11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2" fillId="2" borderId="93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/>
    </xf>
    <xf numFmtId="0" fontId="2" fillId="2" borderId="118" xfId="0" applyFont="1" applyFill="1" applyBorder="1" applyAlignment="1">
      <alignment horizontal="center"/>
    </xf>
    <xf numFmtId="0" fontId="1" fillId="0" borderId="57" xfId="0" applyFont="1" applyBorder="1" applyAlignment="1">
      <alignment horizontal="center" vertical="center"/>
    </xf>
    <xf numFmtId="0" fontId="1" fillId="0" borderId="94" xfId="0" applyFont="1" applyBorder="1" applyAlignment="1">
      <alignment horizontal="center" vertical="center"/>
    </xf>
    <xf numFmtId="0" fontId="2" fillId="5" borderId="37" xfId="0" applyFont="1" applyFill="1" applyBorder="1" applyAlignment="1">
      <alignment horizontal="center"/>
    </xf>
    <xf numFmtId="166" fontId="11" fillId="0" borderId="0" xfId="0" quotePrefix="1" applyNumberFormat="1" applyFont="1" applyAlignment="1">
      <alignment vertical="center"/>
    </xf>
    <xf numFmtId="166" fontId="11" fillId="0" borderId="0" xfId="0" applyNumberFormat="1" applyFont="1" applyAlignment="1">
      <alignment vertical="center"/>
    </xf>
    <xf numFmtId="14" fontId="23" fillId="0" borderId="5" xfId="0" applyNumberFormat="1" applyFont="1" applyBorder="1" applyAlignment="1" applyProtection="1">
      <alignment horizontal="center" vertical="center"/>
      <protection locked="0"/>
    </xf>
    <xf numFmtId="0" fontId="21" fillId="0" borderId="57" xfId="0" applyFont="1" applyBorder="1" applyAlignment="1" applyProtection="1">
      <alignment horizontal="center" vertical="center"/>
      <protection locked="0"/>
    </xf>
    <xf numFmtId="0" fontId="1" fillId="0" borderId="53" xfId="0" applyFont="1" applyBorder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vertical="center"/>
      <protection locked="0"/>
    </xf>
    <xf numFmtId="14" fontId="11" fillId="0" borderId="0" xfId="0" applyNumberFormat="1" applyFont="1" applyAlignment="1">
      <alignment horizontal="center" vertical="center"/>
    </xf>
    <xf numFmtId="0" fontId="8" fillId="0" borderId="93" xfId="0" applyFont="1" applyBorder="1" applyAlignment="1" applyProtection="1">
      <alignment horizontal="center" vertical="center"/>
      <protection locked="0"/>
    </xf>
    <xf numFmtId="169" fontId="1" fillId="0" borderId="17" xfId="0" applyNumberFormat="1" applyFont="1" applyBorder="1" applyAlignment="1">
      <alignment horizontal="center" vertical="center"/>
    </xf>
    <xf numFmtId="169" fontId="1" fillId="0" borderId="29" xfId="0" applyNumberFormat="1" applyFont="1" applyBorder="1" applyAlignment="1">
      <alignment horizontal="center" vertical="center"/>
    </xf>
    <xf numFmtId="0" fontId="29" fillId="0" borderId="0" xfId="0" applyFont="1"/>
    <xf numFmtId="0" fontId="23" fillId="0" borderId="0" xfId="0" applyFont="1" applyAlignment="1" applyProtection="1">
      <alignment vertical="center"/>
      <protection locked="0"/>
    </xf>
    <xf numFmtId="169" fontId="21" fillId="0" borderId="0" xfId="0" applyNumberFormat="1" applyFont="1" applyAlignment="1" applyProtection="1">
      <alignment horizontal="right" vertical="center"/>
      <protection locked="0"/>
    </xf>
    <xf numFmtId="0" fontId="21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169" fontId="9" fillId="0" borderId="0" xfId="0" applyNumberFormat="1" applyFont="1" applyAlignment="1" applyProtection="1">
      <alignment vertical="center"/>
      <protection locked="0"/>
    </xf>
    <xf numFmtId="164" fontId="21" fillId="0" borderId="4" xfId="0" applyNumberFormat="1" applyFont="1" applyBorder="1" applyAlignment="1" applyProtection="1">
      <alignment vertical="center"/>
      <protection locked="0"/>
    </xf>
    <xf numFmtId="0" fontId="8" fillId="0" borderId="92" xfId="0" applyFont="1" applyBorder="1" applyProtection="1">
      <protection locked="0"/>
    </xf>
    <xf numFmtId="0" fontId="21" fillId="0" borderId="90" xfId="0" applyFont="1" applyBorder="1" applyAlignment="1" applyProtection="1">
      <alignment horizontal="center" vertical="center"/>
      <protection locked="0"/>
    </xf>
    <xf numFmtId="0" fontId="90" fillId="0" borderId="0" xfId="0" applyFont="1" applyAlignment="1" applyProtection="1">
      <alignment vertical="center" wrapText="1"/>
      <protection locked="0"/>
    </xf>
    <xf numFmtId="0" fontId="83" fillId="0" borderId="30" xfId="0" applyFont="1" applyBorder="1" applyAlignment="1" applyProtection="1">
      <alignment horizontal="center" vertical="center"/>
      <protection locked="0"/>
    </xf>
    <xf numFmtId="0" fontId="21" fillId="0" borderId="55" xfId="0" applyFont="1" applyBorder="1" applyAlignment="1" applyProtection="1">
      <alignment horizontal="center"/>
      <protection locked="0"/>
    </xf>
    <xf numFmtId="0" fontId="83" fillId="0" borderId="4" xfId="0" applyFont="1" applyBorder="1" applyAlignment="1" applyProtection="1">
      <alignment horizontal="center" vertical="center"/>
      <protection locked="0"/>
    </xf>
    <xf numFmtId="0" fontId="83" fillId="0" borderId="0" xfId="0" applyFont="1" applyAlignment="1" applyProtection="1">
      <alignment vertical="center"/>
      <protection locked="0"/>
    </xf>
    <xf numFmtId="0" fontId="84" fillId="0" borderId="0" xfId="0" applyFont="1" applyAlignment="1" applyProtection="1">
      <alignment vertical="center"/>
      <protection locked="0"/>
    </xf>
    <xf numFmtId="0" fontId="83" fillId="0" borderId="30" xfId="0" applyFont="1" applyBorder="1" applyAlignment="1" applyProtection="1">
      <alignment horizontal="center" vertical="center" wrapText="1"/>
      <protection locked="0"/>
    </xf>
    <xf numFmtId="167" fontId="91" fillId="0" borderId="90" xfId="0" applyNumberFormat="1" applyFont="1" applyBorder="1" applyAlignment="1" applyProtection="1">
      <alignment vertical="center"/>
      <protection locked="0"/>
    </xf>
    <xf numFmtId="169" fontId="1" fillId="4" borderId="30" xfId="0" applyNumberFormat="1" applyFont="1" applyFill="1" applyBorder="1" applyAlignment="1">
      <alignment horizontal="center"/>
    </xf>
    <xf numFmtId="169" fontId="1" fillId="4" borderId="31" xfId="0" applyNumberFormat="1" applyFont="1" applyFill="1" applyBorder="1" applyAlignment="1">
      <alignment horizontal="center"/>
    </xf>
    <xf numFmtId="169" fontId="1" fillId="4" borderId="38" xfId="0" applyNumberFormat="1" applyFont="1" applyFill="1" applyBorder="1" applyAlignment="1">
      <alignment horizontal="center"/>
    </xf>
    <xf numFmtId="169" fontId="1" fillId="4" borderId="37" xfId="0" applyNumberFormat="1" applyFont="1" applyFill="1" applyBorder="1" applyAlignment="1">
      <alignment horizontal="center"/>
    </xf>
    <xf numFmtId="169" fontId="1" fillId="4" borderId="32" xfId="0" applyNumberFormat="1" applyFont="1" applyFill="1" applyBorder="1" applyAlignment="1">
      <alignment horizontal="center"/>
    </xf>
    <xf numFmtId="169" fontId="1" fillId="13" borderId="15" xfId="0" applyNumberFormat="1" applyFont="1" applyFill="1" applyBorder="1" applyAlignment="1">
      <alignment horizontal="center"/>
    </xf>
    <xf numFmtId="169" fontId="1" fillId="13" borderId="18" xfId="0" applyNumberFormat="1" applyFont="1" applyFill="1" applyBorder="1" applyAlignment="1">
      <alignment horizontal="center"/>
    </xf>
    <xf numFmtId="169" fontId="1" fillId="13" borderId="16" xfId="0" applyNumberFormat="1" applyFont="1" applyFill="1" applyBorder="1" applyAlignment="1">
      <alignment horizontal="center"/>
    </xf>
    <xf numFmtId="169" fontId="1" fillId="13" borderId="11" xfId="0" applyNumberFormat="1" applyFont="1" applyFill="1" applyBorder="1" applyAlignment="1">
      <alignment horizontal="center"/>
    </xf>
    <xf numFmtId="169" fontId="1" fillId="13" borderId="9" xfId="0" applyNumberFormat="1" applyFont="1" applyFill="1" applyBorder="1" applyAlignment="1">
      <alignment horizontal="center"/>
    </xf>
    <xf numFmtId="169" fontId="1" fillId="13" borderId="6" xfId="0" applyNumberFormat="1" applyFont="1" applyFill="1" applyBorder="1" applyAlignment="1">
      <alignment horizontal="center"/>
    </xf>
    <xf numFmtId="169" fontId="1" fillId="13" borderId="1" xfId="0" applyNumberFormat="1" applyFont="1" applyFill="1" applyBorder="1" applyAlignment="1">
      <alignment horizontal="center"/>
    </xf>
    <xf numFmtId="169" fontId="1" fillId="13" borderId="7" xfId="0" applyNumberFormat="1" applyFont="1" applyFill="1" applyBorder="1" applyAlignment="1">
      <alignment horizontal="center"/>
    </xf>
    <xf numFmtId="169" fontId="1" fillId="13" borderId="33" xfId="0" applyNumberFormat="1" applyFont="1" applyFill="1" applyBorder="1" applyAlignment="1">
      <alignment horizontal="center"/>
    </xf>
    <xf numFmtId="169" fontId="1" fillId="13" borderId="50" xfId="0" applyNumberFormat="1" applyFont="1" applyFill="1" applyBorder="1" applyAlignment="1">
      <alignment horizontal="center"/>
    </xf>
    <xf numFmtId="169" fontId="1" fillId="13" borderId="8" xfId="0" applyNumberFormat="1" applyFont="1" applyFill="1" applyBorder="1" applyAlignment="1">
      <alignment horizontal="center"/>
    </xf>
    <xf numFmtId="169" fontId="1" fillId="13" borderId="13" xfId="0" applyNumberFormat="1" applyFont="1" applyFill="1" applyBorder="1" applyAlignment="1">
      <alignment horizontal="center"/>
    </xf>
    <xf numFmtId="169" fontId="1" fillId="13" borderId="14" xfId="0" applyNumberFormat="1" applyFont="1" applyFill="1" applyBorder="1" applyAlignment="1">
      <alignment horizontal="center"/>
    </xf>
    <xf numFmtId="169" fontId="1" fillId="13" borderId="93" xfId="0" applyNumberFormat="1" applyFont="1" applyFill="1" applyBorder="1" applyAlignment="1">
      <alignment horizontal="center"/>
    </xf>
    <xf numFmtId="169" fontId="1" fillId="13" borderId="43" xfId="0" applyNumberFormat="1" applyFont="1" applyFill="1" applyBorder="1" applyAlignment="1">
      <alignment horizontal="center"/>
    </xf>
    <xf numFmtId="169" fontId="1" fillId="4" borderId="6" xfId="0" applyNumberFormat="1" applyFont="1" applyFill="1" applyBorder="1" applyAlignment="1">
      <alignment horizontal="center"/>
    </xf>
    <xf numFmtId="169" fontId="1" fillId="4" borderId="1" xfId="0" applyNumberFormat="1" applyFont="1" applyFill="1" applyBorder="1" applyAlignment="1">
      <alignment horizontal="center"/>
    </xf>
    <xf numFmtId="169" fontId="1" fillId="4" borderId="7" xfId="0" applyNumberFormat="1" applyFont="1" applyFill="1" applyBorder="1" applyAlignment="1">
      <alignment horizontal="center"/>
    </xf>
    <xf numFmtId="169" fontId="1" fillId="4" borderId="33" xfId="0" applyNumberFormat="1" applyFont="1" applyFill="1" applyBorder="1" applyAlignment="1">
      <alignment horizontal="center"/>
    </xf>
    <xf numFmtId="169" fontId="1" fillId="4" borderId="50" xfId="0" applyNumberFormat="1" applyFont="1" applyFill="1" applyBorder="1" applyAlignment="1">
      <alignment horizontal="center"/>
    </xf>
    <xf numFmtId="169" fontId="1" fillId="13" borderId="21" xfId="0" applyNumberFormat="1" applyFont="1" applyFill="1" applyBorder="1" applyAlignment="1">
      <alignment horizontal="center"/>
    </xf>
    <xf numFmtId="169" fontId="1" fillId="13" borderId="20" xfId="0" applyNumberFormat="1" applyFont="1" applyFill="1" applyBorder="1" applyAlignment="1">
      <alignment horizontal="center"/>
    </xf>
    <xf numFmtId="169" fontId="1" fillId="13" borderId="22" xfId="0" applyNumberFormat="1" applyFont="1" applyFill="1" applyBorder="1" applyAlignment="1">
      <alignment horizontal="center"/>
    </xf>
    <xf numFmtId="169" fontId="1" fillId="13" borderId="26" xfId="0" applyNumberFormat="1" applyFont="1" applyFill="1" applyBorder="1" applyAlignment="1">
      <alignment horizontal="center"/>
    </xf>
    <xf numFmtId="169" fontId="1" fillId="13" borderId="25" xfId="0" applyNumberFormat="1" applyFont="1" applyFill="1" applyBorder="1" applyAlignment="1">
      <alignment horizontal="center"/>
    </xf>
    <xf numFmtId="169" fontId="1" fillId="13" borderId="19" xfId="0" applyNumberFormat="1" applyFont="1" applyFill="1" applyBorder="1" applyAlignment="1">
      <alignment horizontal="center"/>
    </xf>
    <xf numFmtId="169" fontId="1" fillId="13" borderId="23" xfId="0" applyNumberFormat="1" applyFont="1" applyFill="1" applyBorder="1" applyAlignment="1">
      <alignment horizontal="center"/>
    </xf>
    <xf numFmtId="169" fontId="1" fillId="13" borderId="24" xfId="0" applyNumberFormat="1" applyFont="1" applyFill="1" applyBorder="1" applyAlignment="1">
      <alignment horizontal="center"/>
    </xf>
    <xf numFmtId="169" fontId="1" fillId="13" borderId="118" xfId="0" applyNumberFormat="1" applyFont="1" applyFill="1" applyBorder="1" applyAlignment="1">
      <alignment horizontal="center"/>
    </xf>
    <xf numFmtId="169" fontId="1" fillId="13" borderId="119" xfId="0" applyNumberFormat="1" applyFont="1" applyFill="1" applyBorder="1" applyAlignment="1">
      <alignment horizontal="center"/>
    </xf>
    <xf numFmtId="169" fontId="1" fillId="13" borderId="121" xfId="0" applyNumberFormat="1" applyFont="1" applyFill="1" applyBorder="1" applyAlignment="1">
      <alignment horizontal="center"/>
    </xf>
    <xf numFmtId="169" fontId="1" fillId="13" borderId="122" xfId="0" applyNumberFormat="1" applyFont="1" applyFill="1" applyBorder="1" applyAlignment="1">
      <alignment horizontal="center"/>
    </xf>
    <xf numFmtId="169" fontId="1" fillId="13" borderId="123" xfId="0" applyNumberFormat="1" applyFont="1" applyFill="1" applyBorder="1" applyAlignment="1">
      <alignment horizontal="center"/>
    </xf>
    <xf numFmtId="169" fontId="1" fillId="13" borderId="136" xfId="0" applyNumberFormat="1" applyFont="1" applyFill="1" applyBorder="1" applyAlignment="1">
      <alignment horizontal="center"/>
    </xf>
    <xf numFmtId="169" fontId="1" fillId="13" borderId="82" xfId="0" applyNumberFormat="1" applyFont="1" applyFill="1" applyBorder="1" applyAlignment="1">
      <alignment horizontal="center"/>
    </xf>
    <xf numFmtId="169" fontId="1" fillId="13" borderId="137" xfId="0" applyNumberFormat="1" applyFont="1" applyFill="1" applyBorder="1" applyAlignment="1">
      <alignment horizontal="center"/>
    </xf>
    <xf numFmtId="169" fontId="1" fillId="13" borderId="132" xfId="0" applyNumberFormat="1" applyFont="1" applyFill="1" applyBorder="1" applyAlignment="1">
      <alignment horizontal="center"/>
    </xf>
    <xf numFmtId="169" fontId="1" fillId="13" borderId="131" xfId="0" applyNumberFormat="1" applyFont="1" applyFill="1" applyBorder="1" applyAlignment="1">
      <alignment horizontal="center"/>
    </xf>
    <xf numFmtId="169" fontId="1" fillId="13" borderId="124" xfId="0" applyNumberFormat="1" applyFont="1" applyFill="1" applyBorder="1" applyAlignment="1">
      <alignment horizontal="center"/>
    </xf>
    <xf numFmtId="169" fontId="1" fillId="13" borderId="79" xfId="0" applyNumberFormat="1" applyFont="1" applyFill="1" applyBorder="1" applyAlignment="1">
      <alignment horizontal="center"/>
    </xf>
    <xf numFmtId="169" fontId="1" fillId="13" borderId="125" xfId="0" applyNumberFormat="1" applyFont="1" applyFill="1" applyBorder="1" applyAlignment="1">
      <alignment horizontal="center"/>
    </xf>
    <xf numFmtId="169" fontId="1" fillId="13" borderId="97" xfId="0" applyNumberFormat="1" applyFont="1" applyFill="1" applyBorder="1" applyAlignment="1">
      <alignment horizontal="center"/>
    </xf>
    <xf numFmtId="169" fontId="1" fillId="13" borderId="96" xfId="0" applyNumberFormat="1" applyFont="1" applyFill="1" applyBorder="1" applyAlignment="1">
      <alignment horizontal="center"/>
    </xf>
    <xf numFmtId="169" fontId="1" fillId="13" borderId="126" xfId="0" applyNumberFormat="1" applyFont="1" applyFill="1" applyBorder="1" applyAlignment="1">
      <alignment horizontal="center"/>
    </xf>
    <xf numFmtId="169" fontId="1" fillId="13" borderId="59" xfId="0" applyNumberFormat="1" applyFont="1" applyFill="1" applyBorder="1" applyAlignment="1">
      <alignment horizontal="center"/>
    </xf>
    <xf numFmtId="169" fontId="1" fillId="13" borderId="127" xfId="0" applyNumberFormat="1" applyFont="1" applyFill="1" applyBorder="1" applyAlignment="1">
      <alignment horizontal="center"/>
    </xf>
    <xf numFmtId="169" fontId="1" fillId="13" borderId="64" xfId="0" applyNumberFormat="1" applyFont="1" applyFill="1" applyBorder="1" applyAlignment="1">
      <alignment horizontal="center"/>
    </xf>
    <xf numFmtId="169" fontId="1" fillId="13" borderId="105" xfId="0" applyNumberFormat="1" applyFont="1" applyFill="1" applyBorder="1" applyAlignment="1">
      <alignment horizontal="center"/>
    </xf>
    <xf numFmtId="0" fontId="0" fillId="0" borderId="46" xfId="0" applyBorder="1"/>
    <xf numFmtId="0" fontId="0" fillId="0" borderId="32" xfId="0" applyBorder="1"/>
    <xf numFmtId="0" fontId="19" fillId="0" borderId="31" xfId="0" applyFont="1" applyBorder="1" applyAlignment="1">
      <alignment vertical="center"/>
    </xf>
    <xf numFmtId="0" fontId="19" fillId="0" borderId="32" xfId="0" applyFont="1" applyBorder="1" applyAlignment="1">
      <alignment vertical="center"/>
    </xf>
    <xf numFmtId="0" fontId="2" fillId="13" borderId="23" xfId="0" applyFont="1" applyFill="1" applyBorder="1" applyAlignment="1">
      <alignment horizontal="center" vertical="center" wrapText="1"/>
    </xf>
    <xf numFmtId="0" fontId="19" fillId="0" borderId="85" xfId="0" applyFont="1" applyBorder="1" applyAlignment="1">
      <alignment vertical="center"/>
    </xf>
    <xf numFmtId="0" fontId="0" fillId="0" borderId="38" xfId="0" applyBorder="1"/>
    <xf numFmtId="0" fontId="1" fillId="0" borderId="57" xfId="0" applyFont="1" applyBorder="1"/>
    <xf numFmtId="169" fontId="1" fillId="13" borderId="133" xfId="0" applyNumberFormat="1" applyFont="1" applyFill="1" applyBorder="1" applyAlignment="1">
      <alignment horizontal="center" vertical="center"/>
    </xf>
    <xf numFmtId="169" fontId="1" fillId="13" borderId="122" xfId="0" applyNumberFormat="1" applyFont="1" applyFill="1" applyBorder="1" applyAlignment="1">
      <alignment horizontal="center" vertical="center"/>
    </xf>
    <xf numFmtId="169" fontId="1" fillId="13" borderId="123" xfId="0" applyNumberFormat="1" applyFont="1" applyFill="1" applyBorder="1" applyAlignment="1">
      <alignment horizontal="center" vertical="center"/>
    </xf>
    <xf numFmtId="169" fontId="1" fillId="13" borderId="121" xfId="0" applyNumberFormat="1" applyFont="1" applyFill="1" applyBorder="1" applyAlignment="1">
      <alignment horizontal="center" vertical="center"/>
    </xf>
    <xf numFmtId="0" fontId="1" fillId="0" borderId="56" xfId="0" applyFont="1" applyBorder="1"/>
    <xf numFmtId="169" fontId="1" fillId="13" borderId="97" xfId="0" applyNumberFormat="1" applyFont="1" applyFill="1" applyBorder="1" applyAlignment="1">
      <alignment horizontal="center" vertical="center"/>
    </xf>
    <xf numFmtId="169" fontId="1" fillId="13" borderId="79" xfId="0" applyNumberFormat="1" applyFont="1" applyFill="1" applyBorder="1" applyAlignment="1">
      <alignment horizontal="center" vertical="center"/>
    </xf>
    <xf numFmtId="169" fontId="1" fillId="13" borderId="125" xfId="0" applyNumberFormat="1" applyFont="1" applyFill="1" applyBorder="1" applyAlignment="1">
      <alignment horizontal="center" vertical="center"/>
    </xf>
    <xf numFmtId="169" fontId="1" fillId="13" borderId="124" xfId="0" applyNumberFormat="1" applyFont="1" applyFill="1" applyBorder="1" applyAlignment="1">
      <alignment horizontal="center" vertical="center"/>
    </xf>
    <xf numFmtId="169" fontId="1" fillId="13" borderId="64" xfId="0" applyNumberFormat="1" applyFont="1" applyFill="1" applyBorder="1" applyAlignment="1">
      <alignment horizontal="center" vertical="center"/>
    </xf>
    <xf numFmtId="169" fontId="1" fillId="13" borderId="59" xfId="0" applyNumberFormat="1" applyFont="1" applyFill="1" applyBorder="1" applyAlignment="1">
      <alignment horizontal="center" vertical="center"/>
    </xf>
    <xf numFmtId="169" fontId="1" fillId="13" borderId="127" xfId="0" applyNumberFormat="1" applyFont="1" applyFill="1" applyBorder="1" applyAlignment="1">
      <alignment horizontal="center" vertical="center"/>
    </xf>
    <xf numFmtId="169" fontId="1" fillId="13" borderId="126" xfId="0" applyNumberFormat="1" applyFont="1" applyFill="1" applyBorder="1" applyAlignment="1">
      <alignment horizontal="center" vertical="center"/>
    </xf>
    <xf numFmtId="0" fontId="1" fillId="0" borderId="58" xfId="0" applyFont="1" applyBorder="1"/>
    <xf numFmtId="0" fontId="1" fillId="13" borderId="134" xfId="0" applyFont="1" applyFill="1" applyBorder="1" applyAlignment="1">
      <alignment horizontal="center" vertical="center"/>
    </xf>
    <xf numFmtId="0" fontId="1" fillId="13" borderId="120" xfId="0" applyFont="1" applyFill="1" applyBorder="1" applyAlignment="1">
      <alignment horizontal="center" vertical="center"/>
    </xf>
    <xf numFmtId="0" fontId="1" fillId="13" borderId="129" xfId="0" applyFont="1" applyFill="1" applyBorder="1" applyAlignment="1">
      <alignment horizontal="center" vertical="center"/>
    </xf>
    <xf numFmtId="0" fontId="1" fillId="13" borderId="128" xfId="0" applyFont="1" applyFill="1" applyBorder="1" applyAlignment="1">
      <alignment horizontal="center" vertical="center"/>
    </xf>
    <xf numFmtId="169" fontId="3" fillId="13" borderId="30" xfId="0" applyNumberFormat="1" applyFont="1" applyFill="1" applyBorder="1" applyAlignment="1">
      <alignment horizontal="center" vertical="center"/>
    </xf>
    <xf numFmtId="169" fontId="3" fillId="13" borderId="31" xfId="0" applyNumberFormat="1" applyFont="1" applyFill="1" applyBorder="1" applyAlignment="1">
      <alignment horizontal="center" vertical="center"/>
    </xf>
    <xf numFmtId="169" fontId="3" fillId="13" borderId="38" xfId="0" applyNumberFormat="1" applyFont="1" applyFill="1" applyBorder="1" applyAlignment="1">
      <alignment horizontal="center" vertical="center"/>
    </xf>
    <xf numFmtId="169" fontId="3" fillId="13" borderId="37" xfId="0" applyNumberFormat="1" applyFont="1" applyFill="1" applyBorder="1" applyAlignment="1">
      <alignment horizontal="center" vertical="center"/>
    </xf>
    <xf numFmtId="169" fontId="1" fillId="13" borderId="34" xfId="0" applyNumberFormat="1" applyFont="1" applyFill="1" applyBorder="1" applyAlignment="1">
      <alignment horizontal="center" vertical="center"/>
    </xf>
    <xf numFmtId="169" fontId="1" fillId="13" borderId="17" xfId="0" applyNumberFormat="1" applyFont="1" applyFill="1" applyBorder="1" applyAlignment="1">
      <alignment horizontal="center" vertical="center"/>
    </xf>
    <xf numFmtId="169" fontId="1" fillId="13" borderId="29" xfId="0" applyNumberFormat="1" applyFont="1" applyFill="1" applyBorder="1" applyAlignment="1">
      <alignment horizontal="center" vertical="center"/>
    </xf>
    <xf numFmtId="169" fontId="1" fillId="13" borderId="28" xfId="0" applyNumberFormat="1" applyFont="1" applyFill="1" applyBorder="1" applyAlignment="1">
      <alignment horizontal="center" vertical="center"/>
    </xf>
    <xf numFmtId="169" fontId="1" fillId="13" borderId="6" xfId="0" applyNumberFormat="1" applyFont="1" applyFill="1" applyBorder="1" applyAlignment="1">
      <alignment horizontal="center" vertical="center"/>
    </xf>
    <xf numFmtId="169" fontId="1" fillId="13" borderId="1" xfId="0" applyNumberFormat="1" applyFont="1" applyFill="1" applyBorder="1" applyAlignment="1">
      <alignment horizontal="center" vertical="center"/>
    </xf>
    <xf numFmtId="169" fontId="1" fillId="13" borderId="7" xfId="0" applyNumberFormat="1" applyFont="1" applyFill="1" applyBorder="1" applyAlignment="1">
      <alignment horizontal="center" vertical="center"/>
    </xf>
    <xf numFmtId="169" fontId="1" fillId="13" borderId="33" xfId="0" applyNumberFormat="1" applyFont="1" applyFill="1" applyBorder="1" applyAlignment="1">
      <alignment horizontal="center" vertical="center"/>
    </xf>
    <xf numFmtId="169" fontId="1" fillId="13" borderId="8" xfId="0" applyNumberFormat="1" applyFont="1" applyFill="1" applyBorder="1" applyAlignment="1">
      <alignment horizontal="center" vertical="center"/>
    </xf>
    <xf numFmtId="169" fontId="1" fillId="13" borderId="13" xfId="0" applyNumberFormat="1" applyFont="1" applyFill="1" applyBorder="1" applyAlignment="1">
      <alignment horizontal="center" vertical="center"/>
    </xf>
    <xf numFmtId="169" fontId="1" fillId="13" borderId="14" xfId="0" applyNumberFormat="1" applyFont="1" applyFill="1" applyBorder="1" applyAlignment="1">
      <alignment horizontal="center" vertical="center"/>
    </xf>
    <xf numFmtId="169" fontId="1" fillId="13" borderId="93" xfId="0" applyNumberFormat="1" applyFont="1" applyFill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vertical="center"/>
      <protection locked="0"/>
    </xf>
    <xf numFmtId="0" fontId="8" fillId="0" borderId="30" xfId="0" applyFont="1" applyBorder="1" applyAlignment="1" applyProtection="1">
      <alignment horizontal="center" vertical="center"/>
      <protection locked="0"/>
    </xf>
    <xf numFmtId="0" fontId="8" fillId="0" borderId="38" xfId="0" applyFont="1" applyBorder="1" applyAlignment="1" applyProtection="1">
      <alignment horizontal="center" vertical="center"/>
      <protection locked="0"/>
    </xf>
    <xf numFmtId="0" fontId="8" fillId="0" borderId="34" xfId="0" applyFont="1" applyBorder="1" applyAlignment="1" applyProtection="1">
      <alignment horizontal="center" vertical="center"/>
      <protection locked="0"/>
    </xf>
    <xf numFmtId="0" fontId="8" fillId="0" borderId="29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57" xfId="0" applyFont="1" applyBorder="1" applyAlignment="1" applyProtection="1">
      <alignment horizontal="center" vertical="center"/>
      <protection locked="0"/>
    </xf>
    <xf numFmtId="0" fontId="8" fillId="0" borderId="56" xfId="0" applyFont="1" applyBorder="1" applyAlignment="1" applyProtection="1">
      <alignment horizontal="center" vertical="center"/>
      <protection locked="0"/>
    </xf>
    <xf numFmtId="0" fontId="8" fillId="0" borderId="58" xfId="0" applyFont="1" applyBorder="1" applyAlignment="1" applyProtection="1">
      <alignment horizontal="center" vertical="center"/>
      <protection locked="0"/>
    </xf>
    <xf numFmtId="0" fontId="91" fillId="0" borderId="54" xfId="0" applyFont="1" applyBorder="1" applyAlignment="1" applyProtection="1">
      <alignment horizontal="center" vertical="center"/>
      <protection locked="0"/>
    </xf>
    <xf numFmtId="14" fontId="91" fillId="0" borderId="89" xfId="0" applyNumberFormat="1" applyFont="1" applyBorder="1" applyAlignment="1" applyProtection="1">
      <alignment vertical="center"/>
      <protection locked="0"/>
    </xf>
    <xf numFmtId="0" fontId="52" fillId="0" borderId="0" xfId="0" applyFont="1" applyAlignment="1" applyProtection="1">
      <alignment vertical="center"/>
      <protection locked="0"/>
    </xf>
    <xf numFmtId="169" fontId="52" fillId="0" borderId="53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>
      <alignment horizontal="center" vertical="center"/>
    </xf>
    <xf numFmtId="9" fontId="3" fillId="0" borderId="1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2" fillId="0" borderId="19" xfId="0" applyFont="1" applyBorder="1" applyAlignment="1">
      <alignment horizontal="center" vertical="center"/>
    </xf>
    <xf numFmtId="0" fontId="3" fillId="0" borderId="159" xfId="0" applyFont="1" applyBorder="1" applyAlignment="1">
      <alignment horizontal="center" vertical="center"/>
    </xf>
    <xf numFmtId="169" fontId="3" fillId="0" borderId="160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7" xfId="0" applyNumberFormat="1" applyFont="1" applyBorder="1" applyAlignment="1">
      <alignment horizontal="right" vertical="center"/>
    </xf>
    <xf numFmtId="5" fontId="3" fillId="0" borderId="160" xfId="0" applyNumberFormat="1" applyFont="1" applyBorder="1" applyAlignment="1">
      <alignment horizontal="right" vertical="center"/>
    </xf>
    <xf numFmtId="166" fontId="93" fillId="0" borderId="24" xfId="0" applyNumberFormat="1" applyFont="1" applyBorder="1" applyAlignment="1">
      <alignment horizontal="right" vertical="center"/>
    </xf>
    <xf numFmtId="169" fontId="93" fillId="0" borderId="24" xfId="0" applyNumberFormat="1" applyFont="1" applyBorder="1" applyAlignment="1">
      <alignment horizontal="right" vertical="center"/>
    </xf>
    <xf numFmtId="166" fontId="30" fillId="0" borderId="0" xfId="0" applyNumberFormat="1" applyFont="1" applyAlignment="1">
      <alignment horizontal="left" vertical="center"/>
    </xf>
    <xf numFmtId="0" fontId="89" fillId="0" borderId="0" xfId="0" applyFont="1" applyAlignment="1" applyProtection="1">
      <alignment horizontal="center" vertical="center"/>
      <protection locked="0"/>
    </xf>
    <xf numFmtId="164" fontId="11" fillId="0" borderId="0" xfId="0" applyNumberFormat="1" applyFont="1" applyProtection="1">
      <protection locked="0"/>
    </xf>
    <xf numFmtId="0" fontId="14" fillId="0" borderId="4" xfId="0" applyFont="1" applyBorder="1" applyAlignment="1" applyProtection="1">
      <alignment vertical="center"/>
      <protection locked="0"/>
    </xf>
    <xf numFmtId="0" fontId="14" fillId="0" borderId="3" xfId="0" applyFont="1" applyBorder="1" applyAlignment="1" applyProtection="1">
      <alignment vertical="center"/>
      <protection locked="0"/>
    </xf>
    <xf numFmtId="169" fontId="9" fillId="0" borderId="2" xfId="0" applyNumberFormat="1" applyFont="1" applyBorder="1" applyAlignment="1" applyProtection="1">
      <alignment vertical="center"/>
      <protection locked="0"/>
    </xf>
    <xf numFmtId="9" fontId="2" fillId="0" borderId="90" xfId="0" applyNumberFormat="1" applyFont="1" applyBorder="1" applyAlignment="1" applyProtection="1">
      <alignment horizontal="center" vertical="center"/>
      <protection locked="0"/>
    </xf>
    <xf numFmtId="167" fontId="63" fillId="0" borderId="53" xfId="0" applyNumberFormat="1" applyFont="1" applyBorder="1" applyAlignment="1" applyProtection="1">
      <alignment vertical="center"/>
      <protection locked="0"/>
    </xf>
    <xf numFmtId="0" fontId="7" fillId="0" borderId="94" xfId="0" applyFont="1" applyBorder="1" applyAlignment="1" applyProtection="1">
      <alignment horizontal="center" vertical="center"/>
      <protection locked="0"/>
    </xf>
    <xf numFmtId="173" fontId="22" fillId="0" borderId="1" xfId="0" applyNumberFormat="1" applyFont="1" applyBorder="1" applyAlignment="1" applyProtection="1">
      <alignment horizontal="center" vertical="center"/>
      <protection locked="0"/>
    </xf>
    <xf numFmtId="173" fontId="22" fillId="0" borderId="17" xfId="0" applyNumberFormat="1" applyFont="1" applyBorder="1" applyAlignment="1" applyProtection="1">
      <alignment horizontal="center" vertical="center"/>
      <protection locked="0"/>
    </xf>
    <xf numFmtId="173" fontId="22" fillId="0" borderId="20" xfId="0" applyNumberFormat="1" applyFont="1" applyBorder="1" applyAlignment="1" applyProtection="1">
      <alignment horizontal="center" vertical="center"/>
      <protection locked="0"/>
    </xf>
    <xf numFmtId="173" fontId="21" fillId="0" borderId="35" xfId="0" applyNumberFormat="1" applyFont="1" applyBorder="1" applyAlignment="1" applyProtection="1">
      <alignment horizontal="center" vertical="center"/>
      <protection locked="0"/>
    </xf>
    <xf numFmtId="173" fontId="23" fillId="0" borderId="36" xfId="0" applyNumberFormat="1" applyFont="1" applyBorder="1" applyAlignment="1" applyProtection="1">
      <alignment horizontal="center" vertical="center"/>
      <protection locked="0"/>
    </xf>
    <xf numFmtId="173" fontId="23" fillId="0" borderId="107" xfId="0" applyNumberFormat="1" applyFont="1" applyBorder="1" applyAlignment="1" applyProtection="1">
      <alignment horizontal="center" vertical="center"/>
      <protection locked="0"/>
    </xf>
    <xf numFmtId="173" fontId="21" fillId="0" borderId="54" xfId="0" applyNumberFormat="1" applyFont="1" applyBorder="1" applyAlignment="1" applyProtection="1">
      <alignment horizontal="center" vertical="center"/>
      <protection locked="0"/>
    </xf>
    <xf numFmtId="173" fontId="25" fillId="0" borderId="0" xfId="0" applyNumberFormat="1" applyFont="1" applyAlignment="1" applyProtection="1">
      <alignment vertical="center"/>
      <protection locked="0"/>
    </xf>
    <xf numFmtId="173" fontId="11" fillId="0" borderId="0" xfId="0" applyNumberFormat="1" applyFont="1" applyAlignment="1" applyProtection="1">
      <alignment horizontal="center" vertical="center"/>
      <protection locked="0"/>
    </xf>
    <xf numFmtId="173" fontId="25" fillId="0" borderId="0" xfId="0" applyNumberFormat="1" applyFont="1" applyAlignment="1" applyProtection="1">
      <alignment horizontal="center" vertical="center"/>
      <protection locked="0"/>
    </xf>
    <xf numFmtId="173" fontId="35" fillId="0" borderId="0" xfId="0" applyNumberFormat="1" applyFont="1" applyAlignment="1" applyProtection="1">
      <alignment horizontal="center" vertical="center"/>
      <protection locked="0"/>
    </xf>
    <xf numFmtId="173" fontId="21" fillId="0" borderId="57" xfId="0" applyNumberFormat="1" applyFont="1" applyBorder="1" applyAlignment="1" applyProtection="1">
      <alignment horizontal="center" vertical="center"/>
      <protection locked="0"/>
    </xf>
    <xf numFmtId="173" fontId="23" fillId="0" borderId="58" xfId="0" applyNumberFormat="1" applyFont="1" applyBorder="1" applyAlignment="1" applyProtection="1">
      <alignment horizontal="center" vertical="center"/>
      <protection locked="0"/>
    </xf>
    <xf numFmtId="173" fontId="21" fillId="0" borderId="90" xfId="0" applyNumberFormat="1" applyFont="1" applyBorder="1" applyAlignment="1" applyProtection="1">
      <alignment horizontal="center" vertical="center"/>
      <protection locked="0"/>
    </xf>
    <xf numFmtId="173" fontId="38" fillId="0" borderId="0" xfId="0" applyNumberFormat="1" applyFont="1" applyAlignment="1" applyProtection="1">
      <alignment horizontal="center" vertical="center"/>
      <protection locked="0"/>
    </xf>
    <xf numFmtId="173" fontId="35" fillId="0" borderId="0" xfId="0" quotePrefix="1" applyNumberFormat="1" applyFont="1" applyAlignment="1" applyProtection="1">
      <alignment horizontal="center" vertical="center"/>
      <protection locked="0"/>
    </xf>
    <xf numFmtId="0" fontId="96" fillId="0" borderId="0" xfId="0" applyFont="1" applyAlignment="1" applyProtection="1">
      <alignment vertical="center"/>
      <protection locked="0"/>
    </xf>
    <xf numFmtId="0" fontId="16" fillId="0" borderId="1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98" fillId="0" borderId="0" xfId="0" applyFont="1"/>
    <xf numFmtId="0" fontId="1" fillId="0" borderId="0" xfId="0" applyFont="1" applyAlignment="1" applyProtection="1">
      <alignment horizontal="center" vertical="center"/>
      <protection locked="0"/>
    </xf>
    <xf numFmtId="169" fontId="52" fillId="0" borderId="4" xfId="0" applyNumberFormat="1" applyFont="1" applyBorder="1" applyAlignment="1" applyProtection="1">
      <alignment horizontal="right" vertical="center"/>
      <protection locked="0"/>
    </xf>
    <xf numFmtId="0" fontId="1" fillId="2" borderId="53" xfId="0" applyFont="1" applyFill="1" applyBorder="1" applyAlignment="1" applyProtection="1">
      <alignment horizontal="center" vertical="center"/>
      <protection locked="0"/>
    </xf>
    <xf numFmtId="173" fontId="8" fillId="0" borderId="0" xfId="0" applyNumberFormat="1" applyFont="1" applyProtection="1">
      <protection locked="0"/>
    </xf>
    <xf numFmtId="0" fontId="1" fillId="0" borderId="58" xfId="0" applyFont="1" applyBorder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169" fontId="23" fillId="0" borderId="16" xfId="0" applyNumberFormat="1" applyFont="1" applyBorder="1" applyAlignment="1" applyProtection="1">
      <alignment horizontal="center" vertical="center"/>
      <protection locked="0"/>
    </xf>
    <xf numFmtId="169" fontId="23" fillId="0" borderId="86" xfId="0" applyNumberFormat="1" applyFont="1" applyBorder="1" applyAlignment="1" applyProtection="1">
      <alignment horizontal="center" vertical="center"/>
      <protection locked="0"/>
    </xf>
    <xf numFmtId="169" fontId="1" fillId="0" borderId="16" xfId="0" applyNumberFormat="1" applyFont="1" applyBorder="1" applyAlignment="1" applyProtection="1">
      <alignment horizontal="center" vertical="center"/>
      <protection locked="0"/>
    </xf>
    <xf numFmtId="169" fontId="23" fillId="0" borderId="24" xfId="0" applyNumberFormat="1" applyFont="1" applyBorder="1" applyAlignment="1" applyProtection="1">
      <alignment horizontal="center" vertical="center"/>
      <protection locked="0"/>
    </xf>
    <xf numFmtId="169" fontId="1" fillId="0" borderId="24" xfId="0" applyNumberFormat="1" applyFont="1" applyBorder="1" applyAlignment="1" applyProtection="1">
      <alignment horizontal="center" vertical="center"/>
      <protection locked="0"/>
    </xf>
    <xf numFmtId="14" fontId="1" fillId="0" borderId="8" xfId="0" applyNumberFormat="1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173" fontId="1" fillId="0" borderId="15" xfId="0" applyNumberFormat="1" applyFont="1" applyBorder="1" applyAlignment="1" applyProtection="1">
      <alignment horizontal="center" vertical="center"/>
      <protection locked="0"/>
    </xf>
    <xf numFmtId="173" fontId="1" fillId="0" borderId="18" xfId="0" applyNumberFormat="1" applyFont="1" applyBorder="1" applyAlignment="1" applyProtection="1">
      <alignment horizontal="center" vertical="center"/>
      <protection locked="0"/>
    </xf>
    <xf numFmtId="9" fontId="1" fillId="0" borderId="16" xfId="5" applyFont="1" applyBorder="1" applyAlignment="1" applyProtection="1">
      <alignment horizontal="center" vertical="center"/>
      <protection locked="0"/>
    </xf>
    <xf numFmtId="173" fontId="1" fillId="0" borderId="6" xfId="0" applyNumberFormat="1" applyFont="1" applyBorder="1" applyAlignment="1" applyProtection="1">
      <alignment horizontal="center" vertical="center"/>
      <protection locked="0"/>
    </xf>
    <xf numFmtId="173" fontId="1" fillId="0" borderId="1" xfId="0" applyNumberFormat="1" applyFont="1" applyBorder="1" applyAlignment="1" applyProtection="1">
      <alignment horizontal="center" vertical="center"/>
      <protection locked="0"/>
    </xf>
    <xf numFmtId="9" fontId="1" fillId="0" borderId="7" xfId="5" applyFont="1" applyBorder="1" applyAlignment="1" applyProtection="1">
      <alignment horizontal="center" vertical="center"/>
      <protection locked="0"/>
    </xf>
    <xf numFmtId="173" fontId="1" fillId="0" borderId="21" xfId="0" applyNumberFormat="1" applyFont="1" applyBorder="1" applyAlignment="1" applyProtection="1">
      <alignment horizontal="center" vertical="center"/>
      <protection locked="0"/>
    </xf>
    <xf numFmtId="173" fontId="1" fillId="0" borderId="20" xfId="0" applyNumberFormat="1" applyFont="1" applyBorder="1" applyAlignment="1" applyProtection="1">
      <alignment horizontal="center" vertical="center"/>
      <protection locked="0"/>
    </xf>
    <xf numFmtId="9" fontId="1" fillId="0" borderId="22" xfId="5" applyFont="1" applyBorder="1" applyAlignment="1" applyProtection="1">
      <alignment horizontal="center" vertical="center"/>
      <protection locked="0"/>
    </xf>
    <xf numFmtId="173" fontId="1" fillId="0" borderId="8" xfId="0" applyNumberFormat="1" applyFont="1" applyBorder="1" applyAlignment="1" applyProtection="1">
      <alignment horizontal="center" vertical="center"/>
      <protection locked="0"/>
    </xf>
    <xf numFmtId="173" fontId="1" fillId="0" borderId="13" xfId="0" applyNumberFormat="1" applyFont="1" applyBorder="1" applyAlignment="1" applyProtection="1">
      <alignment horizontal="center" vertical="center"/>
      <protection locked="0"/>
    </xf>
    <xf numFmtId="9" fontId="1" fillId="0" borderId="14" xfId="5" applyFont="1" applyBorder="1" applyAlignment="1" applyProtection="1">
      <alignment horizontal="center" vertical="center"/>
      <protection locked="0"/>
    </xf>
    <xf numFmtId="173" fontId="1" fillId="0" borderId="34" xfId="0" applyNumberFormat="1" applyFont="1" applyBorder="1" applyAlignment="1" applyProtection="1">
      <alignment horizontal="center" vertical="center"/>
      <protection locked="0"/>
    </xf>
    <xf numFmtId="9" fontId="1" fillId="0" borderId="29" xfId="5" applyFont="1" applyBorder="1" applyAlignment="1" applyProtection="1">
      <alignment horizontal="center" vertical="center"/>
      <protection locked="0"/>
    </xf>
    <xf numFmtId="173" fontId="1" fillId="0" borderId="17" xfId="0" applyNumberFormat="1" applyFont="1" applyBorder="1" applyAlignment="1" applyProtection="1">
      <alignment horizontal="center" vertical="center"/>
      <protection locked="0"/>
    </xf>
    <xf numFmtId="169" fontId="21" fillId="0" borderId="15" xfId="0" applyNumberFormat="1" applyFont="1" applyBorder="1" applyAlignment="1" applyProtection="1">
      <alignment horizontal="right" vertical="center"/>
      <protection locked="0" hidden="1"/>
    </xf>
    <xf numFmtId="169" fontId="23" fillId="0" borderId="8" xfId="0" applyNumberFormat="1" applyFont="1" applyBorder="1" applyAlignment="1" applyProtection="1">
      <alignment horizontal="right" vertical="center"/>
      <protection locked="0" hidden="1"/>
    </xf>
    <xf numFmtId="169" fontId="23" fillId="0" borderId="21" xfId="0" applyNumberFormat="1" applyFont="1" applyBorder="1" applyAlignment="1" applyProtection="1">
      <alignment horizontal="right" vertical="center"/>
      <protection locked="0" hidden="1"/>
    </xf>
    <xf numFmtId="169" fontId="1" fillId="0" borderId="15" xfId="0" applyNumberFormat="1" applyFont="1" applyBorder="1" applyAlignment="1" applyProtection="1">
      <alignment horizontal="right" vertical="center"/>
      <protection locked="0" hidden="1"/>
    </xf>
    <xf numFmtId="169" fontId="1" fillId="0" borderId="8" xfId="0" applyNumberFormat="1" applyFont="1" applyBorder="1" applyAlignment="1" applyProtection="1">
      <alignment horizontal="right" vertical="center"/>
      <protection locked="0" hidden="1"/>
    </xf>
    <xf numFmtId="169" fontId="1" fillId="0" borderId="21" xfId="0" applyNumberFormat="1" applyFont="1" applyBorder="1" applyAlignment="1" applyProtection="1">
      <alignment horizontal="right" vertical="center"/>
      <protection locked="0" hidden="1"/>
    </xf>
    <xf numFmtId="0" fontId="11" fillId="0" borderId="11" xfId="0" applyFont="1" applyBorder="1" applyAlignment="1" applyProtection="1">
      <alignment horizontal="center" vertical="center"/>
      <protection locked="0" hidden="1"/>
    </xf>
    <xf numFmtId="169" fontId="11" fillId="0" borderId="9" xfId="0" applyNumberFormat="1" applyFont="1" applyBorder="1" applyAlignment="1" applyProtection="1">
      <alignment horizontal="right" vertical="center"/>
      <protection locked="0" hidden="1"/>
    </xf>
    <xf numFmtId="0" fontId="11" fillId="0" borderId="93" xfId="0" applyFont="1" applyBorder="1" applyAlignment="1" applyProtection="1">
      <alignment horizontal="center" vertical="center"/>
      <protection locked="0" hidden="1"/>
    </xf>
    <xf numFmtId="169" fontId="11" fillId="0" borderId="43" xfId="0" applyNumberFormat="1" applyFont="1" applyBorder="1" applyAlignment="1" applyProtection="1">
      <alignment horizontal="right" vertical="center"/>
      <protection locked="0" hidden="1"/>
    </xf>
    <xf numFmtId="0" fontId="11" fillId="0" borderId="6" xfId="0" applyFont="1" applyBorder="1" applyAlignment="1" applyProtection="1">
      <alignment horizontal="center" vertical="center"/>
      <protection locked="0" hidden="1"/>
    </xf>
    <xf numFmtId="169" fontId="11" fillId="0" borderId="50" xfId="0" applyNumberFormat="1" applyFont="1" applyBorder="1" applyAlignment="1" applyProtection="1">
      <alignment horizontal="right" vertical="center"/>
      <protection locked="0" hidden="1"/>
    </xf>
    <xf numFmtId="0" fontId="11" fillId="0" borderId="21" xfId="0" applyFont="1" applyBorder="1" applyAlignment="1" applyProtection="1">
      <alignment horizontal="center" vertical="center"/>
      <protection locked="0" hidden="1"/>
    </xf>
    <xf numFmtId="169" fontId="11" fillId="0" borderId="25" xfId="0" applyNumberFormat="1" applyFont="1" applyBorder="1" applyAlignment="1" applyProtection="1">
      <alignment horizontal="right" vertical="center"/>
      <protection locked="0" hidden="1"/>
    </xf>
    <xf numFmtId="0" fontId="11" fillId="0" borderId="15" xfId="0" applyFont="1" applyBorder="1" applyAlignment="1" applyProtection="1">
      <alignment horizontal="center" vertical="center"/>
      <protection locked="0" hidden="1"/>
    </xf>
    <xf numFmtId="0" fontId="11" fillId="0" borderId="8" xfId="0" applyFont="1" applyBorder="1" applyAlignment="1" applyProtection="1">
      <alignment horizontal="center" vertical="center"/>
      <protection locked="0" hidden="1"/>
    </xf>
    <xf numFmtId="169" fontId="1" fillId="0" borderId="15" xfId="0" applyNumberFormat="1" applyFont="1" applyBorder="1" applyAlignment="1" applyProtection="1">
      <alignment horizontal="right"/>
      <protection locked="0" hidden="1"/>
    </xf>
    <xf numFmtId="169" fontId="1" fillId="0" borderId="8" xfId="0" applyNumberFormat="1" applyFont="1" applyBorder="1" applyAlignment="1" applyProtection="1">
      <alignment horizontal="right"/>
      <protection locked="0" hidden="1"/>
    </xf>
    <xf numFmtId="169" fontId="1" fillId="0" borderId="21" xfId="0" applyNumberFormat="1" applyFont="1" applyBorder="1" applyAlignment="1" applyProtection="1">
      <alignment horizontal="right"/>
      <protection locked="0" hidden="1"/>
    </xf>
    <xf numFmtId="169" fontId="11" fillId="0" borderId="16" xfId="0" applyNumberFormat="1" applyFont="1" applyBorder="1" applyAlignment="1" applyProtection="1">
      <alignment horizontal="right" vertical="center"/>
      <protection locked="0" hidden="1"/>
    </xf>
    <xf numFmtId="169" fontId="11" fillId="0" borderId="14" xfId="0" applyNumberFormat="1" applyFont="1" applyBorder="1" applyAlignment="1" applyProtection="1">
      <alignment horizontal="right" vertical="center"/>
      <protection locked="0" hidden="1"/>
    </xf>
    <xf numFmtId="169" fontId="11" fillId="0" borderId="22" xfId="0" applyNumberFormat="1" applyFont="1" applyBorder="1" applyAlignment="1" applyProtection="1">
      <alignment horizontal="right" vertical="center"/>
      <protection locked="0" hidden="1"/>
    </xf>
    <xf numFmtId="169" fontId="1" fillId="0" borderId="10" xfId="0" applyNumberFormat="1" applyFont="1" applyBorder="1" applyAlignment="1" applyProtection="1">
      <alignment horizontal="right" vertical="center"/>
      <protection locked="0" hidden="1"/>
    </xf>
    <xf numFmtId="169" fontId="16" fillId="0" borderId="51" xfId="0" applyNumberFormat="1" applyFont="1" applyBorder="1" applyAlignment="1" applyProtection="1">
      <alignment horizontal="right" vertical="center"/>
      <protection locked="0" hidden="1"/>
    </xf>
    <xf numFmtId="169" fontId="16" fillId="0" borderId="41" xfId="0" applyNumberFormat="1" applyFont="1" applyBorder="1" applyAlignment="1" applyProtection="1">
      <alignment horizontal="right" vertical="center"/>
      <protection locked="0" hidden="1"/>
    </xf>
    <xf numFmtId="169" fontId="8" fillId="0" borderId="0" xfId="0" applyNumberFormat="1" applyFont="1" applyProtection="1">
      <protection locked="0"/>
    </xf>
    <xf numFmtId="169" fontId="35" fillId="0" borderId="35" xfId="0" applyNumberFormat="1" applyFont="1" applyBorder="1" applyAlignment="1" applyProtection="1">
      <alignment horizontal="center" vertical="center"/>
      <protection locked="0"/>
    </xf>
    <xf numFmtId="169" fontId="35" fillId="0" borderId="54" xfId="0" applyNumberFormat="1" applyFont="1" applyBorder="1" applyAlignment="1" applyProtection="1">
      <alignment horizontal="center" vertical="center"/>
      <protection locked="0"/>
    </xf>
    <xf numFmtId="169" fontId="35" fillId="0" borderId="36" xfId="0" applyNumberFormat="1" applyFont="1" applyBorder="1" applyAlignment="1" applyProtection="1">
      <alignment horizontal="center" vertical="center"/>
      <protection locked="0"/>
    </xf>
    <xf numFmtId="0" fontId="39" fillId="0" borderId="57" xfId="0" applyFont="1" applyBorder="1" applyAlignment="1" applyProtection="1">
      <alignment horizontal="center" vertical="center"/>
      <protection locked="0"/>
    </xf>
    <xf numFmtId="0" fontId="39" fillId="0" borderId="56" xfId="0" applyFont="1" applyBorder="1" applyAlignment="1" applyProtection="1">
      <alignment horizontal="center" vertical="center"/>
      <protection locked="0"/>
    </xf>
    <xf numFmtId="0" fontId="39" fillId="0" borderId="58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89" xfId="0" applyFont="1" applyBorder="1" applyAlignment="1" applyProtection="1">
      <alignment horizontal="center" vertical="center"/>
      <protection locked="0"/>
    </xf>
    <xf numFmtId="0" fontId="8" fillId="0" borderId="52" xfId="0" applyFont="1" applyBorder="1" applyAlignment="1" applyProtection="1">
      <alignment horizontal="center" vertical="center"/>
      <protection locked="0"/>
    </xf>
    <xf numFmtId="0" fontId="35" fillId="0" borderId="57" xfId="0" applyFont="1" applyBorder="1" applyAlignment="1" applyProtection="1">
      <alignment horizontal="center" vertical="center"/>
      <protection locked="0"/>
    </xf>
    <xf numFmtId="0" fontId="35" fillId="0" borderId="56" xfId="0" applyFont="1" applyBorder="1" applyAlignment="1" applyProtection="1">
      <alignment horizontal="center" vertical="center"/>
      <protection locked="0"/>
    </xf>
    <xf numFmtId="0" fontId="35" fillId="0" borderId="58" xfId="0" applyFont="1" applyBorder="1" applyAlignment="1" applyProtection="1">
      <alignment horizontal="center" vertical="center"/>
      <protection locked="0"/>
    </xf>
    <xf numFmtId="164" fontId="8" fillId="0" borderId="91" xfId="0" applyNumberFormat="1" applyFont="1" applyBorder="1" applyProtection="1">
      <protection locked="0"/>
    </xf>
    <xf numFmtId="0" fontId="8" fillId="0" borderId="33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" fillId="0" borderId="91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63" fillId="0" borderId="54" xfId="0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center"/>
      <protection locked="0"/>
    </xf>
    <xf numFmtId="169" fontId="52" fillId="0" borderId="91" xfId="0" applyNumberFormat="1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left" vertical="center"/>
      <protection locked="0"/>
    </xf>
    <xf numFmtId="0" fontId="11" fillId="0" borderId="4" xfId="0" applyFont="1" applyBorder="1" applyAlignment="1" applyProtection="1">
      <alignment horizontal="left" vertical="center"/>
      <protection locked="0"/>
    </xf>
    <xf numFmtId="0" fontId="1" fillId="4" borderId="35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26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169" fontId="11" fillId="0" borderId="0" xfId="0" applyNumberFormat="1" applyFont="1" applyAlignment="1">
      <alignment horizontal="left" vertical="center"/>
    </xf>
    <xf numFmtId="0" fontId="38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1" fillId="0" borderId="41" xfId="0" applyFont="1" applyBorder="1" applyAlignment="1">
      <alignment horizontal="left" vertical="center"/>
    </xf>
    <xf numFmtId="0" fontId="11" fillId="0" borderId="47" xfId="0" applyFont="1" applyBorder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11" fillId="0" borderId="20" xfId="0" applyFont="1" applyBorder="1" applyAlignment="1">
      <alignment horizontal="center" vertical="center" wrapText="1"/>
    </xf>
    <xf numFmtId="0" fontId="11" fillId="0" borderId="0" xfId="0" applyFont="1" applyAlignment="1">
      <alignment horizontal="left" vertical="top" wrapText="1"/>
    </xf>
    <xf numFmtId="0" fontId="48" fillId="0" borderId="0" xfId="0" applyFont="1" applyAlignment="1">
      <alignment horizontal="left" vertical="center"/>
    </xf>
    <xf numFmtId="0" fontId="70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left" wrapText="1"/>
    </xf>
    <xf numFmtId="0" fontId="8" fillId="0" borderId="0" xfId="0" applyFont="1" applyAlignment="1">
      <alignment horizontal="left" vertical="top" wrapText="1"/>
    </xf>
    <xf numFmtId="0" fontId="30" fillId="0" borderId="40" xfId="0" applyFont="1" applyBorder="1" applyAlignment="1">
      <alignment horizontal="right" vertical="center"/>
    </xf>
    <xf numFmtId="0" fontId="30" fillId="0" borderId="0" xfId="0" applyFont="1" applyAlignment="1">
      <alignment horizontal="right" vertical="center"/>
    </xf>
    <xf numFmtId="0" fontId="30" fillId="0" borderId="0" xfId="0" applyFont="1" applyAlignment="1">
      <alignment horizontal="left" vertical="center"/>
    </xf>
    <xf numFmtId="0" fontId="30" fillId="0" borderId="39" xfId="0" applyFont="1" applyBorder="1" applyAlignment="1">
      <alignment horizontal="left" vertical="center"/>
    </xf>
    <xf numFmtId="0" fontId="30" fillId="0" borderId="42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7" fillId="0" borderId="9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0" fillId="0" borderId="0" xfId="3" applyFont="1" applyAlignment="1">
      <alignment horizontal="left" vertical="top"/>
    </xf>
    <xf numFmtId="0" fontId="100" fillId="0" borderId="0" xfId="3" applyFont="1" applyAlignment="1">
      <alignment horizontal="center" vertical="top"/>
    </xf>
    <xf numFmtId="1" fontId="100" fillId="0" borderId="1" xfId="3" applyNumberFormat="1" applyFont="1" applyBorder="1" applyAlignment="1">
      <alignment horizontal="center" vertical="top" shrinkToFit="1"/>
    </xf>
    <xf numFmtId="0" fontId="100" fillId="0" borderId="1" xfId="3" applyFont="1" applyBorder="1" applyAlignment="1">
      <alignment vertical="top"/>
    </xf>
    <xf numFmtId="0" fontId="100" fillId="0" borderId="1" xfId="3" applyFont="1" applyBorder="1" applyAlignment="1">
      <alignment horizontal="left"/>
    </xf>
    <xf numFmtId="0" fontId="102" fillId="0" borderId="0" xfId="0" applyFont="1" applyAlignment="1">
      <alignment horizontal="center" vertical="center"/>
    </xf>
    <xf numFmtId="0" fontId="101" fillId="0" borderId="1" xfId="3" applyFont="1" applyBorder="1" applyAlignment="1">
      <alignment horizontal="left" vertical="top"/>
    </xf>
    <xf numFmtId="0" fontId="104" fillId="12" borderId="62" xfId="0" applyFont="1" applyFill="1" applyBorder="1" applyAlignment="1">
      <alignment horizontal="center" vertical="center"/>
    </xf>
    <xf numFmtId="0" fontId="101" fillId="0" borderId="1" xfId="3" applyFont="1" applyBorder="1" applyAlignment="1">
      <alignment vertical="top"/>
    </xf>
    <xf numFmtId="0" fontId="100" fillId="0" borderId="1" xfId="3" applyFont="1" applyBorder="1" applyAlignment="1">
      <alignment horizontal="center" vertical="top"/>
    </xf>
    <xf numFmtId="0" fontId="105" fillId="0" borderId="1" xfId="1" applyFont="1" applyBorder="1" applyAlignment="1" applyProtection="1">
      <alignment horizontal="left" vertical="top"/>
    </xf>
    <xf numFmtId="0" fontId="104" fillId="12" borderId="63" xfId="0" applyFont="1" applyFill="1" applyBorder="1" applyAlignment="1">
      <alignment horizontal="center" vertical="center"/>
    </xf>
    <xf numFmtId="0" fontId="101" fillId="0" borderId="1" xfId="3" applyFont="1" applyBorder="1" applyAlignment="1">
      <alignment horizontal="center" vertical="top"/>
    </xf>
    <xf numFmtId="0" fontId="106" fillId="0" borderId="1" xfId="4" applyFont="1" applyBorder="1" applyAlignment="1">
      <alignment horizontal="left" vertical="top"/>
    </xf>
    <xf numFmtId="0" fontId="100" fillId="0" borderId="1" xfId="3" applyFont="1" applyBorder="1" applyAlignment="1">
      <alignment horizontal="center"/>
    </xf>
    <xf numFmtId="0" fontId="100" fillId="0" borderId="1" xfId="3" applyFont="1" applyBorder="1" applyAlignment="1">
      <alignment horizontal="left" vertical="top"/>
    </xf>
    <xf numFmtId="0" fontId="100" fillId="0" borderId="1" xfId="3" applyFont="1" applyBorder="1" applyAlignment="1">
      <alignment horizontal="left" vertical="center"/>
    </xf>
    <xf numFmtId="1" fontId="100" fillId="0" borderId="1" xfId="0" applyNumberFormat="1" applyFont="1" applyBorder="1" applyAlignment="1">
      <alignment horizontal="center" vertical="top" shrinkToFit="1"/>
    </xf>
    <xf numFmtId="0" fontId="101" fillId="0" borderId="1" xfId="0" applyFont="1" applyBorder="1" applyAlignment="1">
      <alignment vertical="top"/>
    </xf>
    <xf numFmtId="1" fontId="100" fillId="0" borderId="0" xfId="0" applyNumberFormat="1" applyFont="1" applyAlignment="1">
      <alignment horizontal="center" vertical="top" shrinkToFit="1"/>
    </xf>
    <xf numFmtId="0" fontId="101" fillId="0" borderId="0" xfId="0" applyFont="1" applyAlignment="1">
      <alignment vertical="top"/>
    </xf>
    <xf numFmtId="0" fontId="105" fillId="0" borderId="0" xfId="1" applyFont="1" applyBorder="1" applyAlignment="1" applyProtection="1">
      <alignment horizontal="left" vertical="top"/>
    </xf>
    <xf numFmtId="1" fontId="100" fillId="0" borderId="0" xfId="3" applyNumberFormat="1" applyFont="1" applyAlignment="1">
      <alignment horizontal="center" vertical="top" shrinkToFit="1"/>
    </xf>
    <xf numFmtId="0" fontId="101" fillId="0" borderId="0" xfId="3" applyFont="1" applyAlignment="1">
      <alignment vertical="top"/>
    </xf>
    <xf numFmtId="0" fontId="100" fillId="0" borderId="0" xfId="3" applyFont="1" applyAlignment="1">
      <alignment vertical="top"/>
    </xf>
    <xf numFmtId="0" fontId="102" fillId="0" borderId="1" xfId="0" applyFont="1" applyBorder="1" applyAlignment="1">
      <alignment horizontal="center" vertical="center"/>
    </xf>
    <xf numFmtId="0" fontId="102" fillId="0" borderId="0" xfId="0" applyFont="1" applyAlignment="1">
      <alignment vertical="center"/>
    </xf>
    <xf numFmtId="0" fontId="102" fillId="0" borderId="20" xfId="0" applyFont="1" applyBorder="1" applyAlignment="1">
      <alignment horizontal="center" vertical="center"/>
    </xf>
    <xf numFmtId="0" fontId="104" fillId="0" borderId="0" xfId="0" applyFont="1"/>
    <xf numFmtId="0" fontId="104" fillId="0" borderId="1" xfId="0" applyFont="1" applyBorder="1" applyAlignment="1">
      <alignment horizontal="center" vertical="center"/>
    </xf>
    <xf numFmtId="0" fontId="104" fillId="0" borderId="20" xfId="0" applyFont="1" applyBorder="1" applyAlignment="1">
      <alignment horizontal="center" vertical="center"/>
    </xf>
    <xf numFmtId="0" fontId="101" fillId="0" borderId="1" xfId="0" applyFont="1" applyBorder="1" applyAlignment="1">
      <alignment horizontal="center" vertical="center"/>
    </xf>
    <xf numFmtId="170" fontId="104" fillId="0" borderId="48" xfId="0" applyNumberFormat="1" applyFont="1" applyBorder="1" applyAlignment="1">
      <alignment horizontal="center" vertical="center"/>
    </xf>
    <xf numFmtId="171" fontId="104" fillId="0" borderId="17" xfId="0" applyNumberFormat="1" applyFont="1" applyBorder="1" applyAlignment="1">
      <alignment horizontal="center" vertical="center"/>
    </xf>
    <xf numFmtId="0" fontId="107" fillId="0" borderId="1" xfId="0" applyFont="1" applyBorder="1" applyAlignment="1">
      <alignment horizontal="center" vertical="center"/>
    </xf>
    <xf numFmtId="14" fontId="108" fillId="0" borderId="1" xfId="0" applyNumberFormat="1" applyFont="1" applyBorder="1" applyAlignment="1">
      <alignment horizontal="center" vertical="center"/>
    </xf>
    <xf numFmtId="9" fontId="102" fillId="0" borderId="1" xfId="0" applyNumberFormat="1" applyFont="1" applyBorder="1" applyAlignment="1">
      <alignment horizontal="center" vertical="center"/>
    </xf>
    <xf numFmtId="0" fontId="101" fillId="0" borderId="1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top" wrapText="1"/>
      <protection locked="0"/>
    </xf>
    <xf numFmtId="0" fontId="8" fillId="0" borderId="94" xfId="0" applyFont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0" fontId="5" fillId="0" borderId="53" xfId="0" applyFont="1" applyBorder="1" applyAlignment="1" applyProtection="1">
      <alignment horizontal="center" vertical="center"/>
      <protection locked="0"/>
    </xf>
    <xf numFmtId="173" fontId="85" fillId="0" borderId="1" xfId="0" applyNumberFormat="1" applyFont="1" applyBorder="1" applyAlignment="1" applyProtection="1">
      <alignment horizontal="center" vertical="center"/>
      <protection locked="0"/>
    </xf>
    <xf numFmtId="0" fontId="8" fillId="0" borderId="12" xfId="0" applyFont="1" applyBorder="1" applyProtection="1"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13" xfId="0" applyFont="1" applyBorder="1" applyAlignment="1" applyProtection="1">
      <alignment horizontal="center"/>
      <protection locked="0"/>
    </xf>
    <xf numFmtId="164" fontId="2" fillId="0" borderId="14" xfId="0" applyNumberFormat="1" applyFont="1" applyBorder="1" applyProtection="1"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1" fontId="8" fillId="0" borderId="16" xfId="0" applyNumberFormat="1" applyFont="1" applyBorder="1" applyAlignment="1" applyProtection="1">
      <alignment horizontal="center" vertical="center"/>
      <protection locked="0"/>
    </xf>
    <xf numFmtId="1" fontId="5" fillId="0" borderId="50" xfId="0" applyNumberFormat="1" applyFont="1" applyBorder="1" applyAlignment="1" applyProtection="1">
      <alignment horizontal="center" vertical="center"/>
      <protection locked="0"/>
    </xf>
    <xf numFmtId="1" fontId="8" fillId="0" borderId="0" xfId="0" applyNumberFormat="1" applyFont="1" applyProtection="1">
      <protection locked="0"/>
    </xf>
    <xf numFmtId="1" fontId="2" fillId="0" borderId="7" xfId="0" applyNumberFormat="1" applyFont="1" applyBorder="1" applyAlignment="1" applyProtection="1">
      <alignment horizontal="center" vertical="center"/>
      <protection locked="0"/>
    </xf>
    <xf numFmtId="1" fontId="2" fillId="0" borderId="29" xfId="0" applyNumberFormat="1" applyFont="1" applyBorder="1" applyAlignment="1" applyProtection="1">
      <alignment horizontal="center" vertical="center"/>
      <protection locked="0"/>
    </xf>
    <xf numFmtId="1" fontId="2" fillId="0" borderId="102" xfId="0" applyNumberFormat="1" applyFont="1" applyBorder="1" applyAlignment="1" applyProtection="1">
      <alignment horizontal="center" vertical="center"/>
      <protection locked="0"/>
    </xf>
    <xf numFmtId="1" fontId="8" fillId="0" borderId="86" xfId="0" applyNumberFormat="1" applyFont="1" applyBorder="1" applyAlignment="1" applyProtection="1">
      <alignment horizontal="center" vertical="center"/>
      <protection locked="0"/>
    </xf>
    <xf numFmtId="1" fontId="8" fillId="0" borderId="0" xfId="0" applyNumberFormat="1" applyFont="1" applyAlignment="1" applyProtection="1">
      <alignment horizontal="center" vertical="center"/>
      <protection locked="0"/>
    </xf>
    <xf numFmtId="0" fontId="2" fillId="0" borderId="163" xfId="0" applyFont="1" applyBorder="1" applyAlignment="1" applyProtection="1">
      <alignment horizontal="center" vertical="center"/>
      <protection locked="0"/>
    </xf>
    <xf numFmtId="0" fontId="2" fillId="0" borderId="164" xfId="0" applyFont="1" applyBorder="1" applyAlignment="1" applyProtection="1">
      <alignment horizontal="center" vertical="center"/>
      <protection locked="0"/>
    </xf>
    <xf numFmtId="0" fontId="2" fillId="0" borderId="58" xfId="0" applyFont="1" applyBorder="1" applyAlignment="1" applyProtection="1">
      <alignment horizontal="center" vertical="center"/>
      <protection locked="0"/>
    </xf>
    <xf numFmtId="0" fontId="2" fillId="0" borderId="93" xfId="0" applyFont="1" applyBorder="1" applyAlignment="1" applyProtection="1">
      <alignment horizontal="center"/>
      <protection locked="0"/>
    </xf>
    <xf numFmtId="164" fontId="2" fillId="0" borderId="14" xfId="0" applyNumberFormat="1" applyFont="1" applyBorder="1" applyAlignment="1" applyProtection="1">
      <alignment horizontal="center"/>
      <protection locked="0"/>
    </xf>
    <xf numFmtId="0" fontId="109" fillId="0" borderId="1" xfId="3" applyFont="1" applyBorder="1" applyAlignment="1">
      <alignment horizontal="center" vertical="center"/>
    </xf>
    <xf numFmtId="0" fontId="104" fillId="0" borderId="59" xfId="0" applyFont="1" applyBorder="1"/>
    <xf numFmtId="0" fontId="104" fillId="0" borderId="64" xfId="0" applyFont="1" applyBorder="1"/>
    <xf numFmtId="0" fontId="105" fillId="0" borderId="59" xfId="1" applyFont="1" applyBorder="1" applyAlignment="1" applyProtection="1"/>
    <xf numFmtId="0" fontId="110" fillId="0" borderId="59" xfId="0" applyFont="1" applyBorder="1"/>
    <xf numFmtId="0" fontId="104" fillId="0" borderId="59" xfId="0" applyFont="1" applyBorder="1" applyAlignment="1">
      <alignment horizontal="center"/>
    </xf>
    <xf numFmtId="0" fontId="107" fillId="0" borderId="59" xfId="0" applyFont="1" applyBorder="1" applyAlignment="1">
      <alignment horizontal="center"/>
    </xf>
    <xf numFmtId="169" fontId="23" fillId="0" borderId="10" xfId="0" applyNumberFormat="1" applyFont="1" applyBorder="1" applyAlignment="1" applyProtection="1">
      <alignment horizontal="right" vertical="center"/>
      <protection locked="0" hidden="1"/>
    </xf>
    <xf numFmtId="169" fontId="23" fillId="0" borderId="51" xfId="0" applyNumberFormat="1" applyFont="1" applyBorder="1" applyAlignment="1" applyProtection="1">
      <alignment horizontal="right" vertical="center"/>
      <protection locked="0" hidden="1"/>
    </xf>
    <xf numFmtId="169" fontId="11" fillId="0" borderId="57" xfId="0" applyNumberFormat="1" applyFont="1" applyBorder="1" applyAlignment="1" applyProtection="1">
      <alignment horizontal="center" vertical="center"/>
      <protection locked="0" hidden="1"/>
    </xf>
    <xf numFmtId="0" fontId="8" fillId="0" borderId="55" xfId="0" applyFont="1" applyBorder="1" applyAlignment="1" applyProtection="1">
      <alignment horizontal="right" vertical="center"/>
      <protection locked="0" hidden="1"/>
    </xf>
    <xf numFmtId="169" fontId="11" fillId="0" borderId="56" xfId="0" applyNumberFormat="1" applyFont="1" applyBorder="1" applyAlignment="1" applyProtection="1">
      <alignment horizontal="center" vertical="center"/>
      <protection locked="0" hidden="1"/>
    </xf>
    <xf numFmtId="0" fontId="8" fillId="0" borderId="92" xfId="0" applyFont="1" applyBorder="1" applyAlignment="1" applyProtection="1">
      <alignment horizontal="right" vertical="center"/>
      <protection locked="0" hidden="1"/>
    </xf>
    <xf numFmtId="0" fontId="11" fillId="0" borderId="53" xfId="0" applyFont="1" applyBorder="1" applyAlignment="1" applyProtection="1">
      <alignment horizontal="center" vertical="center"/>
      <protection locked="0" hidden="1"/>
    </xf>
    <xf numFmtId="169" fontId="1" fillId="0" borderId="55" xfId="0" applyNumberFormat="1" applyFont="1" applyBorder="1" applyAlignment="1" applyProtection="1">
      <alignment horizontal="right"/>
      <protection locked="0" hidden="1"/>
    </xf>
    <xf numFmtId="169" fontId="1" fillId="0" borderId="92" xfId="0" applyNumberFormat="1" applyFont="1" applyBorder="1" applyAlignment="1" applyProtection="1">
      <alignment horizontal="right"/>
      <protection locked="0" hidden="1"/>
    </xf>
    <xf numFmtId="0" fontId="8" fillId="0" borderId="55" xfId="0" applyFont="1" applyBorder="1" applyProtection="1">
      <protection locked="0" hidden="1"/>
    </xf>
    <xf numFmtId="0" fontId="11" fillId="0" borderId="91" xfId="0" applyFont="1" applyBorder="1" applyAlignment="1" applyProtection="1">
      <alignment horizontal="center" vertical="center"/>
      <protection locked="0" hidden="1"/>
    </xf>
    <xf numFmtId="169" fontId="86" fillId="0" borderId="8" xfId="0" applyNumberFormat="1" applyFont="1" applyBorder="1" applyAlignment="1" applyProtection="1">
      <alignment horizontal="center" vertical="center"/>
      <protection locked="0" hidden="1"/>
    </xf>
    <xf numFmtId="169" fontId="86" fillId="0" borderId="14" xfId="0" applyNumberFormat="1" applyFont="1" applyBorder="1" applyAlignment="1" applyProtection="1">
      <alignment horizontal="center" vertical="center"/>
      <protection locked="0" hidden="1"/>
    </xf>
    <xf numFmtId="169" fontId="86" fillId="0" borderId="26" xfId="0" applyNumberFormat="1" applyFont="1" applyBorder="1" applyAlignment="1" applyProtection="1">
      <alignment horizontal="center" vertical="center"/>
      <protection locked="0" hidden="1"/>
    </xf>
    <xf numFmtId="169" fontId="86" fillId="0" borderId="22" xfId="0" applyNumberFormat="1" applyFont="1" applyBorder="1" applyAlignment="1" applyProtection="1">
      <alignment horizontal="center" vertical="center"/>
      <protection locked="0" hidden="1"/>
    </xf>
    <xf numFmtId="169" fontId="86" fillId="0" borderId="93" xfId="0" applyNumberFormat="1" applyFont="1" applyBorder="1" applyAlignment="1" applyProtection="1">
      <alignment horizontal="center" vertical="center"/>
      <protection locked="0" hidden="1"/>
    </xf>
    <xf numFmtId="169" fontId="87" fillId="0" borderId="4" xfId="0" applyNumberFormat="1" applyFont="1" applyBorder="1" applyAlignment="1" applyProtection="1">
      <alignment vertical="center"/>
      <protection locked="0" hidden="1"/>
    </xf>
    <xf numFmtId="0" fontId="52" fillId="0" borderId="38" xfId="0" applyFont="1" applyBorder="1" applyAlignment="1" applyProtection="1">
      <alignment horizontal="center" vertical="center"/>
      <protection locked="0" hidden="1"/>
    </xf>
    <xf numFmtId="0" fontId="52" fillId="0" borderId="53" xfId="0" applyFont="1" applyBorder="1" applyAlignment="1" applyProtection="1">
      <alignment horizontal="center" vertical="center"/>
      <protection locked="0" hidden="1"/>
    </xf>
    <xf numFmtId="14" fontId="7" fillId="0" borderId="53" xfId="0" applyNumberFormat="1" applyFont="1" applyBorder="1" applyAlignment="1" applyProtection="1">
      <alignment horizontal="center" vertical="center"/>
      <protection locked="0" hidden="1"/>
    </xf>
    <xf numFmtId="167" fontId="63" fillId="0" borderId="53" xfId="0" applyNumberFormat="1" applyFont="1" applyBorder="1" applyAlignment="1" applyProtection="1">
      <alignment vertical="center"/>
      <protection locked="0" hidden="1"/>
    </xf>
    <xf numFmtId="0" fontId="111" fillId="0" borderId="165" xfId="0" applyFont="1" applyBorder="1" applyAlignment="1">
      <alignment horizontal="center"/>
    </xf>
    <xf numFmtId="0" fontId="111" fillId="0" borderId="166" xfId="0" applyFont="1" applyBorder="1" applyAlignment="1">
      <alignment horizont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169" fontId="86" fillId="0" borderId="35" xfId="0" applyNumberFormat="1" applyFont="1" applyBorder="1" applyAlignment="1" applyProtection="1">
      <alignment horizontal="center" vertical="center"/>
      <protection locked="0" hidden="1"/>
    </xf>
    <xf numFmtId="169" fontId="86" fillId="0" borderId="12" xfId="0" applyNumberFormat="1" applyFont="1" applyBorder="1" applyAlignment="1" applyProtection="1">
      <alignment horizontal="center" vertical="center"/>
      <protection locked="0" hidden="1"/>
    </xf>
    <xf numFmtId="169" fontId="87" fillId="0" borderId="91" xfId="0" applyNumberFormat="1" applyFont="1" applyBorder="1" applyAlignment="1" applyProtection="1">
      <alignment horizontal="center" vertical="center"/>
      <protection locked="0"/>
    </xf>
    <xf numFmtId="169" fontId="87" fillId="0" borderId="55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60" fillId="0" borderId="35" xfId="0" applyFont="1" applyBorder="1" applyAlignment="1" applyProtection="1">
      <alignment horizontal="center" vertical="center"/>
      <protection locked="0"/>
    </xf>
    <xf numFmtId="0" fontId="60" fillId="0" borderId="12" xfId="0" applyFont="1" applyBorder="1" applyAlignment="1" applyProtection="1">
      <alignment horizontal="center" vertical="center"/>
      <protection locked="0"/>
    </xf>
    <xf numFmtId="0" fontId="23" fillId="0" borderId="46" xfId="0" applyFont="1" applyBorder="1" applyAlignment="1" applyProtection="1">
      <alignment horizontal="center" vertical="center"/>
      <protection locked="0"/>
    </xf>
    <xf numFmtId="0" fontId="23" fillId="0" borderId="85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46" xfId="0" applyFont="1" applyBorder="1" applyAlignment="1" applyProtection="1">
      <alignment horizontal="center" vertical="center"/>
      <protection locked="0"/>
    </xf>
    <xf numFmtId="0" fontId="1" fillId="0" borderId="91" xfId="0" applyFont="1" applyBorder="1" applyAlignment="1" applyProtection="1">
      <alignment horizontal="center" vertical="center"/>
      <protection locked="0"/>
    </xf>
    <xf numFmtId="0" fontId="1" fillId="0" borderId="55" xfId="0" applyFont="1" applyBorder="1" applyAlignment="1" applyProtection="1">
      <alignment horizontal="center" vertical="center"/>
      <protection locked="0"/>
    </xf>
    <xf numFmtId="0" fontId="97" fillId="0" borderId="46" xfId="0" applyFont="1" applyBorder="1" applyAlignment="1" applyProtection="1">
      <alignment horizontal="center" vertical="center" wrapText="1"/>
      <protection locked="0"/>
    </xf>
    <xf numFmtId="0" fontId="97" fillId="0" borderId="86" xfId="0" applyFont="1" applyBorder="1" applyAlignment="1" applyProtection="1">
      <alignment horizontal="center" vertical="center" wrapText="1"/>
      <protection locked="0"/>
    </xf>
    <xf numFmtId="0" fontId="89" fillId="0" borderId="2" xfId="0" applyFont="1" applyBorder="1" applyAlignment="1" applyProtection="1">
      <alignment horizontal="center" vertical="center"/>
      <protection locked="0"/>
    </xf>
    <xf numFmtId="0" fontId="89" fillId="0" borderId="4" xfId="0" applyFont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left" vertical="center"/>
      <protection locked="0"/>
    </xf>
    <xf numFmtId="0" fontId="62" fillId="0" borderId="2" xfId="0" applyFont="1" applyBorder="1" applyAlignment="1" applyProtection="1">
      <alignment horizontal="center" vertical="center"/>
      <protection locked="0"/>
    </xf>
    <xf numFmtId="0" fontId="62" fillId="0" borderId="3" xfId="0" applyFont="1" applyBorder="1" applyAlignment="1" applyProtection="1">
      <alignment horizontal="center" vertical="center"/>
      <protection locked="0"/>
    </xf>
    <xf numFmtId="0" fontId="62" fillId="0" borderId="4" xfId="0" applyFont="1" applyBorder="1" applyAlignment="1" applyProtection="1">
      <alignment horizontal="center" vertical="center"/>
      <protection locked="0"/>
    </xf>
    <xf numFmtId="0" fontId="75" fillId="0" borderId="2" xfId="0" applyFont="1" applyBorder="1" applyAlignment="1" applyProtection="1">
      <alignment horizontal="left" vertical="center"/>
      <protection locked="0"/>
    </xf>
    <xf numFmtId="0" fontId="75" fillId="0" borderId="4" xfId="0" applyFont="1" applyBorder="1" applyAlignment="1" applyProtection="1">
      <alignment horizontal="left" vertical="center"/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84" xfId="0" applyFont="1" applyBorder="1" applyAlignment="1" applyProtection="1">
      <alignment horizontal="left" vertical="center"/>
      <protection locked="0"/>
    </xf>
    <xf numFmtId="0" fontId="11" fillId="0" borderId="46" xfId="0" applyFont="1" applyBorder="1" applyAlignment="1" applyProtection="1">
      <alignment horizontal="left" vertical="center"/>
      <protection locked="0"/>
    </xf>
    <xf numFmtId="0" fontId="11" fillId="0" borderId="86" xfId="0" applyFont="1" applyBorder="1" applyAlignment="1" applyProtection="1">
      <alignment horizontal="left" vertical="center"/>
      <protection locked="0"/>
    </xf>
    <xf numFmtId="0" fontId="8" fillId="0" borderId="50" xfId="0" applyFont="1" applyBorder="1" applyAlignment="1" applyProtection="1">
      <alignment horizontal="center" vertical="center"/>
      <protection locked="0"/>
    </xf>
    <xf numFmtId="0" fontId="8" fillId="0" borderId="33" xfId="0" applyFont="1" applyBorder="1" applyAlignment="1" applyProtection="1">
      <alignment horizontal="center" vertical="center"/>
      <protection locked="0"/>
    </xf>
    <xf numFmtId="0" fontId="1" fillId="0" borderId="92" xfId="0" applyFont="1" applyBorder="1" applyAlignment="1" applyProtection="1">
      <alignment horizontal="center" vertical="center"/>
      <protection locked="0"/>
    </xf>
    <xf numFmtId="0" fontId="95" fillId="16" borderId="2" xfId="0" applyFont="1" applyFill="1" applyBorder="1" applyAlignment="1" applyProtection="1">
      <alignment horizontal="center" vertical="center"/>
      <protection locked="0"/>
    </xf>
    <xf numFmtId="0" fontId="95" fillId="16" borderId="4" xfId="0" applyFont="1" applyFill="1" applyBorder="1" applyAlignment="1" applyProtection="1">
      <alignment horizontal="center" vertical="center"/>
      <protection locked="0"/>
    </xf>
    <xf numFmtId="0" fontId="23" fillId="0" borderId="35" xfId="0" applyFont="1" applyBorder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0" fontId="97" fillId="0" borderId="35" xfId="0" applyFont="1" applyBorder="1" applyAlignment="1" applyProtection="1">
      <alignment horizontal="center" vertical="center" wrapText="1"/>
      <protection locked="0"/>
    </xf>
    <xf numFmtId="0" fontId="97" fillId="0" borderId="12" xfId="0" applyFont="1" applyBorder="1" applyAlignment="1" applyProtection="1">
      <alignment horizontal="center" vertical="center" wrapText="1"/>
      <protection locked="0"/>
    </xf>
    <xf numFmtId="0" fontId="8" fillId="0" borderId="91" xfId="0" applyFont="1" applyBorder="1" applyAlignment="1" applyProtection="1">
      <alignment horizontal="center" vertical="center"/>
      <protection locked="0"/>
    </xf>
    <xf numFmtId="0" fontId="8" fillId="0" borderId="55" xfId="0" applyFont="1" applyBorder="1" applyAlignment="1" applyProtection="1">
      <alignment horizontal="center" vertical="center"/>
      <protection locked="0"/>
    </xf>
    <xf numFmtId="0" fontId="8" fillId="0" borderId="46" xfId="0" applyFont="1" applyBorder="1" applyAlignment="1" applyProtection="1">
      <alignment horizontal="center"/>
      <protection locked="0"/>
    </xf>
    <xf numFmtId="0" fontId="8" fillId="0" borderId="118" xfId="0" applyFont="1" applyBorder="1" applyAlignment="1" applyProtection="1">
      <alignment horizontal="center"/>
      <protection locked="0"/>
    </xf>
    <xf numFmtId="0" fontId="21" fillId="16" borderId="2" xfId="0" applyFont="1" applyFill="1" applyBorder="1" applyAlignment="1" applyProtection="1">
      <alignment horizontal="center" vertical="center"/>
      <protection locked="0"/>
    </xf>
    <xf numFmtId="0" fontId="21" fillId="16" borderId="3" xfId="0" applyFont="1" applyFill="1" applyBorder="1" applyAlignment="1" applyProtection="1">
      <alignment horizontal="center" vertical="center"/>
      <protection locked="0"/>
    </xf>
    <xf numFmtId="0" fontId="21" fillId="16" borderId="4" xfId="0" applyFont="1" applyFill="1" applyBorder="1" applyAlignment="1" applyProtection="1">
      <alignment horizontal="center" vertical="center"/>
      <protection locked="0"/>
    </xf>
    <xf numFmtId="0" fontId="21" fillId="0" borderId="36" xfId="0" applyFont="1" applyBorder="1" applyAlignment="1" applyProtection="1">
      <alignment horizontal="center" vertical="center"/>
      <protection locked="0"/>
    </xf>
    <xf numFmtId="0" fontId="21" fillId="0" borderId="52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6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center"/>
      <protection locked="0"/>
    </xf>
    <xf numFmtId="0" fontId="61" fillId="0" borderId="50" xfId="0" applyFont="1" applyBorder="1" applyAlignment="1" applyProtection="1">
      <alignment horizontal="center" vertical="center"/>
      <protection locked="0"/>
    </xf>
    <xf numFmtId="0" fontId="61" fillId="0" borderId="47" xfId="0" applyFont="1" applyBorder="1" applyAlignment="1" applyProtection="1">
      <alignment horizontal="center" vertical="center"/>
      <protection locked="0"/>
    </xf>
    <xf numFmtId="0" fontId="61" fillId="0" borderId="33" xfId="0" applyFont="1" applyBorder="1" applyAlignment="1" applyProtection="1">
      <alignment horizontal="center" vertical="center"/>
      <protection locked="0"/>
    </xf>
    <xf numFmtId="0" fontId="99" fillId="0" borderId="27" xfId="0" applyFont="1" applyBorder="1" applyAlignment="1" applyProtection="1">
      <alignment horizontal="center" vertical="center"/>
      <protection hidden="1"/>
    </xf>
    <xf numFmtId="0" fontId="99" fillId="0" borderId="42" xfId="0" applyFont="1" applyBorder="1" applyAlignment="1" applyProtection="1">
      <alignment horizontal="center" vertical="center"/>
      <protection hidden="1"/>
    </xf>
    <xf numFmtId="0" fontId="99" fillId="0" borderId="28" xfId="0" applyFont="1" applyBorder="1" applyAlignment="1" applyProtection="1">
      <alignment horizontal="center" vertical="center"/>
      <protection hidden="1"/>
    </xf>
    <xf numFmtId="0" fontId="6" fillId="0" borderId="154" xfId="0" applyFont="1" applyBorder="1" applyAlignment="1" applyProtection="1">
      <alignment horizontal="left" vertical="center"/>
      <protection locked="0"/>
    </xf>
    <xf numFmtId="0" fontId="6" fillId="0" borderId="41" xfId="0" applyFont="1" applyBorder="1" applyAlignment="1" applyProtection="1">
      <alignment horizontal="left" vertical="center"/>
      <protection locked="0"/>
    </xf>
    <xf numFmtId="0" fontId="6" fillId="0" borderId="26" xfId="0" applyFont="1" applyBorder="1" applyAlignment="1" applyProtection="1">
      <alignment horizontal="left" vertical="center"/>
      <protection locked="0"/>
    </xf>
    <xf numFmtId="173" fontId="3" fillId="0" borderId="1" xfId="0" applyNumberFormat="1" applyFont="1" applyBorder="1" applyAlignment="1" applyProtection="1">
      <alignment horizontal="center" vertical="center"/>
      <protection locked="0"/>
    </xf>
    <xf numFmtId="0" fontId="92" fillId="0" borderId="161" xfId="0" applyFont="1" applyBorder="1" applyAlignment="1" applyProtection="1">
      <alignment horizontal="center" vertical="center"/>
      <protection locked="0"/>
    </xf>
    <xf numFmtId="0" fontId="92" fillId="0" borderId="162" xfId="0" applyFont="1" applyBorder="1" applyAlignment="1" applyProtection="1">
      <alignment horizontal="center" vertical="center"/>
      <protection locked="0"/>
    </xf>
    <xf numFmtId="0" fontId="2" fillId="0" borderId="47" xfId="0" applyFont="1" applyBorder="1" applyAlignment="1" applyProtection="1">
      <alignment horizontal="center" vertical="center"/>
      <protection locked="0"/>
    </xf>
    <xf numFmtId="164" fontId="76" fillId="0" borderId="50" xfId="0" applyNumberFormat="1" applyFont="1" applyBorder="1" applyAlignment="1" applyProtection="1">
      <alignment horizontal="center" vertical="center"/>
      <protection locked="0"/>
    </xf>
    <xf numFmtId="164" fontId="76" fillId="0" borderId="33" xfId="0" applyNumberFormat="1" applyFont="1" applyBorder="1" applyAlignment="1" applyProtection="1">
      <alignment horizontal="center" vertical="center"/>
      <protection locked="0"/>
    </xf>
    <xf numFmtId="0" fontId="2" fillId="0" borderId="112" xfId="0" applyFont="1" applyBorder="1" applyAlignment="1" applyProtection="1">
      <alignment horizontal="center" vertical="center"/>
      <protection locked="0"/>
    </xf>
    <xf numFmtId="0" fontId="2" fillId="0" borderId="113" xfId="0" applyFont="1" applyBorder="1" applyAlignment="1" applyProtection="1">
      <alignment horizontal="center" vertical="center"/>
      <protection locked="0"/>
    </xf>
    <xf numFmtId="0" fontId="2" fillId="0" borderId="114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173" fontId="14" fillId="0" borderId="35" xfId="0" applyNumberFormat="1" applyFont="1" applyBorder="1" applyAlignment="1" applyProtection="1">
      <alignment horizontal="center" vertical="center"/>
      <protection locked="0"/>
    </xf>
    <xf numFmtId="173" fontId="14" fillId="0" borderId="10" xfId="0" applyNumberFormat="1" applyFont="1" applyBorder="1" applyAlignment="1" applyProtection="1">
      <alignment horizontal="center" vertical="center"/>
      <protection locked="0"/>
    </xf>
    <xf numFmtId="173" fontId="14" fillId="0" borderId="12" xfId="0" applyNumberFormat="1" applyFont="1" applyBorder="1" applyAlignment="1" applyProtection="1">
      <alignment horizontal="center" vertical="center"/>
      <protection locked="0"/>
    </xf>
    <xf numFmtId="173" fontId="14" fillId="0" borderId="36" xfId="0" applyNumberFormat="1" applyFont="1" applyBorder="1" applyAlignment="1" applyProtection="1">
      <alignment horizontal="center" vertical="center"/>
      <protection locked="0"/>
    </xf>
    <xf numFmtId="173" fontId="14" fillId="0" borderId="51" xfId="0" applyNumberFormat="1" applyFont="1" applyBorder="1" applyAlignment="1" applyProtection="1">
      <alignment horizontal="center" vertical="center"/>
      <protection locked="0"/>
    </xf>
    <xf numFmtId="173" fontId="14" fillId="0" borderId="52" xfId="0" applyNumberFormat="1" applyFont="1" applyBorder="1" applyAlignment="1" applyProtection="1">
      <alignment horizontal="center" vertical="center"/>
      <protection locked="0"/>
    </xf>
    <xf numFmtId="0" fontId="63" fillId="0" borderId="2" xfId="0" applyFont="1" applyBorder="1" applyAlignment="1" applyProtection="1">
      <alignment horizontal="center" vertical="center"/>
      <protection locked="0"/>
    </xf>
    <xf numFmtId="0" fontId="63" fillId="0" borderId="3" xfId="0" applyFont="1" applyBorder="1" applyAlignment="1" applyProtection="1">
      <alignment horizontal="center" vertical="center"/>
      <protection locked="0"/>
    </xf>
    <xf numFmtId="0" fontId="63" fillId="0" borderId="4" xfId="0" applyFont="1" applyBorder="1" applyAlignment="1" applyProtection="1">
      <alignment horizontal="center" vertical="center"/>
      <protection locked="0"/>
    </xf>
    <xf numFmtId="14" fontId="18" fillId="0" borderId="144" xfId="0" applyNumberFormat="1" applyFont="1" applyBorder="1" applyAlignment="1" applyProtection="1">
      <alignment horizontal="center"/>
      <protection locked="0" hidden="1"/>
    </xf>
    <xf numFmtId="14" fontId="18" fillId="0" borderId="10" xfId="0" applyNumberFormat="1" applyFont="1" applyBorder="1" applyAlignment="1" applyProtection="1">
      <alignment horizontal="center"/>
      <protection locked="0" hidden="1"/>
    </xf>
    <xf numFmtId="14" fontId="18" fillId="0" borderId="145" xfId="0" applyNumberFormat="1" applyFont="1" applyBorder="1" applyAlignment="1" applyProtection="1">
      <alignment horizontal="center"/>
      <protection locked="0" hidden="1"/>
    </xf>
    <xf numFmtId="14" fontId="18" fillId="0" borderId="108" xfId="0" applyNumberFormat="1" applyFont="1" applyBorder="1" applyAlignment="1" applyProtection="1">
      <alignment horizontal="center"/>
      <protection locked="0" hidden="1"/>
    </xf>
    <xf numFmtId="14" fontId="18" fillId="0" borderId="47" xfId="0" applyNumberFormat="1" applyFont="1" applyBorder="1" applyAlignment="1" applyProtection="1">
      <alignment horizontal="center"/>
      <protection locked="0" hidden="1"/>
    </xf>
    <xf numFmtId="14" fontId="18" fillId="0" borderId="109" xfId="0" applyNumberFormat="1" applyFont="1" applyBorder="1" applyAlignment="1" applyProtection="1">
      <alignment horizontal="center"/>
      <protection locked="0" hidden="1"/>
    </xf>
    <xf numFmtId="14" fontId="18" fillId="0" borderId="110" xfId="0" applyNumberFormat="1" applyFont="1" applyBorder="1" applyAlignment="1" applyProtection="1">
      <alignment horizontal="center" vertical="center"/>
      <protection locked="0" hidden="1"/>
    </xf>
    <xf numFmtId="14" fontId="18" fillId="0" borderId="51" xfId="0" applyNumberFormat="1" applyFont="1" applyBorder="1" applyAlignment="1" applyProtection="1">
      <alignment horizontal="center" vertical="center"/>
      <protection locked="0" hidden="1"/>
    </xf>
    <xf numFmtId="14" fontId="18" fillId="0" borderId="111" xfId="0" applyNumberFormat="1" applyFont="1" applyBorder="1" applyAlignment="1" applyProtection="1">
      <alignment horizontal="center" vertical="center"/>
      <protection locked="0" hidden="1"/>
    </xf>
    <xf numFmtId="169" fontId="52" fillId="0" borderId="91" xfId="0" applyNumberFormat="1" applyFont="1" applyBorder="1" applyAlignment="1" applyProtection="1">
      <alignment horizontal="center" vertical="center"/>
      <protection locked="0"/>
    </xf>
    <xf numFmtId="169" fontId="52" fillId="0" borderId="55" xfId="0" applyNumberFormat="1" applyFont="1" applyBorder="1" applyAlignment="1" applyProtection="1">
      <alignment horizontal="center" vertical="center"/>
      <protection locked="0"/>
    </xf>
    <xf numFmtId="0" fontId="23" fillId="0" borderId="86" xfId="0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 applyProtection="1">
      <alignment horizontal="center" vertical="center"/>
      <protection locked="0"/>
    </xf>
    <xf numFmtId="0" fontId="23" fillId="0" borderId="84" xfId="0" applyFont="1" applyBorder="1" applyAlignment="1" applyProtection="1">
      <alignment horizontal="center" vertical="center"/>
      <protection locked="0"/>
    </xf>
    <xf numFmtId="0" fontId="94" fillId="0" borderId="84" xfId="0" applyFont="1" applyBorder="1" applyAlignment="1" applyProtection="1">
      <alignment horizontal="center" vertical="center" wrapText="1"/>
      <protection locked="0"/>
    </xf>
    <xf numFmtId="0" fontId="94" fillId="0" borderId="86" xfId="0" applyFont="1" applyBorder="1" applyAlignment="1" applyProtection="1">
      <alignment horizontal="center" vertical="center" wrapText="1"/>
      <protection locked="0"/>
    </xf>
    <xf numFmtId="0" fontId="21" fillId="0" borderId="107" xfId="0" applyFont="1" applyBorder="1" applyAlignment="1" applyProtection="1">
      <alignment horizontal="center" vertical="center"/>
      <protection locked="0"/>
    </xf>
    <xf numFmtId="0" fontId="21" fillId="0" borderId="35" xfId="0" applyFont="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  <protection locked="0"/>
    </xf>
    <xf numFmtId="0" fontId="14" fillId="16" borderId="46" xfId="0" applyFont="1" applyFill="1" applyBorder="1" applyAlignment="1" applyProtection="1">
      <alignment horizontal="center" vertical="center"/>
      <protection locked="0"/>
    </xf>
    <xf numFmtId="0" fontId="14" fillId="16" borderId="85" xfId="0" applyFont="1" applyFill="1" applyBorder="1" applyAlignment="1" applyProtection="1">
      <alignment horizontal="center" vertical="center"/>
      <protection locked="0"/>
    </xf>
    <xf numFmtId="0" fontId="14" fillId="16" borderId="3" xfId="0" applyFont="1" applyFill="1" applyBorder="1" applyAlignment="1" applyProtection="1">
      <alignment horizontal="center" vertical="center"/>
      <protection locked="0"/>
    </xf>
    <xf numFmtId="0" fontId="14" fillId="16" borderId="4" xfId="0" applyFont="1" applyFill="1" applyBorder="1" applyAlignment="1" applyProtection="1">
      <alignment horizontal="center" vertical="center"/>
      <protection locked="0"/>
    </xf>
    <xf numFmtId="0" fontId="7" fillId="0" borderId="107" xfId="0" applyFont="1" applyBorder="1" applyAlignment="1" applyProtection="1">
      <alignment horizontal="center" vertical="center"/>
      <protection locked="0"/>
    </xf>
    <xf numFmtId="0" fontId="7" fillId="0" borderId="130" xfId="0" applyFont="1" applyBorder="1" applyAlignment="1" applyProtection="1">
      <alignment horizontal="center" vertical="center"/>
      <protection locked="0"/>
    </xf>
    <xf numFmtId="164" fontId="11" fillId="0" borderId="5" xfId="0" applyNumberFormat="1" applyFont="1" applyBorder="1" applyAlignment="1" applyProtection="1">
      <alignment horizontal="center"/>
      <protection locked="0"/>
    </xf>
    <xf numFmtId="164" fontId="11" fillId="0" borderId="46" xfId="0" applyNumberFormat="1" applyFont="1" applyBorder="1" applyAlignment="1" applyProtection="1">
      <alignment horizontal="center"/>
      <protection locked="0"/>
    </xf>
    <xf numFmtId="0" fontId="5" fillId="0" borderId="54" xfId="0" applyFont="1" applyBorder="1" applyAlignment="1" applyProtection="1">
      <alignment horizontal="center" vertical="center"/>
      <protection locked="0"/>
    </xf>
    <xf numFmtId="0" fontId="5" fillId="0" borderId="89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64" fillId="0" borderId="87" xfId="0" applyFont="1" applyBorder="1" applyAlignment="1" applyProtection="1">
      <alignment horizontal="center" vertical="center"/>
      <protection locked="0"/>
    </xf>
    <xf numFmtId="0" fontId="64" fillId="0" borderId="88" xfId="0" applyFont="1" applyBorder="1" applyAlignment="1" applyProtection="1">
      <alignment horizontal="center" vertical="center"/>
      <protection locked="0"/>
    </xf>
    <xf numFmtId="0" fontId="2" fillId="0" borderId="87" xfId="0" applyFont="1" applyBorder="1" applyAlignment="1" applyProtection="1">
      <alignment horizontal="center" vertical="center"/>
      <protection locked="0"/>
    </xf>
    <xf numFmtId="0" fontId="2" fillId="0" borderId="88" xfId="0" applyFont="1" applyBorder="1" applyAlignment="1" applyProtection="1">
      <alignment horizontal="center" vertical="center"/>
      <protection locked="0"/>
    </xf>
    <xf numFmtId="0" fontId="64" fillId="0" borderId="35" xfId="0" applyFont="1" applyBorder="1" applyAlignment="1" applyProtection="1">
      <alignment horizontal="center" vertical="center"/>
      <protection locked="0"/>
    </xf>
    <xf numFmtId="0" fontId="64" fillId="0" borderId="12" xfId="0" applyFont="1" applyBorder="1" applyAlignment="1" applyProtection="1">
      <alignment horizontal="center" vertical="center"/>
      <protection locked="0"/>
    </xf>
    <xf numFmtId="0" fontId="63" fillId="0" borderId="36" xfId="0" applyFont="1" applyBorder="1" applyAlignment="1" applyProtection="1">
      <alignment horizontal="center" vertical="center"/>
      <protection locked="0"/>
    </xf>
    <xf numFmtId="0" fontId="63" fillId="0" borderId="52" xfId="0" applyFont="1" applyBorder="1" applyAlignment="1" applyProtection="1">
      <alignment horizontal="center" vertical="center"/>
      <protection locked="0"/>
    </xf>
    <xf numFmtId="173" fontId="5" fillId="0" borderId="36" xfId="0" applyNumberFormat="1" applyFont="1" applyBorder="1" applyAlignment="1" applyProtection="1">
      <alignment horizontal="center" vertical="center"/>
      <protection locked="0"/>
    </xf>
    <xf numFmtId="173" fontId="5" fillId="0" borderId="51" xfId="0" applyNumberFormat="1" applyFont="1" applyBorder="1" applyAlignment="1" applyProtection="1">
      <alignment horizontal="center" vertical="center"/>
      <protection locked="0"/>
    </xf>
    <xf numFmtId="173" fontId="5" fillId="0" borderId="35" xfId="0" applyNumberFormat="1" applyFont="1" applyBorder="1" applyAlignment="1" applyProtection="1">
      <alignment horizontal="center" vertical="center"/>
      <protection locked="0"/>
    </xf>
    <xf numFmtId="173" fontId="5" fillId="0" borderId="10" xfId="0" applyNumberFormat="1" applyFont="1" applyBorder="1" applyAlignment="1" applyProtection="1">
      <alignment horizontal="center" vertical="center"/>
      <protection locked="0"/>
    </xf>
    <xf numFmtId="0" fontId="5" fillId="0" borderId="91" xfId="0" applyFont="1" applyBorder="1" applyAlignment="1" applyProtection="1">
      <alignment horizontal="center" vertical="center"/>
      <protection locked="0"/>
    </xf>
    <xf numFmtId="0" fontId="5" fillId="0" borderId="55" xfId="0" applyFont="1" applyBorder="1" applyAlignment="1" applyProtection="1">
      <alignment horizontal="center" vertical="center"/>
      <protection locked="0"/>
    </xf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63" fillId="0" borderId="54" xfId="0" applyFont="1" applyBorder="1" applyAlignment="1" applyProtection="1">
      <alignment horizontal="center" vertical="center"/>
      <protection locked="0"/>
    </xf>
    <xf numFmtId="0" fontId="63" fillId="0" borderId="89" xfId="0" applyFont="1" applyBorder="1" applyAlignment="1" applyProtection="1">
      <alignment horizontal="center" vertical="center"/>
      <protection locked="0"/>
    </xf>
    <xf numFmtId="0" fontId="5" fillId="0" borderId="36" xfId="0" applyFont="1" applyBorder="1" applyAlignment="1" applyProtection="1">
      <alignment horizontal="center" vertical="center"/>
      <protection locked="0"/>
    </xf>
    <xf numFmtId="0" fontId="5" fillId="0" borderId="52" xfId="0" applyFont="1" applyBorder="1" applyAlignment="1" applyProtection="1">
      <alignment horizontal="center" vertical="center"/>
      <protection locked="0"/>
    </xf>
    <xf numFmtId="0" fontId="7" fillId="0" borderId="87" xfId="0" applyFont="1" applyBorder="1" applyAlignment="1" applyProtection="1">
      <alignment horizontal="center" vertical="center"/>
      <protection locked="0"/>
    </xf>
    <xf numFmtId="0" fontId="7" fillId="0" borderId="88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left" vertical="center"/>
      <protection locked="0"/>
    </xf>
    <xf numFmtId="0" fontId="11" fillId="0" borderId="4" xfId="0" applyFont="1" applyBorder="1" applyAlignment="1" applyProtection="1">
      <alignment horizontal="left" vertical="center"/>
      <protection locked="0"/>
    </xf>
    <xf numFmtId="0" fontId="52" fillId="0" borderId="2" xfId="0" applyFont="1" applyBorder="1" applyAlignment="1" applyProtection="1">
      <alignment horizontal="center" vertical="center"/>
      <protection locked="0"/>
    </xf>
    <xf numFmtId="0" fontId="52" fillId="0" borderId="3" xfId="0" applyFont="1" applyBorder="1" applyAlignment="1" applyProtection="1">
      <alignment horizontal="center" vertical="center"/>
      <protection locked="0"/>
    </xf>
    <xf numFmtId="0" fontId="52" fillId="0" borderId="4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  <protection locked="0"/>
    </xf>
    <xf numFmtId="0" fontId="60" fillId="0" borderId="36" xfId="0" applyFont="1" applyBorder="1" applyAlignment="1" applyProtection="1">
      <alignment horizontal="center" vertical="center"/>
      <protection locked="0"/>
    </xf>
    <xf numFmtId="0" fontId="60" fillId="0" borderId="52" xfId="0" applyFont="1" applyBorder="1" applyAlignment="1" applyProtection="1">
      <alignment horizontal="center" vertical="center"/>
      <protection locked="0"/>
    </xf>
    <xf numFmtId="164" fontId="11" fillId="0" borderId="91" xfId="0" applyNumberFormat="1" applyFont="1" applyBorder="1" applyAlignment="1" applyProtection="1">
      <alignment horizontal="center" vertical="center"/>
      <protection locked="0"/>
    </xf>
    <xf numFmtId="164" fontId="11" fillId="0" borderId="55" xfId="0" applyNumberFormat="1" applyFont="1" applyBorder="1" applyAlignment="1" applyProtection="1">
      <alignment horizontal="center" vertical="center"/>
      <protection locked="0"/>
    </xf>
    <xf numFmtId="0" fontId="19" fillId="4" borderId="5" xfId="0" applyFont="1" applyFill="1" applyBorder="1" applyAlignment="1">
      <alignment horizontal="center" vertical="center"/>
    </xf>
    <xf numFmtId="0" fontId="19" fillId="4" borderId="83" xfId="0" applyFont="1" applyFill="1" applyBorder="1" applyAlignment="1">
      <alignment horizontal="center" vertical="center"/>
    </xf>
    <xf numFmtId="0" fontId="19" fillId="4" borderId="84" xfId="0" applyFont="1" applyFill="1" applyBorder="1" applyAlignment="1">
      <alignment horizontal="center" vertical="center"/>
    </xf>
    <xf numFmtId="0" fontId="19" fillId="4" borderId="67" xfId="0" applyFont="1" applyFill="1" applyBorder="1" applyAlignment="1">
      <alignment horizontal="center" vertical="center"/>
    </xf>
    <xf numFmtId="0" fontId="19" fillId="4" borderId="74" xfId="0" applyFont="1" applyFill="1" applyBorder="1" applyAlignment="1">
      <alignment horizontal="center" vertical="center"/>
    </xf>
    <xf numFmtId="0" fontId="19" fillId="4" borderId="81" xfId="0" applyFont="1" applyFill="1" applyBorder="1" applyAlignment="1">
      <alignment horizontal="center" vertical="center"/>
    </xf>
    <xf numFmtId="0" fontId="19" fillId="4" borderId="67" xfId="0" applyFont="1" applyFill="1" applyBorder="1" applyAlignment="1" applyProtection="1">
      <alignment horizontal="center" vertical="center"/>
      <protection locked="0"/>
    </xf>
    <xf numFmtId="0" fontId="19" fillId="4" borderId="74" xfId="0" applyFont="1" applyFill="1" applyBorder="1" applyAlignment="1" applyProtection="1">
      <alignment horizontal="center" vertical="center"/>
      <protection locked="0"/>
    </xf>
    <xf numFmtId="0" fontId="19" fillId="4" borderId="81" xfId="0" applyFont="1" applyFill="1" applyBorder="1" applyAlignment="1" applyProtection="1">
      <alignment horizontal="center" vertical="center"/>
      <protection locked="0"/>
    </xf>
    <xf numFmtId="0" fontId="19" fillId="4" borderId="95" xfId="0" applyFont="1" applyFill="1" applyBorder="1" applyAlignment="1" applyProtection="1">
      <alignment horizontal="center" vertical="center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19" fillId="4" borderId="65" xfId="0" applyFont="1" applyFill="1" applyBorder="1" applyAlignment="1" applyProtection="1">
      <alignment horizontal="center" vertical="center"/>
      <protection locked="0"/>
    </xf>
    <xf numFmtId="0" fontId="1" fillId="4" borderId="35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9" fillId="5" borderId="2" xfId="0" applyFont="1" applyFill="1" applyBorder="1" applyAlignment="1" applyProtection="1">
      <alignment horizontal="center" vertical="center"/>
      <protection locked="0"/>
    </xf>
    <xf numFmtId="0" fontId="19" fillId="5" borderId="3" xfId="0" applyFont="1" applyFill="1" applyBorder="1" applyAlignment="1" applyProtection="1">
      <alignment horizontal="center" vertical="center"/>
      <protection locked="0"/>
    </xf>
    <xf numFmtId="0" fontId="19" fillId="5" borderId="4" xfId="0" applyFont="1" applyFill="1" applyBorder="1" applyAlignment="1" applyProtection="1">
      <alignment horizontal="center" vertical="center"/>
      <protection locked="0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26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72" xfId="0" applyFont="1" applyBorder="1" applyAlignment="1">
      <alignment horizontal="left" vertical="center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14" fontId="11" fillId="0" borderId="80" xfId="0" applyNumberFormat="1" applyFont="1" applyBorder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169" fontId="11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/>
    </xf>
    <xf numFmtId="0" fontId="58" fillId="0" borderId="40" xfId="0" applyFont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vertical="center" wrapText="1"/>
    </xf>
    <xf numFmtId="0" fontId="38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4" fillId="0" borderId="1" xfId="0" applyFont="1" applyBorder="1" applyAlignment="1">
      <alignment horizontal="left" vertical="center"/>
    </xf>
    <xf numFmtId="0" fontId="104" fillId="0" borderId="1" xfId="0" applyFont="1" applyBorder="1" applyAlignment="1">
      <alignment horizontal="center" vertical="center"/>
    </xf>
    <xf numFmtId="0" fontId="11" fillId="0" borderId="41" xfId="0" applyFont="1" applyBorder="1" applyAlignment="1">
      <alignment horizontal="left" vertical="center"/>
    </xf>
    <xf numFmtId="0" fontId="11" fillId="0" borderId="47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8" fillId="0" borderId="18" xfId="0" applyFont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8" fillId="0" borderId="23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11" fillId="0" borderId="50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left" vertical="center"/>
    </xf>
    <xf numFmtId="0" fontId="11" fillId="0" borderId="33" xfId="0" applyFont="1" applyBorder="1" applyAlignment="1">
      <alignment horizontal="left" vertical="center"/>
    </xf>
    <xf numFmtId="0" fontId="11" fillId="0" borderId="0" xfId="0" applyFont="1" applyAlignment="1">
      <alignment horizontal="left" vertical="top" wrapText="1"/>
    </xf>
    <xf numFmtId="0" fontId="48" fillId="0" borderId="0" xfId="0" applyFont="1" applyAlignment="1">
      <alignment horizontal="left" vertical="center"/>
    </xf>
    <xf numFmtId="0" fontId="70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1" fillId="0" borderId="0" xfId="0" applyFont="1" applyAlignment="1">
      <alignment horizontal="left" wrapText="1"/>
    </xf>
    <xf numFmtId="0" fontId="10" fillId="0" borderId="42" xfId="0" applyFont="1" applyBorder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center"/>
    </xf>
    <xf numFmtId="0" fontId="28" fillId="0" borderId="25" xfId="0" applyFont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" fillId="0" borderId="83" xfId="0" applyFont="1" applyBorder="1" applyAlignment="1">
      <alignment horizontal="left" vertical="center"/>
    </xf>
    <xf numFmtId="0" fontId="2" fillId="0" borderId="84" xfId="0" applyFont="1" applyBorder="1" applyAlignment="1">
      <alignment horizontal="left" vertical="center"/>
    </xf>
    <xf numFmtId="0" fontId="30" fillId="0" borderId="25" xfId="0" applyFont="1" applyBorder="1" applyAlignment="1">
      <alignment horizontal="right" vertical="center"/>
    </xf>
    <xf numFmtId="0" fontId="30" fillId="0" borderId="41" xfId="0" applyFont="1" applyBorder="1" applyAlignment="1">
      <alignment horizontal="right" vertical="center"/>
    </xf>
    <xf numFmtId="0" fontId="30" fillId="0" borderId="41" xfId="0" applyFont="1" applyBorder="1" applyAlignment="1">
      <alignment horizontal="left" vertical="center"/>
    </xf>
    <xf numFmtId="0" fontId="30" fillId="0" borderId="26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30" fillId="0" borderId="40" xfId="0" applyFont="1" applyBorder="1" applyAlignment="1">
      <alignment horizontal="right" vertical="center"/>
    </xf>
    <xf numFmtId="0" fontId="30" fillId="0" borderId="0" xfId="0" applyFont="1" applyAlignment="1">
      <alignment horizontal="right" vertical="center"/>
    </xf>
    <xf numFmtId="0" fontId="30" fillId="0" borderId="0" xfId="0" applyFont="1" applyAlignment="1">
      <alignment horizontal="left" vertical="center"/>
    </xf>
    <xf numFmtId="0" fontId="30" fillId="0" borderId="39" xfId="0" applyFont="1" applyBorder="1" applyAlignment="1">
      <alignment horizontal="left" vertical="center"/>
    </xf>
    <xf numFmtId="0" fontId="2" fillId="0" borderId="41" xfId="0" applyFont="1" applyBorder="1" applyAlignment="1">
      <alignment horizontal="left" vertical="center"/>
    </xf>
    <xf numFmtId="0" fontId="2" fillId="0" borderId="130" xfId="0" applyFont="1" applyBorder="1" applyAlignment="1">
      <alignment horizontal="left" vertical="center"/>
    </xf>
    <xf numFmtId="0" fontId="31" fillId="0" borderId="40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107" xfId="0" applyFont="1" applyBorder="1" applyAlignment="1">
      <alignment horizontal="center" vertical="center"/>
    </xf>
    <xf numFmtId="0" fontId="2" fillId="0" borderId="13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4" fontId="30" fillId="0" borderId="0" xfId="0" applyNumberFormat="1" applyFont="1" applyAlignment="1">
      <alignment horizontal="left" vertical="center"/>
    </xf>
    <xf numFmtId="14" fontId="2" fillId="0" borderId="6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9" fontId="2" fillId="0" borderId="15" xfId="0" applyNumberFormat="1" applyFont="1" applyBorder="1" applyAlignment="1">
      <alignment horizontal="center" vertical="center"/>
    </xf>
    <xf numFmtId="169" fontId="2" fillId="0" borderId="16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14" fontId="2" fillId="0" borderId="84" xfId="0" applyNumberFormat="1" applyFont="1" applyBorder="1" applyAlignment="1">
      <alignment horizontal="center" vertical="center"/>
    </xf>
    <xf numFmtId="14" fontId="2" fillId="0" borderId="36" xfId="0" applyNumberFormat="1" applyFont="1" applyBorder="1" applyAlignment="1">
      <alignment horizontal="center" vertical="center"/>
    </xf>
    <xf numFmtId="14" fontId="2" fillId="0" borderId="52" xfId="0" applyNumberFormat="1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32" fillId="0" borderId="4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39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1" fillId="0" borderId="42" xfId="0" applyFont="1" applyBorder="1" applyAlignment="1">
      <alignment horizontal="left" vertical="center"/>
    </xf>
    <xf numFmtId="0" fontId="26" fillId="0" borderId="0" xfId="0" applyFont="1" applyAlignment="1">
      <alignment horizontal="center" vertical="top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/>
    </xf>
    <xf numFmtId="0" fontId="16" fillId="0" borderId="158" xfId="0" applyFont="1" applyBorder="1" applyAlignment="1">
      <alignment horizontal="left" vertical="center" wrapText="1"/>
    </xf>
    <xf numFmtId="0" fontId="16" fillId="0" borderId="156" xfId="0" applyFont="1" applyBorder="1" applyAlignment="1">
      <alignment horizontal="left" vertical="center" wrapText="1"/>
    </xf>
    <xf numFmtId="0" fontId="16" fillId="0" borderId="2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16" fillId="0" borderId="155" xfId="0" applyFont="1" applyBorder="1" applyAlignment="1">
      <alignment horizontal="left" vertical="center" wrapText="1"/>
    </xf>
    <xf numFmtId="0" fontId="16" fillId="0" borderId="40" xfId="0" applyFont="1" applyBorder="1" applyAlignment="1">
      <alignment horizontal="left" vertical="center" wrapText="1"/>
    </xf>
    <xf numFmtId="0" fontId="16" fillId="0" borderId="119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8" fillId="0" borderId="15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83" xfId="0" applyFont="1" applyBorder="1" applyAlignment="1">
      <alignment horizontal="center" vertical="center"/>
    </xf>
    <xf numFmtId="0" fontId="18" fillId="0" borderId="46" xfId="0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textRotation="90"/>
    </xf>
    <xf numFmtId="0" fontId="3" fillId="0" borderId="6" xfId="0" applyFont="1" applyBorder="1" applyAlignment="1">
      <alignment horizontal="center" vertical="center" textRotation="90"/>
    </xf>
    <xf numFmtId="0" fontId="3" fillId="0" borderId="8" xfId="0" applyFont="1" applyBorder="1" applyAlignment="1">
      <alignment horizontal="center" vertical="center" textRotation="90"/>
    </xf>
    <xf numFmtId="0" fontId="3" fillId="0" borderId="34" xfId="0" applyFont="1" applyBorder="1" applyAlignment="1">
      <alignment horizontal="center" vertical="center" textRotation="90"/>
    </xf>
    <xf numFmtId="0" fontId="17" fillId="0" borderId="91" xfId="0" applyFont="1" applyBorder="1" applyAlignment="1">
      <alignment horizontal="center" vertical="center"/>
    </xf>
    <xf numFmtId="0" fontId="17" fillId="0" borderId="55" xfId="0" applyFont="1" applyBorder="1" applyAlignment="1">
      <alignment horizontal="center" vertical="center"/>
    </xf>
    <xf numFmtId="0" fontId="12" fillId="0" borderId="91" xfId="0" applyFont="1" applyBorder="1" applyAlignment="1">
      <alignment horizontal="center" vertical="center"/>
    </xf>
    <xf numFmtId="0" fontId="12" fillId="0" borderId="5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7" fillId="0" borderId="92" xfId="0" applyFont="1" applyBorder="1" applyAlignment="1">
      <alignment horizontal="center" vertical="center"/>
    </xf>
    <xf numFmtId="0" fontId="12" fillId="0" borderId="92" xfId="0" applyFont="1" applyBorder="1" applyAlignment="1">
      <alignment horizontal="center" vertical="center"/>
    </xf>
    <xf numFmtId="0" fontId="16" fillId="0" borderId="84" xfId="0" applyFont="1" applyBorder="1" applyAlignment="1">
      <alignment horizontal="left" vertical="center" wrapText="1"/>
    </xf>
    <xf numFmtId="0" fontId="16" fillId="0" borderId="88" xfId="0" applyFont="1" applyBorder="1" applyAlignment="1">
      <alignment horizontal="left" vertical="center" wrapText="1"/>
    </xf>
    <xf numFmtId="0" fontId="16" fillId="0" borderId="83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85" xfId="0" applyFont="1" applyBorder="1" applyAlignment="1">
      <alignment horizontal="left" vertical="center"/>
    </xf>
    <xf numFmtId="0" fontId="20" fillId="0" borderId="91" xfId="0" applyFont="1" applyBorder="1" applyAlignment="1">
      <alignment horizontal="left" vertical="center" textRotation="255"/>
    </xf>
    <xf numFmtId="0" fontId="20" fillId="0" borderId="92" xfId="0" applyFont="1" applyBorder="1" applyAlignment="1">
      <alignment horizontal="left" vertical="center" textRotation="255"/>
    </xf>
    <xf numFmtId="0" fontId="20" fillId="0" borderId="55" xfId="0" applyFont="1" applyBorder="1" applyAlignment="1">
      <alignment horizontal="left" vertical="center" textRotation="255"/>
    </xf>
    <xf numFmtId="0" fontId="2" fillId="7" borderId="49" xfId="0" applyFont="1" applyFill="1" applyBorder="1" applyAlignment="1">
      <alignment horizontal="center" vertical="center"/>
    </xf>
    <xf numFmtId="0" fontId="2" fillId="7" borderId="48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/>
    </xf>
    <xf numFmtId="0" fontId="16" fillId="0" borderId="155" xfId="0" applyFont="1" applyBorder="1" applyAlignment="1">
      <alignment horizontal="left" vertical="center"/>
    </xf>
    <xf numFmtId="0" fontId="16" fillId="0" borderId="40" xfId="0" applyFont="1" applyBorder="1" applyAlignment="1">
      <alignment horizontal="left" vertical="center"/>
    </xf>
    <xf numFmtId="0" fontId="16" fillId="0" borderId="119" xfId="0" applyFont="1" applyBorder="1" applyAlignment="1">
      <alignment horizontal="left" vertical="center"/>
    </xf>
    <xf numFmtId="0" fontId="2" fillId="2" borderId="2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02" fillId="10" borderId="78" xfId="0" applyFont="1" applyFill="1" applyBorder="1" applyAlignment="1">
      <alignment horizontal="center"/>
    </xf>
    <xf numFmtId="0" fontId="102" fillId="10" borderId="61" xfId="0" applyFont="1" applyFill="1" applyBorder="1" applyAlignment="1">
      <alignment horizontal="center"/>
    </xf>
    <xf numFmtId="0" fontId="103" fillId="11" borderId="68" xfId="0" applyFont="1" applyFill="1" applyBorder="1" applyAlignment="1">
      <alignment horizontal="center" vertical="center"/>
    </xf>
    <xf numFmtId="0" fontId="103" fillId="11" borderId="69" xfId="0" applyFont="1" applyFill="1" applyBorder="1" applyAlignment="1">
      <alignment horizontal="center" vertical="center"/>
    </xf>
  </cellXfs>
  <cellStyles count="6">
    <cellStyle name="Comma" xfId="2" builtinId="3"/>
    <cellStyle name="Hyperlink" xfId="1" builtinId="8"/>
    <cellStyle name="Hyperlink 3" xfId="4" xr:uid="{00000000-0005-0000-0000-000002000000}"/>
    <cellStyle name="Normal" xfId="0" builtinId="0"/>
    <cellStyle name="Normal 3" xfId="3" xr:uid="{00000000-0005-0000-0000-000004000000}"/>
    <cellStyle name="Percent" xfId="5" builtinId="5"/>
  </cellStyles>
  <dxfs count="12">
    <dxf>
      <font>
        <b/>
        <i val="0"/>
        <color rgb="FFFF0000"/>
      </font>
      <fill>
        <patternFill>
          <bgColor rgb="FFFFFF00"/>
        </patternFill>
      </fill>
    </dxf>
    <dxf>
      <font>
        <strike/>
        <u val="double"/>
        <color rgb="FFFF0000"/>
      </font>
    </dxf>
    <dxf>
      <font>
        <strike/>
        <u val="double"/>
        <color rgb="FFFF0000"/>
      </font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ont>
        <color rgb="FFFF0000"/>
      </font>
    </dxf>
  </dxfs>
  <tableStyles count="0" defaultTableStyle="TableStyleMedium2" defaultPivotStyle="PivotStyleMedium9"/>
  <colors>
    <mruColors>
      <color rgb="FFFFFF99"/>
      <color rgb="FF008000"/>
      <color rgb="FFFFCC00"/>
      <color rgb="FFCC3300"/>
      <color rgb="FFDB1212"/>
      <color rgb="FF82D8ED"/>
      <color rgb="FFE4E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fmlaLink="$J$96" lockText="1" noThreeD="1"/>
</file>

<file path=xl/ctrlProps/ctrlProp2.xml><?xml version="1.0" encoding="utf-8"?>
<formControlPr xmlns="http://schemas.microsoft.com/office/spreadsheetml/2009/9/main" objectType="CheckBox" fmlaLink="$J$97" lockText="1" noThreeD="1"/>
</file>

<file path=xl/ctrlProps/ctrlProp3.xml><?xml version="1.0" encoding="utf-8"?>
<formControlPr xmlns="http://schemas.microsoft.com/office/spreadsheetml/2009/9/main" objectType="CheckBox" fmlaLink="$K$108" lockText="1" noThreeD="1"/>
</file>

<file path=xl/ctrlProps/ctrlProp4.xml><?xml version="1.0" encoding="utf-8"?>
<formControlPr xmlns="http://schemas.microsoft.com/office/spreadsheetml/2009/9/main" objectType="CheckBox" fmlaLink="$J$98" lockText="1" noThreeD="1"/>
</file>

<file path=xl/ctrlProps/ctrlProp5.xml><?xml version="1.0" encoding="utf-8"?>
<formControlPr xmlns="http://schemas.microsoft.com/office/spreadsheetml/2009/9/main" objectType="CheckBox" fmlaLink="$C$12" lockText="1" noThreeD="1"/>
</file>

<file path=xl/ctrlProps/ctrlProp6.xml><?xml version="1.0" encoding="utf-8"?>
<formControlPr xmlns="http://schemas.microsoft.com/office/spreadsheetml/2009/9/main" objectType="CheckBox" fmlaLink="$N$84" lockText="1" noThreeD="1"/>
</file>

<file path=xl/ctrlProps/ctrlProp7.xml><?xml version="1.0" encoding="utf-8"?>
<formControlPr xmlns="http://schemas.microsoft.com/office/spreadsheetml/2009/9/main" objectType="CheckBox" fmlaLink="$L$60" lockText="1" noThreeD="1"/>
</file>

<file path=xl/ctrlProps/ctrlProp8.xml><?xml version="1.0" encoding="utf-8"?>
<formControlPr xmlns="http://schemas.microsoft.com/office/spreadsheetml/2009/9/main" objectType="CheckBox" fmlaLink="$L$73" lockText="1" noThreeD="1"/>
</file>

<file path=xl/ctrlProps/ctrlProp9.xml><?xml version="1.0" encoding="utf-8"?>
<formControlPr xmlns="http://schemas.microsoft.com/office/spreadsheetml/2009/9/main" objectType="CheckBox" fmlaLink="$N$86" lockText="1" noThreeD="1"/>
</file>

<file path=xl/ctrlProps/ctrlProp10.xml><?xml version="1.0" encoding="utf-8"?>
<formControlPr xmlns="http://schemas.microsoft.com/office/spreadsheetml/2009/9/main" objectType="CheckBox" fmlaLink="$N$88" lockText="1" noThreeD="1"/>
</file>

<file path=xl/ctrlProps/ctrlProp11.xml><?xml version="1.0" encoding="utf-8"?>
<formControlPr xmlns="http://schemas.microsoft.com/office/spreadsheetml/2009/9/main" objectType="CheckBox" fmlaLink="$N$90" lockText="1" noThreeD="1"/>
</file>

<file path=xl/ctrlProps/ctrlProp12.xml><?xml version="1.0" encoding="utf-8"?>
<formControlPr xmlns="http://schemas.microsoft.com/office/spreadsheetml/2009/9/main" objectType="CheckBox" fmlaLink="$N$92" lockText="1" noThreeD="1"/>
</file>

<file path=xl/ctrlProps/ctrlProp13.xml><?xml version="1.0" encoding="utf-8"?>
<formControlPr xmlns="http://schemas.microsoft.com/office/spreadsheetml/2009/9/main" objectType="Radio" checked="Checked" firstButton="1" fmlaLink="$N$108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fmlaLink="$K$49" lockText="1" noThreeD="1"/>
</file>

<file path=xl/ctrlProps/ctrlProp19.xml><?xml version="1.0" encoding="utf-8"?>
<formControlPr xmlns="http://schemas.microsoft.com/office/spreadsheetml/2009/9/main" objectType="CheckBox" checked="Checked" fmlaLink="$K$33" lockText="1" noThreeD="1"/>
</file>

<file path=xl/ctrlProps/ctrlProp20.xml><?xml version="1.0" encoding="utf-8"?>
<formControlPr xmlns="http://schemas.microsoft.com/office/spreadsheetml/2009/9/main" objectType="CheckBox" checked="Checked" fmlaLink="$K$41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fmlaLink="$K$38" lockText="1" noThreeD="1"/>
</file>

<file path=xl/ctrlProps/ctrlProp24.xml><?xml version="1.0" encoding="utf-8"?>
<formControlPr xmlns="http://schemas.microsoft.com/office/spreadsheetml/2009/9/main" objectType="CheckBox" checked="Checked" fmlaLink="$K$38" lockText="1" noThreeD="1"/>
</file>

<file path=xl/ctrlProps/ctrlProp25.xml><?xml version="1.0" encoding="utf-8"?>
<formControlPr xmlns="http://schemas.microsoft.com/office/spreadsheetml/2009/9/main" objectType="CheckBox" checked="Checked" fmlaLink="$K$38" lockText="1" noThreeD="1"/>
</file>

<file path=xl/ctrlProps/ctrlProp26.xml><?xml version="1.0" encoding="utf-8"?>
<formControlPr xmlns="http://schemas.microsoft.com/office/spreadsheetml/2009/9/main" objectType="Spin" dx="22" fmlaLink="$F$7" max="22039" min="1004" page="10" val="9144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95</xdr:row>
          <xdr:rowOff>0</xdr:rowOff>
        </xdr:from>
        <xdr:to>
          <xdr:col>9</xdr:col>
          <xdr:colOff>638175</xdr:colOff>
          <xdr:row>96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61</xdr:row>
          <xdr:rowOff>0</xdr:rowOff>
        </xdr:from>
        <xdr:to>
          <xdr:col>13</xdr:col>
          <xdr:colOff>771525</xdr:colOff>
          <xdr:row>61</xdr:row>
          <xdr:rowOff>257175</xdr:rowOff>
        </xdr:to>
        <xdr:sp macro="" textlink="">
          <xdr:nvSpPr>
            <xdr:cNvPr id="1103" name="CommandButton5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5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96</xdr:row>
          <xdr:rowOff>19050</xdr:rowOff>
        </xdr:from>
        <xdr:to>
          <xdr:col>9</xdr:col>
          <xdr:colOff>504825</xdr:colOff>
          <xdr:row>96</xdr:row>
          <xdr:rowOff>190500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107</xdr:row>
          <xdr:rowOff>95250</xdr:rowOff>
        </xdr:from>
        <xdr:to>
          <xdr:col>10</xdr:col>
          <xdr:colOff>609600</xdr:colOff>
          <xdr:row>108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96</xdr:row>
          <xdr:rowOff>209550</xdr:rowOff>
        </xdr:from>
        <xdr:to>
          <xdr:col>9</xdr:col>
          <xdr:colOff>638175</xdr:colOff>
          <xdr:row>97</xdr:row>
          <xdr:rowOff>209550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10</xdr:row>
          <xdr:rowOff>209550</xdr:rowOff>
        </xdr:from>
        <xdr:to>
          <xdr:col>3</xdr:col>
          <xdr:colOff>209550</xdr:colOff>
          <xdr:row>11</xdr:row>
          <xdr:rowOff>209550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5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83</xdr:row>
          <xdr:rowOff>9525</xdr:rowOff>
        </xdr:from>
        <xdr:to>
          <xdr:col>13</xdr:col>
          <xdr:colOff>495300</xdr:colOff>
          <xdr:row>83</xdr:row>
          <xdr:rowOff>209550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5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59</xdr:row>
          <xdr:rowOff>95250</xdr:rowOff>
        </xdr:from>
        <xdr:to>
          <xdr:col>11</xdr:col>
          <xdr:colOff>552450</xdr:colOff>
          <xdr:row>60</xdr:row>
          <xdr:rowOff>95250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5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72</xdr:row>
          <xdr:rowOff>9525</xdr:rowOff>
        </xdr:from>
        <xdr:to>
          <xdr:col>11</xdr:col>
          <xdr:colOff>533400</xdr:colOff>
          <xdr:row>72</xdr:row>
          <xdr:rowOff>180975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5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9525</xdr:rowOff>
        </xdr:from>
        <xdr:to>
          <xdr:col>12</xdr:col>
          <xdr:colOff>923925</xdr:colOff>
          <xdr:row>13</xdr:row>
          <xdr:rowOff>200025</xdr:rowOff>
        </xdr:to>
        <xdr:sp macro="" textlink="">
          <xdr:nvSpPr>
            <xdr:cNvPr id="1099" name="CommandButton1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5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9525</xdr:rowOff>
        </xdr:from>
        <xdr:to>
          <xdr:col>10</xdr:col>
          <xdr:colOff>923925</xdr:colOff>
          <xdr:row>13</xdr:row>
          <xdr:rowOff>200025</xdr:rowOff>
        </xdr:to>
        <xdr:sp macro="" textlink="">
          <xdr:nvSpPr>
            <xdr:cNvPr id="1100" name="CommandButton2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5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21</xdr:row>
          <xdr:rowOff>9525</xdr:rowOff>
        </xdr:from>
        <xdr:to>
          <xdr:col>12</xdr:col>
          <xdr:colOff>923925</xdr:colOff>
          <xdr:row>21</xdr:row>
          <xdr:rowOff>200025</xdr:rowOff>
        </xdr:to>
        <xdr:sp macro="" textlink="">
          <xdr:nvSpPr>
            <xdr:cNvPr id="1101" name="CommandButton3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5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21</xdr:row>
          <xdr:rowOff>9525</xdr:rowOff>
        </xdr:from>
        <xdr:to>
          <xdr:col>10</xdr:col>
          <xdr:colOff>923925</xdr:colOff>
          <xdr:row>21</xdr:row>
          <xdr:rowOff>200025</xdr:rowOff>
        </xdr:to>
        <xdr:sp macro="" textlink="">
          <xdr:nvSpPr>
            <xdr:cNvPr id="1102" name="CommandButton4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5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15</xdr:row>
          <xdr:rowOff>9525</xdr:rowOff>
        </xdr:from>
        <xdr:to>
          <xdr:col>12</xdr:col>
          <xdr:colOff>923925</xdr:colOff>
          <xdr:row>15</xdr:row>
          <xdr:rowOff>200025</xdr:rowOff>
        </xdr:to>
        <xdr:sp macro="" textlink="">
          <xdr:nvSpPr>
            <xdr:cNvPr id="1130" name="CommandButton7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5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17</xdr:row>
          <xdr:rowOff>9525</xdr:rowOff>
        </xdr:from>
        <xdr:to>
          <xdr:col>12</xdr:col>
          <xdr:colOff>923925</xdr:colOff>
          <xdr:row>17</xdr:row>
          <xdr:rowOff>200025</xdr:rowOff>
        </xdr:to>
        <xdr:sp macro="" textlink="">
          <xdr:nvSpPr>
            <xdr:cNvPr id="1131" name="CommandButton8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5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15</xdr:row>
          <xdr:rowOff>9525</xdr:rowOff>
        </xdr:from>
        <xdr:to>
          <xdr:col>10</xdr:col>
          <xdr:colOff>923925</xdr:colOff>
          <xdr:row>15</xdr:row>
          <xdr:rowOff>200025</xdr:rowOff>
        </xdr:to>
        <xdr:sp macro="" textlink="">
          <xdr:nvSpPr>
            <xdr:cNvPr id="1132" name="CommandButton9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5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17</xdr:row>
          <xdr:rowOff>9525</xdr:rowOff>
        </xdr:from>
        <xdr:to>
          <xdr:col>10</xdr:col>
          <xdr:colOff>923925</xdr:colOff>
          <xdr:row>17</xdr:row>
          <xdr:rowOff>200025</xdr:rowOff>
        </xdr:to>
        <xdr:sp macro="" textlink="">
          <xdr:nvSpPr>
            <xdr:cNvPr id="1133" name="CommandButton10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5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23</xdr:row>
          <xdr:rowOff>9525</xdr:rowOff>
        </xdr:from>
        <xdr:to>
          <xdr:col>10</xdr:col>
          <xdr:colOff>923925</xdr:colOff>
          <xdr:row>23</xdr:row>
          <xdr:rowOff>200025</xdr:rowOff>
        </xdr:to>
        <xdr:sp macro="" textlink="">
          <xdr:nvSpPr>
            <xdr:cNvPr id="1134" name="CommandButton11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5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25</xdr:row>
          <xdr:rowOff>9525</xdr:rowOff>
        </xdr:from>
        <xdr:to>
          <xdr:col>10</xdr:col>
          <xdr:colOff>923925</xdr:colOff>
          <xdr:row>25</xdr:row>
          <xdr:rowOff>200025</xdr:rowOff>
        </xdr:to>
        <xdr:sp macro="" textlink="">
          <xdr:nvSpPr>
            <xdr:cNvPr id="1135" name="CommandButton12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5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23</xdr:row>
          <xdr:rowOff>9525</xdr:rowOff>
        </xdr:from>
        <xdr:to>
          <xdr:col>12</xdr:col>
          <xdr:colOff>923925</xdr:colOff>
          <xdr:row>23</xdr:row>
          <xdr:rowOff>200025</xdr:rowOff>
        </xdr:to>
        <xdr:sp macro="" textlink="">
          <xdr:nvSpPr>
            <xdr:cNvPr id="1137" name="CommandButton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5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25</xdr:row>
          <xdr:rowOff>9525</xdr:rowOff>
        </xdr:from>
        <xdr:to>
          <xdr:col>12</xdr:col>
          <xdr:colOff>923925</xdr:colOff>
          <xdr:row>25</xdr:row>
          <xdr:rowOff>200025</xdr:rowOff>
        </xdr:to>
        <xdr:sp macro="" textlink="">
          <xdr:nvSpPr>
            <xdr:cNvPr id="1138" name="CommandButton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5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89</xdr:row>
          <xdr:rowOff>9525</xdr:rowOff>
        </xdr:from>
        <xdr:to>
          <xdr:col>17</xdr:col>
          <xdr:colOff>752475</xdr:colOff>
          <xdr:row>90</xdr:row>
          <xdr:rowOff>200025</xdr:rowOff>
        </xdr:to>
        <xdr:sp macro="" textlink="">
          <xdr:nvSpPr>
            <xdr:cNvPr id="1143" name="CommandButton16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5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85</xdr:row>
          <xdr:rowOff>9525</xdr:rowOff>
        </xdr:from>
        <xdr:to>
          <xdr:col>13</xdr:col>
          <xdr:colOff>495300</xdr:colOff>
          <xdr:row>85</xdr:row>
          <xdr:rowOff>209550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5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87</xdr:row>
          <xdr:rowOff>9525</xdr:rowOff>
        </xdr:from>
        <xdr:to>
          <xdr:col>13</xdr:col>
          <xdr:colOff>495300</xdr:colOff>
          <xdr:row>87</xdr:row>
          <xdr:rowOff>209550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5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89</xdr:row>
          <xdr:rowOff>9525</xdr:rowOff>
        </xdr:from>
        <xdr:to>
          <xdr:col>13</xdr:col>
          <xdr:colOff>495300</xdr:colOff>
          <xdr:row>89</xdr:row>
          <xdr:rowOff>209550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5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91</xdr:row>
          <xdr:rowOff>9525</xdr:rowOff>
        </xdr:from>
        <xdr:to>
          <xdr:col>13</xdr:col>
          <xdr:colOff>495300</xdr:colOff>
          <xdr:row>91</xdr:row>
          <xdr:rowOff>209550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5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106</xdr:row>
          <xdr:rowOff>209550</xdr:rowOff>
        </xdr:from>
        <xdr:to>
          <xdr:col>13</xdr:col>
          <xdr:colOff>561975</xdr:colOff>
          <xdr:row>107</xdr:row>
          <xdr:rowOff>209550</xdr:rowOff>
        </xdr:to>
        <xdr:sp macro="" textlink="">
          <xdr:nvSpPr>
            <xdr:cNvPr id="1164" name="Option 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5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7030A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107</xdr:row>
          <xdr:rowOff>209550</xdr:rowOff>
        </xdr:from>
        <xdr:to>
          <xdr:col>13</xdr:col>
          <xdr:colOff>561975</xdr:colOff>
          <xdr:row>108</xdr:row>
          <xdr:rowOff>209550</xdr:rowOff>
        </xdr:to>
        <xdr:sp macro="" textlink="">
          <xdr:nvSpPr>
            <xdr:cNvPr id="1165" name="Option 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5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7030A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15</xdr:row>
          <xdr:rowOff>104775</xdr:rowOff>
        </xdr:from>
        <xdr:to>
          <xdr:col>9</xdr:col>
          <xdr:colOff>381000</xdr:colOff>
          <xdr:row>15</xdr:row>
          <xdr:rowOff>257175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16</xdr:row>
          <xdr:rowOff>104775</xdr:rowOff>
        </xdr:from>
        <xdr:to>
          <xdr:col>9</xdr:col>
          <xdr:colOff>381000</xdr:colOff>
          <xdr:row>16</xdr:row>
          <xdr:rowOff>257175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17</xdr:row>
          <xdr:rowOff>104775</xdr:rowOff>
        </xdr:from>
        <xdr:to>
          <xdr:col>9</xdr:col>
          <xdr:colOff>381000</xdr:colOff>
          <xdr:row>17</xdr:row>
          <xdr:rowOff>257175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48</xdr:row>
          <xdr:rowOff>95250</xdr:rowOff>
        </xdr:from>
        <xdr:to>
          <xdr:col>10</xdr:col>
          <xdr:colOff>266700</xdr:colOff>
          <xdr:row>48</xdr:row>
          <xdr:rowOff>276225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32</xdr:row>
          <xdr:rowOff>85725</xdr:rowOff>
        </xdr:from>
        <xdr:to>
          <xdr:col>10</xdr:col>
          <xdr:colOff>266700</xdr:colOff>
          <xdr:row>32</xdr:row>
          <xdr:rowOff>276225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40</xdr:row>
          <xdr:rowOff>85725</xdr:rowOff>
        </xdr:from>
        <xdr:to>
          <xdr:col>10</xdr:col>
          <xdr:colOff>257175</xdr:colOff>
          <xdr:row>40</xdr:row>
          <xdr:rowOff>276225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6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18</xdr:row>
          <xdr:rowOff>104775</xdr:rowOff>
        </xdr:from>
        <xdr:to>
          <xdr:col>9</xdr:col>
          <xdr:colOff>381000</xdr:colOff>
          <xdr:row>18</xdr:row>
          <xdr:rowOff>257175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6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19</xdr:row>
          <xdr:rowOff>104775</xdr:rowOff>
        </xdr:from>
        <xdr:to>
          <xdr:col>9</xdr:col>
          <xdr:colOff>381000</xdr:colOff>
          <xdr:row>19</xdr:row>
          <xdr:rowOff>257175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6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819150</xdr:colOff>
          <xdr:row>35</xdr:row>
          <xdr:rowOff>333375</xdr:rowOff>
        </xdr:from>
        <xdr:to>
          <xdr:col>11</xdr:col>
          <xdr:colOff>1847850</xdr:colOff>
          <xdr:row>37</xdr:row>
          <xdr:rowOff>0</xdr:rowOff>
        </xdr:to>
        <xdr:sp macro="" textlink="">
          <xdr:nvSpPr>
            <xdr:cNvPr id="2063" name="CommandButton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6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9526</xdr:rowOff>
    </xdr:from>
    <xdr:to>
      <xdr:col>8</xdr:col>
      <xdr:colOff>800100</xdr:colOff>
      <xdr:row>3</xdr:row>
      <xdr:rowOff>200025</xdr:rowOff>
    </xdr:to>
    <xdr:pic>
      <xdr:nvPicPr>
        <xdr:cNvPr id="2" name="Picture 142416827" descr="logo-left">
          <a:extLst>
            <a:ext uri="{FF2B5EF4-FFF2-40B4-BE49-F238E27FC236}">
              <a16:creationId xmlns:a16="http://schemas.microsoft.com/office/drawing/2014/main" id="{0673EF8C-AD05-4FA7-870E-168BE3A9489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0" y="200026"/>
          <a:ext cx="733425" cy="714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123825</xdr:colOff>
      <xdr:row>1</xdr:row>
      <xdr:rowOff>9526</xdr:rowOff>
    </xdr:from>
    <xdr:to>
      <xdr:col>2</xdr:col>
      <xdr:colOff>628650</xdr:colOff>
      <xdr:row>3</xdr:row>
      <xdr:rowOff>219075</xdr:rowOff>
    </xdr:to>
    <xdr:pic>
      <xdr:nvPicPr>
        <xdr:cNvPr id="3" name="Picture 1341251253" descr="download">
          <a:extLst>
            <a:ext uri="{FF2B5EF4-FFF2-40B4-BE49-F238E27FC236}">
              <a16:creationId xmlns:a16="http://schemas.microsoft.com/office/drawing/2014/main" id="{05CA5AC9-7D2B-4F38-9ECD-4FD464CB6EAE}"/>
            </a:ext>
            <a:ext uri="{147F2762-F138-4A5C-976F-8EAC2B608ADB}">
              <a16:predDERef xmlns:a16="http://schemas.microsoft.com/office/drawing/2014/main" pred="{BFA905DC-369D-4E6A-946D-70BBEB24C44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0026"/>
          <a:ext cx="504825" cy="73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19050</xdr:colOff>
      <xdr:row>3</xdr:row>
      <xdr:rowOff>228600</xdr:rowOff>
    </xdr:from>
    <xdr:to>
      <xdr:col>8</xdr:col>
      <xdr:colOff>857250</xdr:colOff>
      <xdr:row>3</xdr:row>
      <xdr:rowOff>228600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32B81B2-1D3A-457E-BA19-A44C40AF92DF}"/>
            </a:ext>
            <a:ext uri="{147F2762-F138-4A5C-976F-8EAC2B608ADB}">
              <a16:predDERef xmlns:a16="http://schemas.microsoft.com/office/drawing/2014/main" pred="{73FA1333-830D-4AE3-82A7-8E569BC7C637}"/>
            </a:ext>
          </a:extLst>
        </xdr:cNvPr>
        <xdr:cNvCxnSpPr/>
      </xdr:nvCxnSpPr>
      <xdr:spPr>
        <a:xfrm>
          <a:off x="1114425" y="942975"/>
          <a:ext cx="62103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36</xdr:row>
          <xdr:rowOff>180975</xdr:rowOff>
        </xdr:from>
        <xdr:to>
          <xdr:col>10</xdr:col>
          <xdr:colOff>552450</xdr:colOff>
          <xdr:row>38</xdr:row>
          <xdr:rowOff>0</xdr:rowOff>
        </xdr:to>
        <xdr:sp macro="" textlink="">
          <xdr:nvSpPr>
            <xdr:cNvPr id="22529" name="Check Box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37</xdr:row>
          <xdr:rowOff>190500</xdr:rowOff>
        </xdr:from>
        <xdr:to>
          <xdr:col>10</xdr:col>
          <xdr:colOff>552450</xdr:colOff>
          <xdr:row>39</xdr:row>
          <xdr:rowOff>9525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38</xdr:row>
          <xdr:rowOff>180975</xdr:rowOff>
        </xdr:from>
        <xdr:to>
          <xdr:col>10</xdr:col>
          <xdr:colOff>552450</xdr:colOff>
          <xdr:row>40</xdr:row>
          <xdr:rowOff>0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7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0</xdr:row>
      <xdr:rowOff>0</xdr:rowOff>
    </xdr:from>
    <xdr:to>
      <xdr:col>14</xdr:col>
      <xdr:colOff>830100</xdr:colOff>
      <xdr:row>2</xdr:row>
      <xdr:rowOff>161926</xdr:rowOff>
    </xdr:to>
    <xdr:pic>
      <xdr:nvPicPr>
        <xdr:cNvPr id="2" name="Picture 142416827" descr="logo-left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58325" y="0"/>
          <a:ext cx="792000" cy="733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161925</xdr:colOff>
      <xdr:row>0</xdr:row>
      <xdr:rowOff>0</xdr:rowOff>
    </xdr:from>
    <xdr:to>
      <xdr:col>7</xdr:col>
      <xdr:colOff>666750</xdr:colOff>
      <xdr:row>2</xdr:row>
      <xdr:rowOff>200024</xdr:rowOff>
    </xdr:to>
    <xdr:pic>
      <xdr:nvPicPr>
        <xdr:cNvPr id="3" name="Picture 1341251253" descr="download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0"/>
          <a:ext cx="504825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19050</xdr:colOff>
      <xdr:row>2</xdr:row>
      <xdr:rowOff>190500</xdr:rowOff>
    </xdr:from>
    <xdr:to>
      <xdr:col>14</xdr:col>
      <xdr:colOff>857250</xdr:colOff>
      <xdr:row>2</xdr:row>
      <xdr:rowOff>190500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3981450" y="952500"/>
          <a:ext cx="62960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0</xdr:row>
      <xdr:rowOff>47626</xdr:rowOff>
    </xdr:from>
    <xdr:to>
      <xdr:col>9</xdr:col>
      <xdr:colOff>742950</xdr:colOff>
      <xdr:row>2</xdr:row>
      <xdr:rowOff>161926</xdr:rowOff>
    </xdr:to>
    <xdr:pic>
      <xdr:nvPicPr>
        <xdr:cNvPr id="2" name="Picture 142416827" descr="logo-left">
          <a:extLst>
            <a:ext uri="{FF2B5EF4-FFF2-40B4-BE49-F238E27FC236}">
              <a16:creationId xmlns:a16="http://schemas.microsoft.com/office/drawing/2014/main" id="{F6D42DF2-592F-4BDB-B1AE-C291BF770F2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5975" y="47626"/>
          <a:ext cx="7239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142875</xdr:colOff>
      <xdr:row>0</xdr:row>
      <xdr:rowOff>76200</xdr:rowOff>
    </xdr:from>
    <xdr:to>
      <xdr:col>2</xdr:col>
      <xdr:colOff>647700</xdr:colOff>
      <xdr:row>2</xdr:row>
      <xdr:rowOff>180975</xdr:rowOff>
    </xdr:to>
    <xdr:pic>
      <xdr:nvPicPr>
        <xdr:cNvPr id="3" name="Picture 1341251253" descr="download">
          <a:extLst>
            <a:ext uri="{FF2B5EF4-FFF2-40B4-BE49-F238E27FC236}">
              <a16:creationId xmlns:a16="http://schemas.microsoft.com/office/drawing/2014/main" id="{26896333-AD20-4406-B533-3E6F622FB682}"/>
            </a:ext>
            <a:ext uri="{147F2762-F138-4A5C-976F-8EAC2B608ADB}">
              <a16:predDERef xmlns:a16="http://schemas.microsoft.com/office/drawing/2014/main" pred="{BFA905DC-369D-4E6A-946D-70BBEB24C44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76200"/>
          <a:ext cx="50482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9525</xdr:rowOff>
        </xdr:from>
        <xdr:to>
          <xdr:col>6</xdr:col>
          <xdr:colOff>0</xdr:colOff>
          <xdr:row>11</xdr:row>
          <xdr:rowOff>200025</xdr:rowOff>
        </xdr:to>
        <xdr:sp macro="" textlink="">
          <xdr:nvSpPr>
            <xdr:cNvPr id="26625" name="Spinner 1" descr="Up/Down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AF5AAFF-3223-4DD3-BA6A-82837A9AC19D}">
  <we:reference id="wa200004935" version="6.0.0.0" store="en-US" storeType="OMEX"/>
  <we:alternateReferences>
    <we:reference id="WA200004935" version="6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_xldudf_FORMULABOT_CLASSIFY</we:customFunctionIds>
        <we:customFunctionIds>_xldudf_FORMULABOT_EXTRACT</we:customFunctionIds>
        <we:customFunctionIds>_xldudf_FORMULABOT_SENTIMENT</we:customFunctionIds>
        <we:customFunctionIds>_xldudf_FORMULABOT_INFO</we:customFunctionIds>
        <we:customFunctionIds>_xldudf_FORMULABOT_FREEFORM</we:customFunctionIds>
        <we:customFunctionIds>_xldudf_FORMULABOT_INFER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3.emf"/><Relationship Id="rId34" Type="http://schemas.openxmlformats.org/officeDocument/2006/relationships/ctrlProp" Target="../ctrlProps/ctrlProp13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trlProp" Target="../ctrlProps/ctrlProp4.xml"/><Relationship Id="rId33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1.emf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3.xml"/><Relationship Id="rId32" Type="http://schemas.openxmlformats.org/officeDocument/2006/relationships/ctrlProp" Target="../ctrlProps/ctrlProp1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trlProp" Target="../ctrlProps/ctrlProp2.xml"/><Relationship Id="rId28" Type="http://schemas.openxmlformats.org/officeDocument/2006/relationships/ctrlProp" Target="../ctrlProps/ctrlProp7.xml"/><Relationship Id="rId36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trlProp" Target="../ctrlProps/ctrlProp10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8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Relationship Id="rId30" Type="http://schemas.openxmlformats.org/officeDocument/2006/relationships/ctrlProp" Target="../ctrlProps/ctrlProp9.xml"/><Relationship Id="rId35" Type="http://schemas.openxmlformats.org/officeDocument/2006/relationships/ctrlProp" Target="../ctrlProps/ctrlProp14.xml"/><Relationship Id="rId8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19.xml"/><Relationship Id="rId4" Type="http://schemas.openxmlformats.org/officeDocument/2006/relationships/control" Target="../activeX/activeX15.xml"/><Relationship Id="rId9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hyperlink" Target="mailto:cdpotlm@gmail.com" TargetMode="External"/><Relationship Id="rId299" Type="http://schemas.openxmlformats.org/officeDocument/2006/relationships/hyperlink" Target="mailto:sfkmp200@gmail.com" TargetMode="External"/><Relationship Id="rId21" Type="http://schemas.openxmlformats.org/officeDocument/2006/relationships/hyperlink" Target="mailto:ddocat14@gmail.com" TargetMode="External"/><Relationship Id="rId63" Type="http://schemas.openxmlformats.org/officeDocument/2006/relationships/hyperlink" Target="mailto:drcsgomati@gmail.com" TargetMode="External"/><Relationship Id="rId159" Type="http://schemas.openxmlformats.org/officeDocument/2006/relationships/hyperlink" Target="mailto:itikhowai@gmail.com" TargetMode="External"/><Relationship Id="rId324" Type="http://schemas.openxmlformats.org/officeDocument/2006/relationships/hyperlink" Target="mailto:sdfosadar@gmail.com" TargetMode="External"/><Relationship Id="rId366" Type="http://schemas.openxmlformats.org/officeDocument/2006/relationships/hyperlink" Target="mailto:khwtrans@gmail.com" TargetMode="External"/><Relationship Id="rId170" Type="http://schemas.openxmlformats.org/officeDocument/2006/relationships/hyperlink" Target="mailto:districticaoffice.west17@gmail.com" TargetMode="External"/><Relationship Id="rId226" Type="http://schemas.openxmlformats.org/officeDocument/2006/relationships/hyperlink" Target="mailto:ltvdivisionpwdmanu@gmail.com" TargetMode="External"/><Relationship Id="rId433" Type="http://schemas.openxmlformats.org/officeDocument/2006/relationships/hyperlink" Target="mailto:yassantirbazar@gmail.com" TargetMode="External"/><Relationship Id="rId268" Type="http://schemas.openxmlformats.org/officeDocument/2006/relationships/hyperlink" Target="mailto:wrdviiptl@gmail.com" TargetMode="External"/><Relationship Id="rId32" Type="http://schemas.openxmlformats.org/officeDocument/2006/relationships/hyperlink" Target="mailto:hortiwest_86@yahoo.co.in" TargetMode="External"/><Relationship Id="rId74" Type="http://schemas.openxmlformats.org/officeDocument/2006/relationships/hyperlink" Target="mailto:cdpodmnnp@gmail.com" TargetMode="External"/><Relationship Id="rId128" Type="http://schemas.openxmlformats.org/officeDocument/2006/relationships/hyperlink" Target="mailto:ddyasdhalai@gmail.com" TargetMode="External"/><Relationship Id="rId335" Type="http://schemas.openxmlformats.org/officeDocument/2006/relationships/hyperlink" Target="mailto:sdfobagafa@gmail.com" TargetMode="External"/><Relationship Id="rId377" Type="http://schemas.openxmlformats.org/officeDocument/2006/relationships/hyperlink" Target="mailto:tribalwelfareagt@gmail.com" TargetMode="External"/><Relationship Id="rId5" Type="http://schemas.openxmlformats.org/officeDocument/2006/relationships/hyperlink" Target="mailto:ddadhalai@gmail.com" TargetMode="External"/><Relationship Id="rId181" Type="http://schemas.openxmlformats.org/officeDocument/2006/relationships/hyperlink" Target="mailto:deedhalai1996@gmail.com" TargetMode="External"/><Relationship Id="rId237" Type="http://schemas.openxmlformats.org/officeDocument/2006/relationships/hyperlink" Target="mailto:eeccdpwd@gmail.com" TargetMode="External"/><Relationship Id="rId402" Type="http://schemas.openxmlformats.org/officeDocument/2006/relationships/hyperlink" Target="mailto:brmgtps@gmail.com" TargetMode="External"/><Relationship Id="rId279" Type="http://schemas.openxmlformats.org/officeDocument/2006/relationships/hyperlink" Target="mailto:rajibsouthexcise@gmail.com" TargetMode="External"/><Relationship Id="rId43" Type="http://schemas.openxmlformats.org/officeDocument/2006/relationships/hyperlink" Target="mailto:adarddkhw1111@gmail.com" TargetMode="External"/><Relationship Id="rId139" Type="http://schemas.openxmlformats.org/officeDocument/2006/relationships/hyperlink" Target="mailto:akinchansarkar@yahoo.co.in" TargetMode="External"/><Relationship Id="rId290" Type="http://schemas.openxmlformats.org/officeDocument/2006/relationships/hyperlink" Target="mailto:stobelonia@gmail.com" TargetMode="External"/><Relationship Id="rId304" Type="http://schemas.openxmlformats.org/officeDocument/2006/relationships/hyperlink" Target="mailto:printftifisheries-tr@gov.in" TargetMode="External"/><Relationship Id="rId346" Type="http://schemas.openxmlformats.org/officeDocument/2006/relationships/hyperlink" Target="mailto:cdpohsm@gmail.com" TargetMode="External"/><Relationship Id="rId388" Type="http://schemas.openxmlformats.org/officeDocument/2006/relationships/hyperlink" Target="mailto:ptgdhalaitrdivision@yahoo.com" TargetMode="External"/><Relationship Id="rId85" Type="http://schemas.openxmlformats.org/officeDocument/2006/relationships/hyperlink" Target="mailto:cdpokh@gmail.com" TargetMode="External"/><Relationship Id="rId150" Type="http://schemas.openxmlformats.org/officeDocument/2006/relationships/hyperlink" Target="mailto:itiltvalley2017@gmail.com" TargetMode="External"/><Relationship Id="rId192" Type="http://schemas.openxmlformats.org/officeDocument/2006/relationships/hyperlink" Target="mailto:dpo.dhalai44@gmail.com" TargetMode="External"/><Relationship Id="rId206" Type="http://schemas.openxmlformats.org/officeDocument/2006/relationships/hyperlink" Target="mailto:srosabroom14@gmail.com" TargetMode="External"/><Relationship Id="rId413" Type="http://schemas.openxmlformats.org/officeDocument/2006/relationships/hyperlink" Target="mailto:sod.tsecl@gmail.com" TargetMode="External"/><Relationship Id="rId248" Type="http://schemas.openxmlformats.org/officeDocument/2006/relationships/hyperlink" Target="mailto:erbjnd123@gmail.com" TargetMode="External"/><Relationship Id="rId12" Type="http://schemas.openxmlformats.org/officeDocument/2006/relationships/hyperlink" Target="mailto:ddawest2015@gmail.com" TargetMode="External"/><Relationship Id="rId108" Type="http://schemas.openxmlformats.org/officeDocument/2006/relationships/hyperlink" Target="mailto:cdposatchand@gmail.com" TargetMode="External"/><Relationship Id="rId315" Type="http://schemas.openxmlformats.org/officeDocument/2006/relationships/hyperlink" Target="mailto:dclm.udp@gmail.com" TargetMode="External"/><Relationship Id="rId357" Type="http://schemas.openxmlformats.org/officeDocument/2006/relationships/hyperlink" Target="mailto:exciseunakoti@gmail.com" TargetMode="External"/><Relationship Id="rId54" Type="http://schemas.openxmlformats.org/officeDocument/2006/relationships/hyperlink" Target="mailto:adarddtlm205@gmail.com" TargetMode="External"/><Relationship Id="rId96" Type="http://schemas.openxmlformats.org/officeDocument/2006/relationships/hyperlink" Target="mailto:awtc.ngr@gmail.com" TargetMode="External"/><Relationship Id="rId161" Type="http://schemas.openxmlformats.org/officeDocument/2006/relationships/hyperlink" Target="mailto:cdpomnd@gmail.com" TargetMode="External"/><Relationship Id="rId217" Type="http://schemas.openxmlformats.org/officeDocument/2006/relationships/hyperlink" Target="mailto:serdc.agt@gmail.com" TargetMode="External"/><Relationship Id="rId399" Type="http://schemas.openxmlformats.org/officeDocument/2006/relationships/hyperlink" Target="mailto:tsecldgmed3@gmail.com" TargetMode="External"/><Relationship Id="rId259" Type="http://schemas.openxmlformats.org/officeDocument/2006/relationships/hyperlink" Target="mailto:eenhstb@gmail.com" TargetMode="External"/><Relationship Id="rId424" Type="http://schemas.openxmlformats.org/officeDocument/2006/relationships/hyperlink" Target="mailto:principalitibelonia@gmail.com" TargetMode="External"/><Relationship Id="rId23" Type="http://schemas.openxmlformats.org/officeDocument/2006/relationships/hyperlink" Target="mailto:supdthortikcp@gmail.com" TargetMode="External"/><Relationship Id="rId119" Type="http://schemas.openxmlformats.org/officeDocument/2006/relationships/hyperlink" Target="mailto:cdpomk@gmail.com" TargetMode="External"/><Relationship Id="rId270" Type="http://schemas.openxmlformats.org/officeDocument/2006/relationships/hyperlink" Target="mailto:eedwsdmn@gmail.com" TargetMode="External"/><Relationship Id="rId326" Type="http://schemas.openxmlformats.org/officeDocument/2006/relationships/hyperlink" Target="mailto:sdfoamarpur@outlook.com" TargetMode="External"/><Relationship Id="rId65" Type="http://schemas.openxmlformats.org/officeDocument/2006/relationships/hyperlink" Target="mailto:drcssouth2014@gmail.com" TargetMode="External"/><Relationship Id="rId130" Type="http://schemas.openxmlformats.org/officeDocument/2006/relationships/hyperlink" Target="mailto:districtyaskh@gmail.com" TargetMode="External"/><Relationship Id="rId368" Type="http://schemas.openxmlformats.org/officeDocument/2006/relationships/hyperlink" Target="mailto:sdwo.dmr-tr@gov.in" TargetMode="External"/><Relationship Id="rId172" Type="http://schemas.openxmlformats.org/officeDocument/2006/relationships/hyperlink" Target="mailto:labourofficerkhowai@gmail.com" TargetMode="External"/><Relationship Id="rId228" Type="http://schemas.openxmlformats.org/officeDocument/2006/relationships/hyperlink" Target="mailto:5thcircleambassa@gmail.com" TargetMode="External"/><Relationship Id="rId435" Type="http://schemas.openxmlformats.org/officeDocument/2006/relationships/hyperlink" Target="mailto:dietkailashahar2004@gmail.com" TargetMode="External"/><Relationship Id="rId281" Type="http://schemas.openxmlformats.org/officeDocument/2006/relationships/hyperlink" Target="mailto:excisespj@gmail.com" TargetMode="External"/><Relationship Id="rId337" Type="http://schemas.openxmlformats.org/officeDocument/2006/relationships/hyperlink" Target="mailto:debnathb160@gmail.com" TargetMode="External"/><Relationship Id="rId34" Type="http://schemas.openxmlformats.org/officeDocument/2006/relationships/hyperlink" Target="mailto:hortisuperkgt@gmail.com" TargetMode="External"/><Relationship Id="rId76" Type="http://schemas.openxmlformats.org/officeDocument/2006/relationships/hyperlink" Target="mailto:cdpognr@gmail.com" TargetMode="External"/><Relationship Id="rId141" Type="http://schemas.openxmlformats.org/officeDocument/2006/relationships/hyperlink" Target="mailto:excisenorth@gmail.com" TargetMode="External"/><Relationship Id="rId379" Type="http://schemas.openxmlformats.org/officeDocument/2006/relationships/hyperlink" Target="mailto:dwogomati123@gmail.com" TargetMode="External"/><Relationship Id="rId7" Type="http://schemas.openxmlformats.org/officeDocument/2006/relationships/hyperlink" Target="mailto:agrikhowai@gmail.com" TargetMode="External"/><Relationship Id="rId183" Type="http://schemas.openxmlformats.org/officeDocument/2006/relationships/hyperlink" Target="mailto:spleodesmp.agt-tr@gov.in" TargetMode="External"/><Relationship Id="rId239" Type="http://schemas.openxmlformats.org/officeDocument/2006/relationships/hyperlink" Target="mailto:mech.div.agt@gmail.com" TargetMode="External"/><Relationship Id="rId390" Type="http://schemas.openxmlformats.org/officeDocument/2006/relationships/hyperlink" Target="mailto:trdivisionudp@gmail.com" TargetMode="External"/><Relationship Id="rId404" Type="http://schemas.openxmlformats.org/officeDocument/2006/relationships/hyperlink" Target="mailto:finance.tsecl@gmail.com" TargetMode="External"/><Relationship Id="rId250" Type="http://schemas.openxmlformats.org/officeDocument/2006/relationships/hyperlink" Target="mailto:pwdbishalgarhdivision@gmail.com" TargetMode="External"/><Relationship Id="rId292" Type="http://schemas.openxmlformats.org/officeDocument/2006/relationships/hyperlink" Target="mailto:stopanisagar@gmail.com" TargetMode="External"/><Relationship Id="rId306" Type="http://schemas.openxmlformats.org/officeDocument/2006/relationships/hyperlink" Target="mailto:sffisheriesamarpur2018@gmail.com" TargetMode="External"/><Relationship Id="rId45" Type="http://schemas.openxmlformats.org/officeDocument/2006/relationships/hyperlink" Target="mailto:das67parimal@gmail.com" TargetMode="External"/><Relationship Id="rId87" Type="http://schemas.openxmlformats.org/officeDocument/2006/relationships/hyperlink" Target="mailto:cdpopdb@gmail.com" TargetMode="External"/><Relationship Id="rId110" Type="http://schemas.openxmlformats.org/officeDocument/2006/relationships/hyperlink" Target="mailto:cdposbm.np@gmail.com" TargetMode="External"/><Relationship Id="rId348" Type="http://schemas.openxmlformats.org/officeDocument/2006/relationships/hyperlink" Target="mailto:cdpobsl@gmail.com" TargetMode="External"/><Relationship Id="rId152" Type="http://schemas.openxmlformats.org/officeDocument/2006/relationships/hyperlink" Target="mailto:itikhowai@gmail.com" TargetMode="External"/><Relationship Id="rId194" Type="http://schemas.openxmlformats.org/officeDocument/2006/relationships/hyperlink" Target="mailto:manudgm03@gmail.com" TargetMode="External"/><Relationship Id="rId208" Type="http://schemas.openxmlformats.org/officeDocument/2006/relationships/hyperlink" Target="mailto:srokhowai@gmail.com" TargetMode="External"/><Relationship Id="rId415" Type="http://schemas.openxmlformats.org/officeDocument/2006/relationships/hyperlink" Target="mailto:dgmedfour@gmail.com" TargetMode="External"/><Relationship Id="rId261" Type="http://schemas.openxmlformats.org/officeDocument/2006/relationships/hyperlink" Target="mailto:executiveengineerwrd2agt@gmail.com" TargetMode="External"/><Relationship Id="rId14" Type="http://schemas.openxmlformats.org/officeDocument/2006/relationships/hyperlink" Target="mailto:amarpur.sa2014@gmail.com" TargetMode="External"/><Relationship Id="rId56" Type="http://schemas.openxmlformats.org/officeDocument/2006/relationships/hyperlink" Target="mailto:drmrinaldutta63@gmail.com" TargetMode="External"/><Relationship Id="rId317" Type="http://schemas.openxmlformats.org/officeDocument/2006/relationships/hyperlink" Target="mailto:sdfoabs@gmail.com" TargetMode="External"/><Relationship Id="rId359" Type="http://schemas.openxmlformats.org/officeDocument/2006/relationships/hyperlink" Target="mailto:een1kgt@gmail.com" TargetMode="External"/><Relationship Id="rId98" Type="http://schemas.openxmlformats.org/officeDocument/2006/relationships/hyperlink" Target="mailto:juvenilehome1@gmail.com" TargetMode="External"/><Relationship Id="rId121" Type="http://schemas.openxmlformats.org/officeDocument/2006/relationships/hyperlink" Target="mailto:cdpojrn@gmail.com" TargetMode="External"/><Relationship Id="rId163" Type="http://schemas.openxmlformats.org/officeDocument/2006/relationships/hyperlink" Target="mailto:murasingn@gmail.com" TargetMode="External"/><Relationship Id="rId219" Type="http://schemas.openxmlformats.org/officeDocument/2006/relationships/hyperlink" Target="mailto:eerdamarpur@gmail.com" TargetMode="External"/><Relationship Id="rId370" Type="http://schemas.openxmlformats.org/officeDocument/2006/relationships/hyperlink" Target="mailto:799277@gmail.com" TargetMode="External"/><Relationship Id="rId426" Type="http://schemas.openxmlformats.org/officeDocument/2006/relationships/hyperlink" Target="mailto:gmdicunakoti@gmail.com" TargetMode="External"/><Relationship Id="rId230" Type="http://schemas.openxmlformats.org/officeDocument/2006/relationships/hyperlink" Target="mailto:pwdkhw@gmail.com" TargetMode="External"/><Relationship Id="rId25" Type="http://schemas.openxmlformats.org/officeDocument/2006/relationships/hyperlink" Target="mailto:shscmanu@gmail.com" TargetMode="External"/><Relationship Id="rId67" Type="http://schemas.openxmlformats.org/officeDocument/2006/relationships/hyperlink" Target="mailto:arcs.teliamura@gmail.com" TargetMode="External"/><Relationship Id="rId272" Type="http://schemas.openxmlformats.org/officeDocument/2006/relationships/hyperlink" Target="mailto:dwscircleambassa@gmail.com" TargetMode="External"/><Relationship Id="rId328" Type="http://schemas.openxmlformats.org/officeDocument/2006/relationships/hyperlink" Target="mailto:dfosouth15@gmail.com" TargetMode="External"/><Relationship Id="rId132" Type="http://schemas.openxmlformats.org/officeDocument/2006/relationships/hyperlink" Target="mailto:sdyasamarpur12034@gmail.com" TargetMode="External"/><Relationship Id="rId174" Type="http://schemas.openxmlformats.org/officeDocument/2006/relationships/hyperlink" Target="mailto:abtripuraclo@gmail.com" TargetMode="External"/><Relationship Id="rId381" Type="http://schemas.openxmlformats.org/officeDocument/2006/relationships/hyperlink" Target="mailto:sdwokbk@gmail.com" TargetMode="External"/><Relationship Id="rId241" Type="http://schemas.openxmlformats.org/officeDocument/2006/relationships/hyperlink" Target="mailto:taplanning17@gmail.com" TargetMode="External"/><Relationship Id="rId437" Type="http://schemas.openxmlformats.org/officeDocument/2006/relationships/hyperlink" Target="mailto:mlghs2016@gmail.com" TargetMode="External"/><Relationship Id="rId36" Type="http://schemas.openxmlformats.org/officeDocument/2006/relationships/hyperlink" Target="mailto:ddhs2010trip@gmail.com" TargetMode="External"/><Relationship Id="rId283" Type="http://schemas.openxmlformats.org/officeDocument/2006/relationships/hyperlink" Target="mailto:treasury.dmn@gmail.com" TargetMode="External"/><Relationship Id="rId339" Type="http://schemas.openxmlformats.org/officeDocument/2006/relationships/hyperlink" Target="mailto:excisetripura@yahoo.com" TargetMode="External"/><Relationship Id="rId78" Type="http://schemas.openxmlformats.org/officeDocument/2006/relationships/hyperlink" Target="mailto:cdpodhq@gmail.com" TargetMode="External"/><Relationship Id="rId101" Type="http://schemas.openxmlformats.org/officeDocument/2006/relationships/hyperlink" Target="mailto:disegomati@gmail.com" TargetMode="External"/><Relationship Id="rId143" Type="http://schemas.openxmlformats.org/officeDocument/2006/relationships/hyperlink" Target="mailto:stkls.tax-tr@gov.in" TargetMode="External"/><Relationship Id="rId185" Type="http://schemas.openxmlformats.org/officeDocument/2006/relationships/hyperlink" Target="mailto:deeudaipur6@gmail.com" TargetMode="External"/><Relationship Id="rId350" Type="http://schemas.openxmlformats.org/officeDocument/2006/relationships/hyperlink" Target="mailto:cdpo.panisagar@gmail.com" TargetMode="External"/><Relationship Id="rId406" Type="http://schemas.openxmlformats.org/officeDocument/2006/relationships/hyperlink" Target="mailto:agmgnc@gmail.com" TargetMode="External"/><Relationship Id="rId9" Type="http://schemas.openxmlformats.org/officeDocument/2006/relationships/hyperlink" Target="mailto:dda.khowai2015@gmail.com" TargetMode="External"/><Relationship Id="rId210" Type="http://schemas.openxmlformats.org/officeDocument/2006/relationships/hyperlink" Target="mailto:srokumarghat2017@gmail.com" TargetMode="External"/><Relationship Id="rId392" Type="http://schemas.openxmlformats.org/officeDocument/2006/relationships/hyperlink" Target="mailto:dit.trci-tr@gov.in" TargetMode="External"/><Relationship Id="rId252" Type="http://schemas.openxmlformats.org/officeDocument/2006/relationships/hyperlink" Target="mailto:eepwdkumarghat@gmail.com" TargetMode="External"/><Relationship Id="rId294" Type="http://schemas.openxmlformats.org/officeDocument/2006/relationships/hyperlink" Target="mailto:stoteliamura@gmail.com" TargetMode="External"/><Relationship Id="rId308" Type="http://schemas.openxmlformats.org/officeDocument/2006/relationships/hyperlink" Target="mailto:sfsabroom@gmail.com" TargetMode="External"/><Relationship Id="rId47" Type="http://schemas.openxmlformats.org/officeDocument/2006/relationships/hyperlink" Target="mailto:tripuralivestockd@yahoo.com" TargetMode="External"/><Relationship Id="rId89" Type="http://schemas.openxmlformats.org/officeDocument/2006/relationships/hyperlink" Target="mailto:disekhowai@gmail.com" TargetMode="External"/><Relationship Id="rId112" Type="http://schemas.openxmlformats.org/officeDocument/2006/relationships/hyperlink" Target="mailto:spjdise@gmail.com" TargetMode="External"/><Relationship Id="rId154" Type="http://schemas.openxmlformats.org/officeDocument/2006/relationships/hyperlink" Target="mailto:itiagartala@gmail.com" TargetMode="External"/><Relationship Id="rId361" Type="http://schemas.openxmlformats.org/officeDocument/2006/relationships/hyperlink" Target="mailto:eerdsd4@rediffmail.com" TargetMode="External"/><Relationship Id="rId196" Type="http://schemas.openxmlformats.org/officeDocument/2006/relationships/hyperlink" Target="mailto:eedwsstoreagt@gmail.com" TargetMode="External"/><Relationship Id="rId417" Type="http://schemas.openxmlformats.org/officeDocument/2006/relationships/hyperlink" Target="mailto:dgmtdudp@gmail.com" TargetMode="External"/><Relationship Id="rId16" Type="http://schemas.openxmlformats.org/officeDocument/2006/relationships/hyperlink" Target="mailto:supdt.agri.ompi@gmail.com" TargetMode="External"/><Relationship Id="rId221" Type="http://schemas.openxmlformats.org/officeDocument/2006/relationships/hyperlink" Target="mailto:electricaldiv.khowai@gmail.com" TargetMode="External"/><Relationship Id="rId263" Type="http://schemas.openxmlformats.org/officeDocument/2006/relationships/hyperlink" Target="mailto:cepwdwr@gmail.com" TargetMode="External"/><Relationship Id="rId319" Type="http://schemas.openxmlformats.org/officeDocument/2006/relationships/hyperlink" Target="mailto:asdfokhowai@gmail.com" TargetMode="External"/><Relationship Id="rId58" Type="http://schemas.openxmlformats.org/officeDocument/2006/relationships/hyperlink" Target="mailto:drcsnorth.cooop@gmail.com" TargetMode="External"/><Relationship Id="rId123" Type="http://schemas.openxmlformats.org/officeDocument/2006/relationships/hyperlink" Target="mailto:cdpohza@gmail.com" TargetMode="External"/><Relationship Id="rId330" Type="http://schemas.openxmlformats.org/officeDocument/2006/relationships/hyperlink" Target="mailto:sdfokgt@gmail.com" TargetMode="External"/><Relationship Id="rId165" Type="http://schemas.openxmlformats.org/officeDocument/2006/relationships/hyperlink" Target="mailto:directorthhs@gmail.com" TargetMode="External"/><Relationship Id="rId372" Type="http://schemas.openxmlformats.org/officeDocument/2006/relationships/hyperlink" Target="mailto:dwo.dhalai@gmail.com" TargetMode="External"/><Relationship Id="rId428" Type="http://schemas.openxmlformats.org/officeDocument/2006/relationships/hyperlink" Target="mailto:kartikpatariiti@gmail.com" TargetMode="External"/><Relationship Id="rId232" Type="http://schemas.openxmlformats.org/officeDocument/2006/relationships/hyperlink" Target="mailto:electricalinspectorate@yahoo.in" TargetMode="External"/><Relationship Id="rId274" Type="http://schemas.openxmlformats.org/officeDocument/2006/relationships/hyperlink" Target="mailto:dwsdivisionagartala2@yahoo.com" TargetMode="External"/><Relationship Id="rId27" Type="http://schemas.openxmlformats.org/officeDocument/2006/relationships/hyperlink" Target="mailto:dhalai.ddh@gmail.com" TargetMode="External"/><Relationship Id="rId69" Type="http://schemas.openxmlformats.org/officeDocument/2006/relationships/hyperlink" Target="mailto:shomebhnupada@gmail.com" TargetMode="External"/><Relationship Id="rId134" Type="http://schemas.openxmlformats.org/officeDocument/2006/relationships/hyperlink" Target="mailto:sports_sbm@gmail.com" TargetMode="External"/><Relationship Id="rId80" Type="http://schemas.openxmlformats.org/officeDocument/2006/relationships/hyperlink" Target="mailto:cdpomnu@gmail.com" TargetMode="External"/><Relationship Id="rId176" Type="http://schemas.openxmlformats.org/officeDocument/2006/relationships/hyperlink" Target="mailto:labourofficerspj59@gmail.com" TargetMode="External"/><Relationship Id="rId341" Type="http://schemas.openxmlformats.org/officeDocument/2006/relationships/hyperlink" Target="mailto:cdpo_boxn@yahoo.com" TargetMode="External"/><Relationship Id="rId383" Type="http://schemas.openxmlformats.org/officeDocument/2006/relationships/hyperlink" Target="mailto:dwosepahijala@gmail.com" TargetMode="External"/><Relationship Id="rId439" Type="http://schemas.openxmlformats.org/officeDocument/2006/relationships/printerSettings" Target="../printerSettings/printerSettings14.bin"/><Relationship Id="rId201" Type="http://schemas.openxmlformats.org/officeDocument/2006/relationships/hyperlink" Target="mailto:sedwsckgt@gmail.com" TargetMode="External"/><Relationship Id="rId243" Type="http://schemas.openxmlformats.org/officeDocument/2006/relationships/hyperlink" Target="mailto:sepwd4thcircle@gmail.com" TargetMode="External"/><Relationship Id="rId285" Type="http://schemas.openxmlformats.org/officeDocument/2006/relationships/hyperlink" Target="mailto:dhalaitreasury@gmail.com" TargetMode="External"/><Relationship Id="rId38" Type="http://schemas.openxmlformats.org/officeDocument/2006/relationships/hyperlink" Target="mailto:p.o.icdp2@gmail.com" TargetMode="External"/><Relationship Id="rId103" Type="http://schemas.openxmlformats.org/officeDocument/2006/relationships/hyperlink" Target="mailto:cdpokbk@gmail.com" TargetMode="External"/><Relationship Id="rId310" Type="http://schemas.openxmlformats.org/officeDocument/2006/relationships/hyperlink" Target="mailto:fisheries2016@gmail.com" TargetMode="External"/><Relationship Id="rId91" Type="http://schemas.openxmlformats.org/officeDocument/2006/relationships/hyperlink" Target="mailto:cdpourban@gmail.com" TargetMode="External"/><Relationship Id="rId145" Type="http://schemas.openxmlformats.org/officeDocument/2006/relationships/hyperlink" Target="mailto:stamb.tax-tr@gov.in" TargetMode="External"/><Relationship Id="rId187" Type="http://schemas.openxmlformats.org/officeDocument/2006/relationships/hyperlink" Target="mailto:dsodhalai18@gmail.com" TargetMode="External"/><Relationship Id="rId352" Type="http://schemas.openxmlformats.org/officeDocument/2006/relationships/hyperlink" Target="mailto:cdpomnd@gmail.com" TargetMode="External"/><Relationship Id="rId394" Type="http://schemas.openxmlformats.org/officeDocument/2006/relationships/hyperlink" Target="mailto:subhasisb2179@gmail.com" TargetMode="External"/><Relationship Id="rId408" Type="http://schemas.openxmlformats.org/officeDocument/2006/relationships/hyperlink" Target="mailto:dgm.ed11rbn@gmail.com" TargetMode="External"/><Relationship Id="rId212" Type="http://schemas.openxmlformats.org/officeDocument/2006/relationships/hyperlink" Target="mailto:eerddd2@gmail.com" TargetMode="External"/><Relationship Id="rId254" Type="http://schemas.openxmlformats.org/officeDocument/2006/relationships/hyperlink" Target="mailto:pmgsysekgt@gmail.com" TargetMode="External"/><Relationship Id="rId49" Type="http://schemas.openxmlformats.org/officeDocument/2006/relationships/hyperlink" Target="mailto:dpfudaiput182@gmail.com" TargetMode="External"/><Relationship Id="rId114" Type="http://schemas.openxmlformats.org/officeDocument/2006/relationships/hyperlink" Target="mailto:cdpokgt@gmail.com" TargetMode="External"/><Relationship Id="rId296" Type="http://schemas.openxmlformats.org/officeDocument/2006/relationships/hyperlink" Target="mailto:sfdmr.north@gmail.com" TargetMode="External"/><Relationship Id="rId60" Type="http://schemas.openxmlformats.org/officeDocument/2006/relationships/hyperlink" Target="mailto:arcskamalpur@gmail.com" TargetMode="External"/><Relationship Id="rId156" Type="http://schemas.openxmlformats.org/officeDocument/2006/relationships/hyperlink" Target="mailto:witi.tripura@gmail.com" TargetMode="External"/><Relationship Id="rId198" Type="http://schemas.openxmlformats.org/officeDocument/2006/relationships/hyperlink" Target="mailto:sedwsudp@yahoo.com" TargetMode="External"/><Relationship Id="rId321" Type="http://schemas.openxmlformats.org/officeDocument/2006/relationships/hyperlink" Target="mailto:dcftraining.tripura@gmail.com" TargetMode="External"/><Relationship Id="rId363" Type="http://schemas.openxmlformats.org/officeDocument/2006/relationships/hyperlink" Target="mailto:senbid@gmail.com" TargetMode="External"/><Relationship Id="rId419" Type="http://schemas.openxmlformats.org/officeDocument/2006/relationships/hyperlink" Target="mailto:khowainagarpanchayat@gmail.com" TargetMode="External"/><Relationship Id="rId202" Type="http://schemas.openxmlformats.org/officeDocument/2006/relationships/hyperlink" Target="mailto:eeklp123pwddws@gmail.com" TargetMode="External"/><Relationship Id="rId223" Type="http://schemas.openxmlformats.org/officeDocument/2006/relationships/hyperlink" Target="mailto:gpfpensionwest@gmail.com" TargetMode="External"/><Relationship Id="rId244" Type="http://schemas.openxmlformats.org/officeDocument/2006/relationships/hyperlink" Target="mailto:surjyakumar68@gmail.com" TargetMode="External"/><Relationship Id="rId430" Type="http://schemas.openxmlformats.org/officeDocument/2006/relationships/hyperlink" Target="mailto:sabamutia2023@gmail.com" TargetMode="External"/><Relationship Id="rId18" Type="http://schemas.openxmlformats.org/officeDocument/2006/relationships/hyperlink" Target="mailto:agri.eem@gmail.com" TargetMode="External"/><Relationship Id="rId39" Type="http://schemas.openxmlformats.org/officeDocument/2006/relationships/hyperlink" Target="mailto:arddunakoti@gmail.com" TargetMode="External"/><Relationship Id="rId265" Type="http://schemas.openxmlformats.org/officeDocument/2006/relationships/hyperlink" Target="mailto:sewrpc@gmail.com" TargetMode="External"/><Relationship Id="rId286" Type="http://schemas.openxmlformats.org/officeDocument/2006/relationships/hyperlink" Target="mailto:to.khowai@gmail.com" TargetMode="External"/><Relationship Id="rId50" Type="http://schemas.openxmlformats.org/officeDocument/2006/relationships/hyperlink" Target="mailto:ddardsouth@gmail.com" TargetMode="External"/><Relationship Id="rId104" Type="http://schemas.openxmlformats.org/officeDocument/2006/relationships/hyperlink" Target="mailto:cdpoomp@gmail.com" TargetMode="External"/><Relationship Id="rId125" Type="http://schemas.openxmlformats.org/officeDocument/2006/relationships/hyperlink" Target="mailto:cdpobgf@gmail.com" TargetMode="External"/><Relationship Id="rId146" Type="http://schemas.openxmlformats.org/officeDocument/2006/relationships/hyperlink" Target="mailto:excisekhowai@gmail.com" TargetMode="External"/><Relationship Id="rId167" Type="http://schemas.openxmlformats.org/officeDocument/2006/relationships/hyperlink" Target="mailto:districticadhalai@gmail.com" TargetMode="External"/><Relationship Id="rId188" Type="http://schemas.openxmlformats.org/officeDocument/2006/relationships/hyperlink" Target="mailto:dsowest234@gmail.com" TargetMode="External"/><Relationship Id="rId311" Type="http://schemas.openxmlformats.org/officeDocument/2006/relationships/hyperlink" Target="mailto:sftlmchakmaghat@gmail.com" TargetMode="External"/><Relationship Id="rId332" Type="http://schemas.openxmlformats.org/officeDocument/2006/relationships/hyperlink" Target="mailto:dtfokhowai@gmail.com" TargetMode="External"/><Relationship Id="rId353" Type="http://schemas.openxmlformats.org/officeDocument/2006/relationships/hyperlink" Target="mailto:pht.taranagar@gmail.com" TargetMode="External"/><Relationship Id="rId374" Type="http://schemas.openxmlformats.org/officeDocument/2006/relationships/hyperlink" Target="mailto:sdwkhowai@gmail.com" TargetMode="External"/><Relationship Id="rId395" Type="http://schemas.openxmlformats.org/officeDocument/2006/relationships/hyperlink" Target="mailto:jdscobc@gmail.com" TargetMode="External"/><Relationship Id="rId409" Type="http://schemas.openxmlformats.org/officeDocument/2006/relationships/hyperlink" Target="mailto:tsecleciv@rediffmail.com" TargetMode="External"/><Relationship Id="rId71" Type="http://schemas.openxmlformats.org/officeDocument/2006/relationships/hyperlink" Target="mailto:8227ddo@gmail.com" TargetMode="External"/><Relationship Id="rId92" Type="http://schemas.openxmlformats.org/officeDocument/2006/relationships/hyperlink" Target="mailto:wt_dise@yahoo.com" TargetMode="External"/><Relationship Id="rId213" Type="http://schemas.openxmlformats.org/officeDocument/2006/relationships/hyperlink" Target="mailto:eerdddhalai1@gmail.com" TargetMode="External"/><Relationship Id="rId234" Type="http://schemas.openxmlformats.org/officeDocument/2006/relationships/hyperlink" Target="mailto:executive.engineer6244@gmail.com" TargetMode="External"/><Relationship Id="rId420" Type="http://schemas.openxmlformats.org/officeDocument/2006/relationships/hyperlink" Target="mailto:hkdas1965@rediffmail.com" TargetMode="External"/><Relationship Id="rId2" Type="http://schemas.openxmlformats.org/officeDocument/2006/relationships/hyperlink" Target="mailto:sakumarghat@gmail.com" TargetMode="External"/><Relationship Id="rId29" Type="http://schemas.openxmlformats.org/officeDocument/2006/relationships/hyperlink" Target="mailto:ddhkhowai@gmail.com" TargetMode="External"/><Relationship Id="rId255" Type="http://schemas.openxmlformats.org/officeDocument/2006/relationships/hyperlink" Target="mailto:eenhkgt@gmail.com" TargetMode="External"/><Relationship Id="rId276" Type="http://schemas.openxmlformats.org/officeDocument/2006/relationships/hyperlink" Target="mailto:dwscircle@gmail.com" TargetMode="External"/><Relationship Id="rId297" Type="http://schemas.openxmlformats.org/officeDocument/2006/relationships/hyperlink" Target="mailto:supdtoffisheries@gmail.com" TargetMode="External"/><Relationship Id="rId441" Type="http://schemas.openxmlformats.org/officeDocument/2006/relationships/vmlDrawing" Target="../drawings/vmlDrawing7.vml"/><Relationship Id="rId40" Type="http://schemas.openxmlformats.org/officeDocument/2006/relationships/hyperlink" Target="mailto:arddnalkata@gmail.com" TargetMode="External"/><Relationship Id="rId115" Type="http://schemas.openxmlformats.org/officeDocument/2006/relationships/hyperlink" Target="mailto:cdpo.kgtnp@gmail.com" TargetMode="External"/><Relationship Id="rId136" Type="http://schemas.openxmlformats.org/officeDocument/2006/relationships/hyperlink" Target="mailto:rcpepanisagar3@gmail.com" TargetMode="External"/><Relationship Id="rId157" Type="http://schemas.openxmlformats.org/officeDocument/2006/relationships/hyperlink" Target="mailto:generalmanagerdicgomati@gmail.com" TargetMode="External"/><Relationship Id="rId178" Type="http://schemas.openxmlformats.org/officeDocument/2006/relationships/hyperlink" Target="mailto:cifbtrp@yahoo.co.in" TargetMode="External"/><Relationship Id="rId301" Type="http://schemas.openxmlformats.org/officeDocument/2006/relationships/hyperlink" Target="mailto:dir.fisheriestr@gov.in" TargetMode="External"/><Relationship Id="rId322" Type="http://schemas.openxmlformats.org/officeDocument/2006/relationships/hyperlink" Target="mailto:working.2.tripura@gmail.com" TargetMode="External"/><Relationship Id="rId343" Type="http://schemas.openxmlformats.org/officeDocument/2006/relationships/hyperlink" Target="mailto:cdpokilla@gmail.com" TargetMode="External"/><Relationship Id="rId364" Type="http://schemas.openxmlformats.org/officeDocument/2006/relationships/hyperlink" Target="mailto:dto.abs@gmail.com" TargetMode="External"/><Relationship Id="rId61" Type="http://schemas.openxmlformats.org/officeDocument/2006/relationships/hyperlink" Target="mailto:rcsacct2017@gmail.com" TargetMode="External"/><Relationship Id="rId82" Type="http://schemas.openxmlformats.org/officeDocument/2006/relationships/hyperlink" Target="mailto:cdpoamb@gmail.com" TargetMode="External"/><Relationship Id="rId199" Type="http://schemas.openxmlformats.org/officeDocument/2006/relationships/hyperlink" Target="mailto:eedwsdivisionblg@gmail.com" TargetMode="External"/><Relationship Id="rId203" Type="http://schemas.openxmlformats.org/officeDocument/2006/relationships/hyperlink" Target="mailto:sroltv.clt@gmail.com" TargetMode="External"/><Relationship Id="rId385" Type="http://schemas.openxmlformats.org/officeDocument/2006/relationships/hyperlink" Target="mailto:sto_kgt@yahoo.com" TargetMode="External"/><Relationship Id="rId19" Type="http://schemas.openxmlformats.org/officeDocument/2006/relationships/hyperlink" Target="mailto:agritlm4@gmail.com" TargetMode="External"/><Relationship Id="rId224" Type="http://schemas.openxmlformats.org/officeDocument/2006/relationships/hyperlink" Target="mailto:dgmtdudp@gmail.com" TargetMode="External"/><Relationship Id="rId245" Type="http://schemas.openxmlformats.org/officeDocument/2006/relationships/hyperlink" Target="mailto:pmgsytripura@gmail.com" TargetMode="External"/><Relationship Id="rId266" Type="http://schemas.openxmlformats.org/officeDocument/2006/relationships/hyperlink" Target="mailto:eepwdwrudpiii@rediffmail.com" TargetMode="External"/><Relationship Id="rId287" Type="http://schemas.openxmlformats.org/officeDocument/2006/relationships/hyperlink" Target="mailto:agartalatreasutyno1@gmail.com" TargetMode="External"/><Relationship Id="rId410" Type="http://schemas.openxmlformats.org/officeDocument/2006/relationships/hyperlink" Target="mailto:dgmcapitaltsecl@gmail.com" TargetMode="External"/><Relationship Id="rId431" Type="http://schemas.openxmlformats.org/officeDocument/2006/relationships/hyperlink" Target="mailto:saoldagartala@gmail.com" TargetMode="External"/><Relationship Id="rId30" Type="http://schemas.openxmlformats.org/officeDocument/2006/relationships/hyperlink" Target="mailto:dhctripura@yahoo.co.in" TargetMode="External"/><Relationship Id="rId105" Type="http://schemas.openxmlformats.org/officeDocument/2006/relationships/hyperlink" Target="mailto:cdpoamp@gmail.com" TargetMode="External"/><Relationship Id="rId126" Type="http://schemas.openxmlformats.org/officeDocument/2006/relationships/hyperlink" Target="mailto:cdpostb@gmail.com" TargetMode="External"/><Relationship Id="rId147" Type="http://schemas.openxmlformats.org/officeDocument/2006/relationships/hyperlink" Target="mailto:gomatiexcise123@gmail.com" TargetMode="External"/><Relationship Id="rId168" Type="http://schemas.openxmlformats.org/officeDocument/2006/relationships/hyperlink" Target="mailto:dicakhowai@gmail.com" TargetMode="External"/><Relationship Id="rId312" Type="http://schemas.openxmlformats.org/officeDocument/2006/relationships/hyperlink" Target="mailto:sfsantirbazar100@gmail.com" TargetMode="External"/><Relationship Id="rId333" Type="http://schemas.openxmlformats.org/officeDocument/2006/relationships/hyperlink" Target="mailto:sdfo.teliamura@gmail.com" TargetMode="External"/><Relationship Id="rId354" Type="http://schemas.openxmlformats.org/officeDocument/2006/relationships/hyperlink" Target="mailto:ct.tax-tr@gov.in" TargetMode="External"/><Relationship Id="rId51" Type="http://schemas.openxmlformats.org/officeDocument/2006/relationships/hyperlink" Target="mailto:daslokesh98@gmail.com" TargetMode="External"/><Relationship Id="rId72" Type="http://schemas.openxmlformats.org/officeDocument/2006/relationships/hyperlink" Target="mailto:8237ddo@gmail.com" TargetMode="External"/><Relationship Id="rId93" Type="http://schemas.openxmlformats.org/officeDocument/2006/relationships/hyperlink" Target="mailto:8231ddo@gmail.com" TargetMode="External"/><Relationship Id="rId189" Type="http://schemas.openxmlformats.org/officeDocument/2006/relationships/hyperlink" Target="mailto:destripura@gmail.com" TargetMode="External"/><Relationship Id="rId375" Type="http://schemas.openxmlformats.org/officeDocument/2006/relationships/hyperlink" Target="mailto:dwokhowai@gmail.com" TargetMode="External"/><Relationship Id="rId396" Type="http://schemas.openxmlformats.org/officeDocument/2006/relationships/hyperlink" Target="mailto:zdosouthadc@gmail.com" TargetMode="External"/><Relationship Id="rId3" Type="http://schemas.openxmlformats.org/officeDocument/2006/relationships/hyperlink" Target="mailto:ddaunakoti2016@gmail.com" TargetMode="External"/><Relationship Id="rId214" Type="http://schemas.openxmlformats.org/officeDocument/2006/relationships/hyperlink" Target="mailto:serd4th@gmail.com" TargetMode="External"/><Relationship Id="rId235" Type="http://schemas.openxmlformats.org/officeDocument/2006/relationships/hyperlink" Target="mailto:agtdiv3pwd@gmail.com" TargetMode="External"/><Relationship Id="rId256" Type="http://schemas.openxmlformats.org/officeDocument/2006/relationships/hyperlink" Target="mailto:pmgsydivnkgt@gmail.com" TargetMode="External"/><Relationship Id="rId277" Type="http://schemas.openxmlformats.org/officeDocument/2006/relationships/hyperlink" Target="mailto:sodwstripura@gmail.com" TargetMode="External"/><Relationship Id="rId298" Type="http://schemas.openxmlformats.org/officeDocument/2006/relationships/hyperlink" Target="mailto:sfambassa@gmail.com" TargetMode="External"/><Relationship Id="rId400" Type="http://schemas.openxmlformats.org/officeDocument/2006/relationships/hyperlink" Target="mailto:dgmbishalgarh@gmail.com" TargetMode="External"/><Relationship Id="rId421" Type="http://schemas.openxmlformats.org/officeDocument/2006/relationships/hyperlink" Target="mailto:sdmosabroom@gmail.com" TargetMode="External"/><Relationship Id="rId442" Type="http://schemas.openxmlformats.org/officeDocument/2006/relationships/ctrlProp" Target="../ctrlProps/ctrlProp26.xml"/><Relationship Id="rId116" Type="http://schemas.openxmlformats.org/officeDocument/2006/relationships/hyperlink" Target="mailto:dise.unakoti@gmail.com" TargetMode="External"/><Relationship Id="rId137" Type="http://schemas.openxmlformats.org/officeDocument/2006/relationships/hyperlink" Target="mailto:directorelementary18@rediffmail.com" TargetMode="External"/><Relationship Id="rId158" Type="http://schemas.openxmlformats.org/officeDocument/2006/relationships/hyperlink" Target="mailto:itimanubankul@gmail.com" TargetMode="External"/><Relationship Id="rId302" Type="http://schemas.openxmlformats.org/officeDocument/2006/relationships/hyperlink" Target="mailto:sfsadar2016@gmail.com" TargetMode="External"/><Relationship Id="rId323" Type="http://schemas.openxmlformats.org/officeDocument/2006/relationships/hyperlink" Target="mailto:ceomptripura@gmail.com" TargetMode="External"/><Relationship Id="rId344" Type="http://schemas.openxmlformats.org/officeDocument/2006/relationships/hyperlink" Target="mailto:cdpokb@gmail.com" TargetMode="External"/><Relationship Id="rId20" Type="http://schemas.openxmlformats.org/officeDocument/2006/relationships/hyperlink" Target="mailto:sa.kalyanpur2016@gmail.com" TargetMode="External"/><Relationship Id="rId41" Type="http://schemas.openxmlformats.org/officeDocument/2006/relationships/hyperlink" Target="mailto:ddarddhalai@gmail.com" TargetMode="External"/><Relationship Id="rId62" Type="http://schemas.openxmlformats.org/officeDocument/2006/relationships/hyperlink" Target="mailto:DRCSWESTTRIPURA@gmail.com" TargetMode="External"/><Relationship Id="rId83" Type="http://schemas.openxmlformats.org/officeDocument/2006/relationships/hyperlink" Target="mailto:cdposlm@gmail.com" TargetMode="External"/><Relationship Id="rId179" Type="http://schemas.openxmlformats.org/officeDocument/2006/relationships/hyperlink" Target="mailto:suryapal_m@yahoo.com" TargetMode="External"/><Relationship Id="rId365" Type="http://schemas.openxmlformats.org/officeDocument/2006/relationships/hyperlink" Target="mailto:jtc.agt-tr@gov.in" TargetMode="External"/><Relationship Id="rId386" Type="http://schemas.openxmlformats.org/officeDocument/2006/relationships/hyperlink" Target="mailto:sdwotlm2@gmail.com" TargetMode="External"/><Relationship Id="rId190" Type="http://schemas.openxmlformats.org/officeDocument/2006/relationships/hyperlink" Target="mailto:dsogomati@gmail.com" TargetMode="External"/><Relationship Id="rId204" Type="http://schemas.openxmlformats.org/officeDocument/2006/relationships/hyperlink" Target="mailto:srambassa@gmail.com" TargetMode="External"/><Relationship Id="rId225" Type="http://schemas.openxmlformats.org/officeDocument/2006/relationships/hyperlink" Target="mailto:eeklspwd@yahoo.in" TargetMode="External"/><Relationship Id="rId246" Type="http://schemas.openxmlformats.org/officeDocument/2006/relationships/hyperlink" Target="mailto:eestoredivision@gmail.com" TargetMode="External"/><Relationship Id="rId267" Type="http://schemas.openxmlformats.org/officeDocument/2006/relationships/hyperlink" Target="mailto:sewrcudp@gmail.com" TargetMode="External"/><Relationship Id="rId288" Type="http://schemas.openxmlformats.org/officeDocument/2006/relationships/hyperlink" Target="mailto:districttreasuryudaipur@gmail.com" TargetMode="External"/><Relationship Id="rId411" Type="http://schemas.openxmlformats.org/officeDocument/2006/relationships/hyperlink" Target="mailto:syamalbaidya99@gmaill.com" TargetMode="External"/><Relationship Id="rId432" Type="http://schemas.openxmlformats.org/officeDocument/2006/relationships/hyperlink" Target="mailto:dgmbagafa@gmail.com" TargetMode="External"/><Relationship Id="rId106" Type="http://schemas.openxmlformats.org/officeDocument/2006/relationships/hyperlink" Target="mailto:cdporjn@gmail.com" TargetMode="External"/><Relationship Id="rId127" Type="http://schemas.openxmlformats.org/officeDocument/2006/relationships/hyperlink" Target="mailto:sportsofficerltv@gmail.com" TargetMode="External"/><Relationship Id="rId313" Type="http://schemas.openxmlformats.org/officeDocument/2006/relationships/hyperlink" Target="mailto:ac.legalmetrology.dhalai@gmail.com" TargetMode="External"/><Relationship Id="rId10" Type="http://schemas.openxmlformats.org/officeDocument/2006/relationships/hyperlink" Target="mailto:sapadmabil@gmail.com" TargetMode="External"/><Relationship Id="rId31" Type="http://schemas.openxmlformats.org/officeDocument/2006/relationships/hyperlink" Target="mailto:dpoagartalawesttripura@gmail.com" TargetMode="External"/><Relationship Id="rId52" Type="http://schemas.openxmlformats.org/officeDocument/2006/relationships/hyperlink" Target="mailto:adardblsbm@gmail.com" TargetMode="External"/><Relationship Id="rId73" Type="http://schemas.openxmlformats.org/officeDocument/2006/relationships/hyperlink" Target="mailto:cdpokdmtl@gmail.com" TargetMode="External"/><Relationship Id="rId94" Type="http://schemas.openxmlformats.org/officeDocument/2006/relationships/hyperlink" Target="mailto:lvhboysshcool@gmail.com" TargetMode="External"/><Relationship Id="rId148" Type="http://schemas.openxmlformats.org/officeDocument/2006/relationships/hyperlink" Target="mailto:studp.tax-tr@gov.in" TargetMode="External"/><Relationship Id="rId169" Type="http://schemas.openxmlformats.org/officeDocument/2006/relationships/hyperlink" Target="mailto:cashsectionicadept@gmail.com" TargetMode="External"/><Relationship Id="rId334" Type="http://schemas.openxmlformats.org/officeDocument/2006/relationships/hyperlink" Target="mailto:sdfomandai@gmail.com" TargetMode="External"/><Relationship Id="rId355" Type="http://schemas.openxmlformats.org/officeDocument/2006/relationships/hyperlink" Target="mailto:stdharmanagar@yahoo.in" TargetMode="External"/><Relationship Id="rId376" Type="http://schemas.openxmlformats.org/officeDocument/2006/relationships/hyperlink" Target="mailto:sdwo.sadar123@gmail.com" TargetMode="External"/><Relationship Id="rId397" Type="http://schemas.openxmlformats.org/officeDocument/2006/relationships/hyperlink" Target="mailto:agmec5tsecl@gmail.com" TargetMode="External"/><Relationship Id="rId4" Type="http://schemas.openxmlformats.org/officeDocument/2006/relationships/hyperlink" Target="mailto:sachawmanu2014@gmail.com" TargetMode="External"/><Relationship Id="rId180" Type="http://schemas.openxmlformats.org/officeDocument/2006/relationships/hyperlink" Target="mailto:deedmn2017@gmail.com" TargetMode="External"/><Relationship Id="rId215" Type="http://schemas.openxmlformats.org/officeDocument/2006/relationships/hyperlink" Target="mailto:ee2tocerd@gmail.com" TargetMode="External"/><Relationship Id="rId236" Type="http://schemas.openxmlformats.org/officeDocument/2006/relationships/hyperlink" Target="mailto:agartaladiv5@gmail.com" TargetMode="External"/><Relationship Id="rId257" Type="http://schemas.openxmlformats.org/officeDocument/2006/relationships/hyperlink" Target="mailto:tdb123teliamura@gmail.com" TargetMode="External"/><Relationship Id="rId278" Type="http://schemas.openxmlformats.org/officeDocument/2006/relationships/hyperlink" Target="mailto:stbln.tax-tr@gov.in" TargetMode="External"/><Relationship Id="rId401" Type="http://schemas.openxmlformats.org/officeDocument/2006/relationships/hyperlink" Target="mailto:ccdtsecl79tila@gmail.com" TargetMode="External"/><Relationship Id="rId422" Type="http://schemas.openxmlformats.org/officeDocument/2006/relationships/hyperlink" Target="mailto:sdmoblg@yahoo.com" TargetMode="External"/><Relationship Id="rId303" Type="http://schemas.openxmlformats.org/officeDocument/2006/relationships/hyperlink" Target="mailto:sfsonamura@gmail.com" TargetMode="External"/><Relationship Id="rId42" Type="http://schemas.openxmlformats.org/officeDocument/2006/relationships/hyperlink" Target="mailto:adarddblsalemadhalai06004@gmail.com" TargetMode="External"/><Relationship Id="rId84" Type="http://schemas.openxmlformats.org/officeDocument/2006/relationships/hyperlink" Target="mailto:cdpokmp@gmail.com" TargetMode="External"/><Relationship Id="rId138" Type="http://schemas.openxmlformats.org/officeDocument/2006/relationships/hyperlink" Target="mailto:suman.banik@nic.in" TargetMode="External"/><Relationship Id="rId345" Type="http://schemas.openxmlformats.org/officeDocument/2006/relationships/hyperlink" Target="mailto:cdpoudpnp@gmail.com" TargetMode="External"/><Relationship Id="rId387" Type="http://schemas.openxmlformats.org/officeDocument/2006/relationships/hyperlink" Target="mailto:sdwomnp@gmail.com" TargetMode="External"/><Relationship Id="rId191" Type="http://schemas.openxmlformats.org/officeDocument/2006/relationships/hyperlink" Target="mailto:bikashsarkar2395@gmail.com" TargetMode="External"/><Relationship Id="rId205" Type="http://schemas.openxmlformats.org/officeDocument/2006/relationships/hyperlink" Target="mailto:santimay.d@gov.in" TargetMode="External"/><Relationship Id="rId247" Type="http://schemas.openxmlformats.org/officeDocument/2006/relationships/hyperlink" Target="mailto:eeiedudaipur@gmail.com" TargetMode="External"/><Relationship Id="rId412" Type="http://schemas.openxmlformats.org/officeDocument/2006/relationships/hyperlink" Target="mailto:edjirania@gmail.com" TargetMode="External"/><Relationship Id="rId107" Type="http://schemas.openxmlformats.org/officeDocument/2006/relationships/hyperlink" Target="mailto:disesouthbln@gmail.com" TargetMode="External"/><Relationship Id="rId289" Type="http://schemas.openxmlformats.org/officeDocument/2006/relationships/hyperlink" Target="mailto:stoamarpur@gmail.com" TargetMode="External"/><Relationship Id="rId11" Type="http://schemas.openxmlformats.org/officeDocument/2006/relationships/hyperlink" Target="mailto:asissaha1960@gmail.com" TargetMode="External"/><Relationship Id="rId53" Type="http://schemas.openxmlformats.org/officeDocument/2006/relationships/hyperlink" Target="mailto:adblkgt@gmail.com" TargetMode="External"/><Relationship Id="rId149" Type="http://schemas.openxmlformats.org/officeDocument/2006/relationships/hyperlink" Target="mailto:iti.kailashahar@gmail.com" TargetMode="External"/><Relationship Id="rId314" Type="http://schemas.openxmlformats.org/officeDocument/2006/relationships/hyperlink" Target="mailto:dfcstripura@gmail.com" TargetMode="External"/><Relationship Id="rId356" Type="http://schemas.openxmlformats.org/officeDocument/2006/relationships/hyperlink" Target="mailto:exvisewest@gmail.com" TargetMode="External"/><Relationship Id="rId398" Type="http://schemas.openxmlformats.org/officeDocument/2006/relationships/hyperlink" Target="mailto:rkhgtps@gmail.com" TargetMode="External"/><Relationship Id="rId95" Type="http://schemas.openxmlformats.org/officeDocument/2006/relationships/hyperlink" Target="mailto:lvhgirls1@gmail.com" TargetMode="External"/><Relationship Id="rId160" Type="http://schemas.openxmlformats.org/officeDocument/2006/relationships/hyperlink" Target="mailto:itikhumlwng@gmail.com" TargetMode="External"/><Relationship Id="rId216" Type="http://schemas.openxmlformats.org/officeDocument/2006/relationships/hyperlink" Target="mailto:rdsrore10@gamil.com" TargetMode="External"/><Relationship Id="rId423" Type="http://schemas.openxmlformats.org/officeDocument/2006/relationships/hyperlink" Target="mailto:dy.directoraudit@gmail.com" TargetMode="External"/><Relationship Id="rId258" Type="http://schemas.openxmlformats.org/officeDocument/2006/relationships/hyperlink" Target="mailto:pwdsantirbazardivision@gmail.com" TargetMode="External"/><Relationship Id="rId22" Type="http://schemas.openxmlformats.org/officeDocument/2006/relationships/hyperlink" Target="mailto:sabagafa123@gmail.com" TargetMode="External"/><Relationship Id="rId64" Type="http://schemas.openxmlformats.org/officeDocument/2006/relationships/hyperlink" Target="mailto:arcsamarpur@gmail.com" TargetMode="External"/><Relationship Id="rId118" Type="http://schemas.openxmlformats.org/officeDocument/2006/relationships/hyperlink" Target="mailto:cdpoklp@gmail.com" TargetMode="External"/><Relationship Id="rId325" Type="http://schemas.openxmlformats.org/officeDocument/2006/relationships/hyperlink" Target="mailto:factorytfdpc@gmail.com" TargetMode="External"/><Relationship Id="rId367" Type="http://schemas.openxmlformats.org/officeDocument/2006/relationships/hyperlink" Target="mailto:dtoofficesouth@gmail.com" TargetMode="External"/><Relationship Id="rId171" Type="http://schemas.openxmlformats.org/officeDocument/2006/relationships/hyperlink" Target="mailto:lodhalai04@gmail.com" TargetMode="External"/><Relationship Id="rId227" Type="http://schemas.openxmlformats.org/officeDocument/2006/relationships/hyperlink" Target="mailto:eeamb2016@gmail.com" TargetMode="External"/><Relationship Id="rId269" Type="http://schemas.openxmlformats.org/officeDocument/2006/relationships/hyperlink" Target="mailto:sewrckgt@gmail.com" TargetMode="External"/><Relationship Id="rId434" Type="http://schemas.openxmlformats.org/officeDocument/2006/relationships/hyperlink" Target="mailto:tripurasundarischool1965@gmail.com" TargetMode="External"/><Relationship Id="rId33" Type="http://schemas.openxmlformats.org/officeDocument/2006/relationships/hyperlink" Target="mailto:ddhspj06@gmail.com" TargetMode="External"/><Relationship Id="rId129" Type="http://schemas.openxmlformats.org/officeDocument/2006/relationships/hyperlink" Target="mailto:sdyaskmp2018@gmail.com" TargetMode="External"/><Relationship Id="rId280" Type="http://schemas.openxmlformats.org/officeDocument/2006/relationships/hyperlink" Target="mailto:stblg.tax-tr@gov.in" TargetMode="External"/><Relationship Id="rId336" Type="http://schemas.openxmlformats.org/officeDocument/2006/relationships/hyperlink" Target="mailto:vigilance.s@yahoo.com" TargetMode="External"/><Relationship Id="rId75" Type="http://schemas.openxmlformats.org/officeDocument/2006/relationships/hyperlink" Target="mailto:north.dise@gmail.com" TargetMode="External"/><Relationship Id="rId140" Type="http://schemas.openxmlformats.org/officeDocument/2006/relationships/hyperlink" Target="mailto:dif_agt@yahoo.in" TargetMode="External"/><Relationship Id="rId182" Type="http://schemas.openxmlformats.org/officeDocument/2006/relationships/hyperlink" Target="mailto:rajesh.datta1578@gmail.com" TargetMode="External"/><Relationship Id="rId378" Type="http://schemas.openxmlformats.org/officeDocument/2006/relationships/hyperlink" Target="mailto:twdtripura@gmail.com" TargetMode="External"/><Relationship Id="rId403" Type="http://schemas.openxmlformats.org/officeDocument/2006/relationships/hyperlink" Target="mailto:dgmmaterial@gmail.com" TargetMode="External"/><Relationship Id="rId6" Type="http://schemas.openxmlformats.org/officeDocument/2006/relationships/hyperlink" Target="mailto:ambassasaa@gmail.com" TargetMode="External"/><Relationship Id="rId238" Type="http://schemas.openxmlformats.org/officeDocument/2006/relationships/hyperlink" Target="mailto:ied.pwd@gmail.com" TargetMode="External"/><Relationship Id="rId291" Type="http://schemas.openxmlformats.org/officeDocument/2006/relationships/hyperlink" Target="mailto:stosbm@gmail.com" TargetMode="External"/><Relationship Id="rId305" Type="http://schemas.openxmlformats.org/officeDocument/2006/relationships/hyperlink" Target="mailto:sfudaipur@gmail.com" TargetMode="External"/><Relationship Id="rId347" Type="http://schemas.openxmlformats.org/officeDocument/2006/relationships/hyperlink" Target="mailto:cdpobln@gmail.com" TargetMode="External"/><Relationship Id="rId44" Type="http://schemas.openxmlformats.org/officeDocument/2006/relationships/hyperlink" Target="mailto:ddardkhowai@gmail.com" TargetMode="External"/><Relationship Id="rId86" Type="http://schemas.openxmlformats.org/officeDocument/2006/relationships/hyperlink" Target="mailto:cdpotls@gmail.com" TargetMode="External"/><Relationship Id="rId151" Type="http://schemas.openxmlformats.org/officeDocument/2006/relationships/hyperlink" Target="mailto:itiambassa@gmail.com" TargetMode="External"/><Relationship Id="rId389" Type="http://schemas.openxmlformats.org/officeDocument/2006/relationships/hyperlink" Target="mailto:ptgtripura@gmail.com" TargetMode="External"/><Relationship Id="rId193" Type="http://schemas.openxmlformats.org/officeDocument/2006/relationships/hyperlink" Target="mailto:8242ddo@gmail.com" TargetMode="External"/><Relationship Id="rId207" Type="http://schemas.openxmlformats.org/officeDocument/2006/relationships/hyperlink" Target="mailto:jsrevenue2018@gmail.com" TargetMode="External"/><Relationship Id="rId249" Type="http://schemas.openxmlformats.org/officeDocument/2006/relationships/hyperlink" Target="mailto:eepwdsbm2015@gmail.com" TargetMode="External"/><Relationship Id="rId414" Type="http://schemas.openxmlformats.org/officeDocument/2006/relationships/hyperlink" Target="mailto:tcd_tsecl@yahoo.in" TargetMode="External"/><Relationship Id="rId13" Type="http://schemas.openxmlformats.org/officeDocument/2006/relationships/hyperlink" Target="mailto:samandwi@gmail.com" TargetMode="External"/><Relationship Id="rId109" Type="http://schemas.openxmlformats.org/officeDocument/2006/relationships/hyperlink" Target="mailto:cdporpc@gmail.com" TargetMode="External"/><Relationship Id="rId260" Type="http://schemas.openxmlformats.org/officeDocument/2006/relationships/hyperlink" Target="mailto:wrdivision1@rediffmail.com" TargetMode="External"/><Relationship Id="rId316" Type="http://schemas.openxmlformats.org/officeDocument/2006/relationships/hyperlink" Target="mailto:sdfomanu@gmail.com" TargetMode="External"/><Relationship Id="rId55" Type="http://schemas.openxmlformats.org/officeDocument/2006/relationships/hyperlink" Target="mailto:cvscrknagar@gmail.com" TargetMode="External"/><Relationship Id="rId97" Type="http://schemas.openxmlformats.org/officeDocument/2006/relationships/hyperlink" Target="mailto:cdpoagartala2@gmail.com" TargetMode="External"/><Relationship Id="rId120" Type="http://schemas.openxmlformats.org/officeDocument/2006/relationships/hyperlink" Target="mailto:cdpotlm.np110@gmail.com" TargetMode="External"/><Relationship Id="rId358" Type="http://schemas.openxmlformats.org/officeDocument/2006/relationships/hyperlink" Target="mailto:rdcircle3@gmail.com" TargetMode="External"/><Relationship Id="rId162" Type="http://schemas.openxmlformats.org/officeDocument/2006/relationships/hyperlink" Target="mailto:gmdicdhalai@gmail.com" TargetMode="External"/><Relationship Id="rId218" Type="http://schemas.openxmlformats.org/officeDocument/2006/relationships/hyperlink" Target="mailto:rdcircle2@gmail.com" TargetMode="External"/><Relationship Id="rId425" Type="http://schemas.openxmlformats.org/officeDocument/2006/relationships/hyperlink" Target="mailto:itikamalpur16@gmail.com" TargetMode="External"/><Relationship Id="rId271" Type="http://schemas.openxmlformats.org/officeDocument/2006/relationships/hyperlink" Target="mailto:dwsdhalaiambassa@gmail.com" TargetMode="External"/><Relationship Id="rId24" Type="http://schemas.openxmlformats.org/officeDocument/2006/relationships/hyperlink" Target="mailto:ddhnorth@gmail.com" TargetMode="External"/><Relationship Id="rId66" Type="http://schemas.openxmlformats.org/officeDocument/2006/relationships/hyperlink" Target="mailto:arcs94364@gmail.com" TargetMode="External"/><Relationship Id="rId131" Type="http://schemas.openxmlformats.org/officeDocument/2006/relationships/hyperlink" Target="mailto:8073ddo@gmail.com" TargetMode="External"/><Relationship Id="rId327" Type="http://schemas.openxmlformats.org/officeDocument/2006/relationships/hyperlink" Target="mailto:sdfokarbook@gmail.com" TargetMode="External"/><Relationship Id="rId369" Type="http://schemas.openxmlformats.org/officeDocument/2006/relationships/hyperlink" Target="mailto:dwonorth@gmail.com" TargetMode="External"/><Relationship Id="rId173" Type="http://schemas.openxmlformats.org/officeDocument/2006/relationships/hyperlink" Target="mailto:1ctripura.agt@gmail.com" TargetMode="External"/><Relationship Id="rId229" Type="http://schemas.openxmlformats.org/officeDocument/2006/relationships/hyperlink" Target="mailto:iedivisionambassa@gmail.com" TargetMode="External"/><Relationship Id="rId380" Type="http://schemas.openxmlformats.org/officeDocument/2006/relationships/hyperlink" Target="mailto:jdeb104@gmail.com" TargetMode="External"/><Relationship Id="rId436" Type="http://schemas.openxmlformats.org/officeDocument/2006/relationships/hyperlink" Target="mailto:8196ddo@gmail.com" TargetMode="External"/><Relationship Id="rId240" Type="http://schemas.openxmlformats.org/officeDocument/2006/relationships/hyperlink" Target="mailto:cepwdtripura@gmail.com" TargetMode="External"/><Relationship Id="rId35" Type="http://schemas.openxmlformats.org/officeDocument/2006/relationships/hyperlink" Target="mailto:ddhunakoti@gmail.com" TargetMode="External"/><Relationship Id="rId77" Type="http://schemas.openxmlformats.org/officeDocument/2006/relationships/hyperlink" Target="mailto:cdpoklsnp@gmail.com" TargetMode="External"/><Relationship Id="rId100" Type="http://schemas.openxmlformats.org/officeDocument/2006/relationships/hyperlink" Target="mailto:cdpomtb@gmail.com" TargetMode="External"/><Relationship Id="rId282" Type="http://schemas.openxmlformats.org/officeDocument/2006/relationships/hyperlink" Target="mailto:sttlm.tax-tr@gov.in" TargetMode="External"/><Relationship Id="rId338" Type="http://schemas.openxmlformats.org/officeDocument/2006/relationships/hyperlink" Target="mailto:rsb.tripura@gmail.com" TargetMode="External"/><Relationship Id="rId8" Type="http://schemas.openxmlformats.org/officeDocument/2006/relationships/hyperlink" Target="mailto:sa.tulashikhar@gmail.com" TargetMode="External"/><Relationship Id="rId142" Type="http://schemas.openxmlformats.org/officeDocument/2006/relationships/hyperlink" Target="mailto:stcrb.tax-tr@gov.in" TargetMode="External"/><Relationship Id="rId184" Type="http://schemas.openxmlformats.org/officeDocument/2006/relationships/hyperlink" Target="mailto:spleodesmp.agt-tr@gov.in" TargetMode="External"/><Relationship Id="rId391" Type="http://schemas.openxmlformats.org/officeDocument/2006/relationships/hyperlink" Target="mailto:northdivision@gmail.com" TargetMode="External"/><Relationship Id="rId405" Type="http://schemas.openxmlformats.org/officeDocument/2006/relationships/hyperlink" Target="mailto:tseclec1@rediffmail.com" TargetMode="External"/><Relationship Id="rId251" Type="http://schemas.openxmlformats.org/officeDocument/2006/relationships/hyperlink" Target="mailto:eepwdbrsdiv@rediffmail.com" TargetMode="External"/><Relationship Id="rId46" Type="http://schemas.openxmlformats.org/officeDocument/2006/relationships/hyperlink" Target="mailto:ddarddwest17@gmail.com" TargetMode="External"/><Relationship Id="rId293" Type="http://schemas.openxmlformats.org/officeDocument/2006/relationships/hyperlink" Target="mailto:sto_kgt@yahoo.com" TargetMode="External"/><Relationship Id="rId307" Type="http://schemas.openxmlformats.org/officeDocument/2006/relationships/hyperlink" Target="mailto:sukeshanurag@gmail.com" TargetMode="External"/><Relationship Id="rId349" Type="http://schemas.openxmlformats.org/officeDocument/2006/relationships/hyperlink" Target="mailto:cdpo.dukli@gmail.com" TargetMode="External"/><Relationship Id="rId88" Type="http://schemas.openxmlformats.org/officeDocument/2006/relationships/hyperlink" Target="mailto:cdpokhowainp@gmail.com" TargetMode="External"/><Relationship Id="rId111" Type="http://schemas.openxmlformats.org/officeDocument/2006/relationships/hyperlink" Target="mailto:cdpojamp@gmail.com" TargetMode="External"/><Relationship Id="rId153" Type="http://schemas.openxmlformats.org/officeDocument/2006/relationships/hyperlink" Target="mailto:acctt.sectionic17@gmail.com" TargetMode="External"/><Relationship Id="rId195" Type="http://schemas.openxmlformats.org/officeDocument/2006/relationships/hyperlink" Target="mailto:dgmambassa@yahoo.com" TargetMode="External"/><Relationship Id="rId209" Type="http://schemas.openxmlformats.org/officeDocument/2006/relationships/hyperlink" Target="mailto:sroamarpur@gmail.com" TargetMode="External"/><Relationship Id="rId360" Type="http://schemas.openxmlformats.org/officeDocument/2006/relationships/hyperlink" Target="mailto:eerdtlm.2009@rediffmail.com" TargetMode="External"/><Relationship Id="rId416" Type="http://schemas.openxmlformats.org/officeDocument/2006/relationships/hyperlink" Target="mailto:agm.ee1.udp@gmail.com" TargetMode="External"/><Relationship Id="rId220" Type="http://schemas.openxmlformats.org/officeDocument/2006/relationships/hyperlink" Target="mailto:eerddstc@gmail.com" TargetMode="External"/><Relationship Id="rId15" Type="http://schemas.openxmlformats.org/officeDocument/2006/relationships/hyperlink" Target="mailto:sakarbook@gmail.com" TargetMode="External"/><Relationship Id="rId57" Type="http://schemas.openxmlformats.org/officeDocument/2006/relationships/hyperlink" Target="mailto:arddbkf@gmail.com" TargetMode="External"/><Relationship Id="rId262" Type="http://schemas.openxmlformats.org/officeDocument/2006/relationships/hyperlink" Target="mailto:bsaha64@gmail.com" TargetMode="External"/><Relationship Id="rId318" Type="http://schemas.openxmlformats.org/officeDocument/2006/relationships/hyperlink" Target="mailto:distfodhalai@yahoo.in" TargetMode="External"/><Relationship Id="rId99" Type="http://schemas.openxmlformats.org/officeDocument/2006/relationships/hyperlink" Target="mailto:cdpoktl09@gmail.com" TargetMode="External"/><Relationship Id="rId122" Type="http://schemas.openxmlformats.org/officeDocument/2006/relationships/hyperlink" Target="mailto:cdpornb@gmail.com" TargetMode="External"/><Relationship Id="rId164" Type="http://schemas.openxmlformats.org/officeDocument/2006/relationships/hyperlink" Target="mailto:directorthhs@gmail.com" TargetMode="External"/><Relationship Id="rId371" Type="http://schemas.openxmlformats.org/officeDocument/2006/relationships/hyperlink" Target="mailto:sdwoltv@gmail.com" TargetMode="External"/><Relationship Id="rId427" Type="http://schemas.openxmlformats.org/officeDocument/2006/relationships/hyperlink" Target="mailto:dgm.ed.sabroom@gmail.com" TargetMode="External"/><Relationship Id="rId26" Type="http://schemas.openxmlformats.org/officeDocument/2006/relationships/hyperlink" Target="mailto:dpoambassa042@gmail.com" TargetMode="External"/><Relationship Id="rId231" Type="http://schemas.openxmlformats.org/officeDocument/2006/relationships/hyperlink" Target="mailto:arch_pwd@rediffmail.com" TargetMode="External"/><Relationship Id="rId273" Type="http://schemas.openxmlformats.org/officeDocument/2006/relationships/hyperlink" Target="mailto:dwsdivagartala1@gmail.com" TargetMode="External"/><Relationship Id="rId329" Type="http://schemas.openxmlformats.org/officeDocument/2006/relationships/hyperlink" Target="mailto:sdfosabroom@gmail.com" TargetMode="External"/><Relationship Id="rId68" Type="http://schemas.openxmlformats.org/officeDocument/2006/relationships/hyperlink" Target="mailto:arcsstb@gmail.com" TargetMode="External"/><Relationship Id="rId133" Type="http://schemas.openxmlformats.org/officeDocument/2006/relationships/hyperlink" Target="mailto:southyasbln@gmail.com" TargetMode="External"/><Relationship Id="rId175" Type="http://schemas.openxmlformats.org/officeDocument/2006/relationships/hyperlink" Target="mailto:dloudp2015@gmail.com" TargetMode="External"/><Relationship Id="rId340" Type="http://schemas.openxmlformats.org/officeDocument/2006/relationships/hyperlink" Target="mailto:cdpomlg@gmail.com" TargetMode="External"/><Relationship Id="rId200" Type="http://schemas.openxmlformats.org/officeDocument/2006/relationships/hyperlink" Target="mailto:eedwsdkgt@gmail.com" TargetMode="External"/><Relationship Id="rId382" Type="http://schemas.openxmlformats.org/officeDocument/2006/relationships/hyperlink" Target="mailto:sdwosbm@gmail.com" TargetMode="External"/><Relationship Id="rId438" Type="http://schemas.openxmlformats.org/officeDocument/2006/relationships/hyperlink" Target="mailto:nic.sonamura@gmail.com" TargetMode="External"/><Relationship Id="rId242" Type="http://schemas.openxmlformats.org/officeDocument/2006/relationships/hyperlink" Target="mailto:se2ndcash@gmail.com" TargetMode="External"/><Relationship Id="rId284" Type="http://schemas.openxmlformats.org/officeDocument/2006/relationships/hyperlink" Target="mailto:stoltv@yahoo.com" TargetMode="External"/><Relationship Id="rId37" Type="http://schemas.openxmlformats.org/officeDocument/2006/relationships/hyperlink" Target="mailto:thangaroyte@gmail.com" TargetMode="External"/><Relationship Id="rId79" Type="http://schemas.openxmlformats.org/officeDocument/2006/relationships/hyperlink" Target="mailto:cdpocmn@gmail.com" TargetMode="External"/><Relationship Id="rId102" Type="http://schemas.openxmlformats.org/officeDocument/2006/relationships/hyperlink" Target="mailto:cdpoamp@gmail.com" TargetMode="External"/><Relationship Id="rId144" Type="http://schemas.openxmlformats.org/officeDocument/2006/relationships/hyperlink" Target="mailto:excisedhalai@gmail.com" TargetMode="External"/><Relationship Id="rId90" Type="http://schemas.openxmlformats.org/officeDocument/2006/relationships/hyperlink" Target="mailto:8007ddo@gmail.com" TargetMode="External"/><Relationship Id="rId186" Type="http://schemas.openxmlformats.org/officeDocument/2006/relationships/hyperlink" Target="mailto:dsounakoti939@gmail.com" TargetMode="External"/><Relationship Id="rId351" Type="http://schemas.openxmlformats.org/officeDocument/2006/relationships/hyperlink" Target="mailto:cdpopecharthal@gmail.com" TargetMode="External"/><Relationship Id="rId393" Type="http://schemas.openxmlformats.org/officeDocument/2006/relationships/hyperlink" Target="mailto:ddo.urban-tr@gov.in" TargetMode="External"/><Relationship Id="rId407" Type="http://schemas.openxmlformats.org/officeDocument/2006/relationships/hyperlink" Target="mailto:ad_comm@rediffmail.com" TargetMode="External"/><Relationship Id="rId211" Type="http://schemas.openxmlformats.org/officeDocument/2006/relationships/hyperlink" Target="mailto:srotlm.dcm@gmail.com" TargetMode="External"/><Relationship Id="rId253" Type="http://schemas.openxmlformats.org/officeDocument/2006/relationships/hyperlink" Target="mailto:se1stcircle2016@gmail.com" TargetMode="External"/><Relationship Id="rId295" Type="http://schemas.openxmlformats.org/officeDocument/2006/relationships/hyperlink" Target="mailto:stomnp2017@gmail.com" TargetMode="External"/><Relationship Id="rId309" Type="http://schemas.openxmlformats.org/officeDocument/2006/relationships/hyperlink" Target="mailto:sfbishalgarh@gmail.com" TargetMode="External"/><Relationship Id="rId48" Type="http://schemas.openxmlformats.org/officeDocument/2006/relationships/hyperlink" Target="mailto:gautamreang@gmail.com" TargetMode="External"/><Relationship Id="rId113" Type="http://schemas.openxmlformats.org/officeDocument/2006/relationships/hyperlink" Target="mailto:cdpo.dmc@gmail.com" TargetMode="External"/><Relationship Id="rId320" Type="http://schemas.openxmlformats.org/officeDocument/2006/relationships/hyperlink" Target="mailto:adasdcf@gmail.com" TargetMode="External"/><Relationship Id="rId155" Type="http://schemas.openxmlformats.org/officeDocument/2006/relationships/hyperlink" Target="mailto:dicaw8@gmail.com" TargetMode="External"/><Relationship Id="rId197" Type="http://schemas.openxmlformats.org/officeDocument/2006/relationships/hyperlink" Target="mailto:eedwsudaipur@yahoo.com" TargetMode="External"/><Relationship Id="rId362" Type="http://schemas.openxmlformats.org/officeDocument/2006/relationships/hyperlink" Target="mailto:directorstetrip@gmail.com" TargetMode="External"/><Relationship Id="rId418" Type="http://schemas.openxmlformats.org/officeDocument/2006/relationships/hyperlink" Target="mailto:tsecldivn.amarpur@gmail.com" TargetMode="External"/><Relationship Id="rId222" Type="http://schemas.openxmlformats.org/officeDocument/2006/relationships/hyperlink" Target="mailto:eepower1234@gmail.com" TargetMode="External"/><Relationship Id="rId264" Type="http://schemas.openxmlformats.org/officeDocument/2006/relationships/hyperlink" Target="mailto:ddosewrci@gmail.com" TargetMode="External"/><Relationship Id="rId17" Type="http://schemas.openxmlformats.org/officeDocument/2006/relationships/hyperlink" Target="mailto:supdtsatchand@gmail.com" TargetMode="External"/><Relationship Id="rId59" Type="http://schemas.openxmlformats.org/officeDocument/2006/relationships/hyperlink" Target="mailto:deputyregistrardhalai@gmail.com" TargetMode="External"/><Relationship Id="rId124" Type="http://schemas.openxmlformats.org/officeDocument/2006/relationships/hyperlink" Target="mailto:cdpomp@gmail.com" TargetMode="External"/><Relationship Id="rId70" Type="http://schemas.openxmlformats.org/officeDocument/2006/relationships/hyperlink" Target="mailto:dietkailashahar2004@gmail.com" TargetMode="External"/><Relationship Id="rId166" Type="http://schemas.openxmlformats.org/officeDocument/2006/relationships/hyperlink" Target="mailto:sericulturestb272@gmail.com" TargetMode="External"/><Relationship Id="rId331" Type="http://schemas.openxmlformats.org/officeDocument/2006/relationships/hyperlink" Target="mailto:districtforest@gmail.com" TargetMode="External"/><Relationship Id="rId373" Type="http://schemas.openxmlformats.org/officeDocument/2006/relationships/hyperlink" Target="mailto:sdwoabs@gmail.com" TargetMode="External"/><Relationship Id="rId429" Type="http://schemas.openxmlformats.org/officeDocument/2006/relationships/hyperlink" Target="mailto:executiveengineerdharmanagar@gmail.com" TargetMode="External"/><Relationship Id="rId1" Type="http://schemas.openxmlformats.org/officeDocument/2006/relationships/hyperlink" Target="mailto:superagrikanchanpur@gmail.com" TargetMode="External"/><Relationship Id="rId233" Type="http://schemas.openxmlformats.org/officeDocument/2006/relationships/hyperlink" Target="mailto:estateofficerpwd@gmail.com" TargetMode="External"/><Relationship Id="rId440" Type="http://schemas.openxmlformats.org/officeDocument/2006/relationships/drawing" Target="../drawings/drawing6.xml"/><Relationship Id="rId28" Type="http://schemas.openxmlformats.org/officeDocument/2006/relationships/hyperlink" Target="mailto:khowai_horti@rediffmail.com" TargetMode="External"/><Relationship Id="rId275" Type="http://schemas.openxmlformats.org/officeDocument/2006/relationships/hyperlink" Target="mailto:rigdivision@gmail.com" TargetMode="External"/><Relationship Id="rId300" Type="http://schemas.openxmlformats.org/officeDocument/2006/relationships/hyperlink" Target="mailto:sfkhowai@yahoo.com" TargetMode="External"/><Relationship Id="rId81" Type="http://schemas.openxmlformats.org/officeDocument/2006/relationships/hyperlink" Target="mailto:dise.dh@gmail.com" TargetMode="External"/><Relationship Id="rId135" Type="http://schemas.openxmlformats.org/officeDocument/2006/relationships/hyperlink" Target="mailto:blg7syas@gmail.com" TargetMode="External"/><Relationship Id="rId177" Type="http://schemas.openxmlformats.org/officeDocument/2006/relationships/hyperlink" Target="mailto:ifukls@yahoo.com" TargetMode="External"/><Relationship Id="rId342" Type="http://schemas.openxmlformats.org/officeDocument/2006/relationships/hyperlink" Target="mailto:cdposnp@gmail.com" TargetMode="External"/><Relationship Id="rId384" Type="http://schemas.openxmlformats.org/officeDocument/2006/relationships/hyperlink" Target="mailto:sdwogn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C1:V26"/>
  <sheetViews>
    <sheetView workbookViewId="0">
      <selection activeCell="G32" sqref="G32"/>
    </sheetView>
  </sheetViews>
  <sheetFormatPr defaultColWidth="9.140625" defaultRowHeight="15" x14ac:dyDescent="0.25"/>
  <cols>
    <col min="1" max="2" width="9.140625" style="181"/>
    <col min="3" max="17" width="11.28515625" style="181" bestFit="1" customWidth="1"/>
    <col min="18" max="22" width="13.5703125" style="181" bestFit="1" customWidth="1"/>
    <col min="23" max="16384" width="9.140625" style="181"/>
  </cols>
  <sheetData>
    <row r="1" spans="3:22" ht="23.25" thickBot="1" x14ac:dyDescent="0.3">
      <c r="C1" s="957" t="s">
        <v>0</v>
      </c>
      <c r="D1" s="958"/>
      <c r="E1" s="958"/>
      <c r="F1" s="958"/>
      <c r="G1" s="958"/>
      <c r="H1" s="958"/>
      <c r="I1" s="958"/>
      <c r="J1" s="958"/>
      <c r="K1" s="958"/>
      <c r="L1" s="958"/>
      <c r="M1" s="958"/>
      <c r="N1" s="958"/>
      <c r="O1" s="958"/>
      <c r="P1" s="958"/>
      <c r="Q1" s="958"/>
      <c r="R1" s="958"/>
      <c r="S1" s="958"/>
      <c r="T1" s="958"/>
      <c r="U1" s="958"/>
      <c r="V1" s="959"/>
    </row>
    <row r="2" spans="3:22" ht="19.5" thickBot="1" x14ac:dyDescent="0.3">
      <c r="C2" s="524">
        <v>330</v>
      </c>
      <c r="D2" s="525">
        <v>340</v>
      </c>
      <c r="E2" s="525">
        <v>370</v>
      </c>
      <c r="F2" s="526">
        <v>400</v>
      </c>
      <c r="G2" s="524">
        <v>430</v>
      </c>
      <c r="H2" s="525">
        <v>470</v>
      </c>
      <c r="I2" s="525">
        <v>590</v>
      </c>
      <c r="J2" s="525">
        <v>550</v>
      </c>
      <c r="K2" s="525">
        <v>560</v>
      </c>
      <c r="L2" s="525">
        <v>600</v>
      </c>
      <c r="M2" s="526">
        <v>650</v>
      </c>
      <c r="N2" s="524">
        <v>750</v>
      </c>
      <c r="O2" s="525">
        <v>780</v>
      </c>
      <c r="P2" s="526">
        <v>800</v>
      </c>
      <c r="Q2" s="527">
        <v>900</v>
      </c>
      <c r="R2" s="525">
        <v>1200</v>
      </c>
      <c r="S2" s="525">
        <v>1600</v>
      </c>
      <c r="T2" s="525">
        <v>1700</v>
      </c>
      <c r="U2" s="525">
        <v>1800</v>
      </c>
      <c r="V2" s="526">
        <v>2100</v>
      </c>
    </row>
    <row r="3" spans="3:22" x14ac:dyDescent="0.25">
      <c r="C3" s="528">
        <f t="shared" ref="C3:C12" si="0">C2+6</f>
        <v>336</v>
      </c>
      <c r="D3" s="529">
        <f>D2+8</f>
        <v>348</v>
      </c>
      <c r="E3" s="529">
        <f>E2+8</f>
        <v>378</v>
      </c>
      <c r="F3" s="530">
        <f>F2+12</f>
        <v>412</v>
      </c>
      <c r="G3" s="528">
        <f>G2+15</f>
        <v>445</v>
      </c>
      <c r="H3" s="529">
        <f>H2+20</f>
        <v>490</v>
      </c>
      <c r="I3" s="529">
        <f>I2+20</f>
        <v>610</v>
      </c>
      <c r="J3" s="529">
        <f>J2+25</f>
        <v>575</v>
      </c>
      <c r="K3" s="529">
        <f>K2+25</f>
        <v>585</v>
      </c>
      <c r="L3" s="529">
        <f>L2+35</f>
        <v>635</v>
      </c>
      <c r="M3" s="530">
        <f>M2+40</f>
        <v>690</v>
      </c>
      <c r="N3" s="528">
        <f>N2+45</f>
        <v>795</v>
      </c>
      <c r="O3" s="529">
        <f t="shared" ref="O3:Q4" si="1">O2+50</f>
        <v>830</v>
      </c>
      <c r="P3" s="530">
        <f t="shared" si="1"/>
        <v>850</v>
      </c>
      <c r="Q3" s="531">
        <f t="shared" si="1"/>
        <v>950</v>
      </c>
      <c r="R3" s="529">
        <f>R2+60</f>
        <v>1260</v>
      </c>
      <c r="S3" s="529">
        <f>S2+75</f>
        <v>1675</v>
      </c>
      <c r="T3" s="529">
        <f>T2+80</f>
        <v>1780</v>
      </c>
      <c r="U3" s="529">
        <f>U2+100</f>
        <v>1900</v>
      </c>
      <c r="V3" s="530">
        <f>V2+125</f>
        <v>2225</v>
      </c>
    </row>
    <row r="4" spans="3:22" x14ac:dyDescent="0.25">
      <c r="C4" s="532">
        <f t="shared" si="0"/>
        <v>342</v>
      </c>
      <c r="D4" s="533">
        <f t="shared" ref="D4:D13" si="2">D3+8</f>
        <v>356</v>
      </c>
      <c r="E4" s="533">
        <f>E3+8</f>
        <v>386</v>
      </c>
      <c r="F4" s="534">
        <f t="shared" ref="F4:F12" si="3">F3+12</f>
        <v>424</v>
      </c>
      <c r="G4" s="532">
        <f t="shared" ref="G4:G11" si="4">G3+15</f>
        <v>460</v>
      </c>
      <c r="H4" s="533">
        <f>H3+20</f>
        <v>510</v>
      </c>
      <c r="I4" s="533">
        <f t="shared" ref="I4:I11" si="5">I3+20</f>
        <v>630</v>
      </c>
      <c r="J4" s="533">
        <f t="shared" ref="J4:J9" si="6">J3+25</f>
        <v>600</v>
      </c>
      <c r="K4" s="533">
        <f>K3+25</f>
        <v>610</v>
      </c>
      <c r="L4" s="533">
        <f t="shared" ref="L4:L11" si="7">L3+35</f>
        <v>670</v>
      </c>
      <c r="M4" s="534">
        <f t="shared" ref="M4:M12" si="8">M3+40</f>
        <v>730</v>
      </c>
      <c r="N4" s="532">
        <f t="shared" ref="N4:N9" si="9">N3+45</f>
        <v>840</v>
      </c>
      <c r="O4" s="533">
        <f t="shared" si="1"/>
        <v>880</v>
      </c>
      <c r="P4" s="534">
        <f t="shared" si="1"/>
        <v>900</v>
      </c>
      <c r="Q4" s="535">
        <f t="shared" si="1"/>
        <v>1000</v>
      </c>
      <c r="R4" s="533">
        <f>R3+60</f>
        <v>1320</v>
      </c>
      <c r="S4" s="533">
        <f t="shared" ref="S4:S9" si="10">S3+75</f>
        <v>1750</v>
      </c>
      <c r="T4" s="533">
        <f t="shared" ref="T4:T10" si="11">T3+80</f>
        <v>1860</v>
      </c>
      <c r="U4" s="533">
        <f t="shared" ref="U4:U9" si="12">U3+100</f>
        <v>2000</v>
      </c>
      <c r="V4" s="534">
        <f>V3+125</f>
        <v>2350</v>
      </c>
    </row>
    <row r="5" spans="3:22" x14ac:dyDescent="0.25">
      <c r="C5" s="532">
        <f t="shared" si="0"/>
        <v>348</v>
      </c>
      <c r="D5" s="533">
        <f t="shared" si="2"/>
        <v>364</v>
      </c>
      <c r="E5" s="533">
        <f>E4+8</f>
        <v>394</v>
      </c>
      <c r="F5" s="534">
        <f t="shared" si="3"/>
        <v>436</v>
      </c>
      <c r="G5" s="532">
        <f t="shared" si="4"/>
        <v>475</v>
      </c>
      <c r="H5" s="533">
        <f>H4+20</f>
        <v>530</v>
      </c>
      <c r="I5" s="533">
        <f t="shared" si="5"/>
        <v>650</v>
      </c>
      <c r="J5" s="533">
        <f t="shared" si="6"/>
        <v>625</v>
      </c>
      <c r="K5" s="533">
        <f>K4+25</f>
        <v>635</v>
      </c>
      <c r="L5" s="533">
        <f t="shared" si="7"/>
        <v>705</v>
      </c>
      <c r="M5" s="534">
        <f t="shared" si="8"/>
        <v>770</v>
      </c>
      <c r="N5" s="532">
        <f t="shared" si="9"/>
        <v>885</v>
      </c>
      <c r="O5" s="533">
        <f t="shared" ref="O5:P7" si="13">O4+50</f>
        <v>930</v>
      </c>
      <c r="P5" s="534">
        <f t="shared" si="13"/>
        <v>950</v>
      </c>
      <c r="Q5" s="535">
        <f>Q4+55</f>
        <v>1055</v>
      </c>
      <c r="R5" s="533">
        <f>R4+60</f>
        <v>1380</v>
      </c>
      <c r="S5" s="533">
        <f t="shared" si="10"/>
        <v>1825</v>
      </c>
      <c r="T5" s="533">
        <f t="shared" si="11"/>
        <v>1940</v>
      </c>
      <c r="U5" s="533">
        <f t="shared" si="12"/>
        <v>2100</v>
      </c>
      <c r="V5" s="534">
        <f>V4+125</f>
        <v>2475</v>
      </c>
    </row>
    <row r="6" spans="3:22" x14ac:dyDescent="0.25">
      <c r="C6" s="532">
        <f t="shared" si="0"/>
        <v>354</v>
      </c>
      <c r="D6" s="533">
        <f t="shared" si="2"/>
        <v>372</v>
      </c>
      <c r="E6" s="533">
        <f>E5+8</f>
        <v>402</v>
      </c>
      <c r="F6" s="534">
        <f t="shared" si="3"/>
        <v>448</v>
      </c>
      <c r="G6" s="532">
        <f t="shared" si="4"/>
        <v>490</v>
      </c>
      <c r="H6" s="533">
        <f>H5+20</f>
        <v>550</v>
      </c>
      <c r="I6" s="533">
        <f t="shared" si="5"/>
        <v>670</v>
      </c>
      <c r="J6" s="533">
        <f t="shared" si="6"/>
        <v>650</v>
      </c>
      <c r="K6" s="533">
        <f>K5+25</f>
        <v>660</v>
      </c>
      <c r="L6" s="533">
        <f t="shared" si="7"/>
        <v>740</v>
      </c>
      <c r="M6" s="534">
        <f t="shared" si="8"/>
        <v>810</v>
      </c>
      <c r="N6" s="532">
        <f t="shared" si="9"/>
        <v>930</v>
      </c>
      <c r="O6" s="533">
        <f t="shared" si="13"/>
        <v>980</v>
      </c>
      <c r="P6" s="534">
        <f t="shared" si="13"/>
        <v>1000</v>
      </c>
      <c r="Q6" s="535">
        <f>Q5+55</f>
        <v>1110</v>
      </c>
      <c r="R6" s="533">
        <f>R5+65</f>
        <v>1445</v>
      </c>
      <c r="S6" s="533">
        <f t="shared" si="10"/>
        <v>1900</v>
      </c>
      <c r="T6" s="533">
        <f t="shared" si="11"/>
        <v>2020</v>
      </c>
      <c r="U6" s="533">
        <f t="shared" si="12"/>
        <v>2200</v>
      </c>
      <c r="V6" s="534">
        <f>V5+125</f>
        <v>2600</v>
      </c>
    </row>
    <row r="7" spans="3:22" x14ac:dyDescent="0.25">
      <c r="C7" s="532">
        <f t="shared" si="0"/>
        <v>360</v>
      </c>
      <c r="D7" s="533">
        <f t="shared" si="2"/>
        <v>380</v>
      </c>
      <c r="E7" s="533">
        <f>E6+8</f>
        <v>410</v>
      </c>
      <c r="F7" s="534">
        <f t="shared" si="3"/>
        <v>460</v>
      </c>
      <c r="G7" s="532">
        <f t="shared" si="4"/>
        <v>505</v>
      </c>
      <c r="H7" s="533">
        <f t="shared" ref="H7:H25" si="14">H6+25</f>
        <v>575</v>
      </c>
      <c r="I7" s="533">
        <f t="shared" si="5"/>
        <v>690</v>
      </c>
      <c r="J7" s="533">
        <f t="shared" si="6"/>
        <v>675</v>
      </c>
      <c r="K7" s="533">
        <f>K6+25</f>
        <v>685</v>
      </c>
      <c r="L7" s="533">
        <f t="shared" si="7"/>
        <v>775</v>
      </c>
      <c r="M7" s="534">
        <f t="shared" si="8"/>
        <v>850</v>
      </c>
      <c r="N7" s="532">
        <f t="shared" si="9"/>
        <v>975</v>
      </c>
      <c r="O7" s="533">
        <f t="shared" si="13"/>
        <v>1030</v>
      </c>
      <c r="P7" s="534">
        <f t="shared" si="13"/>
        <v>1050</v>
      </c>
      <c r="Q7" s="535">
        <f>Q6+55</f>
        <v>1165</v>
      </c>
      <c r="R7" s="533">
        <f t="shared" ref="R7:R13" si="15">R6+65</f>
        <v>1510</v>
      </c>
      <c r="S7" s="533">
        <f t="shared" si="10"/>
        <v>1975</v>
      </c>
      <c r="T7" s="533">
        <f t="shared" si="11"/>
        <v>2100</v>
      </c>
      <c r="U7" s="533">
        <f t="shared" si="12"/>
        <v>2300</v>
      </c>
      <c r="V7" s="534"/>
    </row>
    <row r="8" spans="3:22" x14ac:dyDescent="0.25">
      <c r="C8" s="532">
        <f t="shared" si="0"/>
        <v>366</v>
      </c>
      <c r="D8" s="533">
        <f t="shared" si="2"/>
        <v>388</v>
      </c>
      <c r="E8" s="533">
        <f t="shared" ref="E8:E13" si="16">E7+10</f>
        <v>420</v>
      </c>
      <c r="F8" s="534">
        <f t="shared" si="3"/>
        <v>472</v>
      </c>
      <c r="G8" s="532">
        <f t="shared" si="4"/>
        <v>520</v>
      </c>
      <c r="H8" s="533">
        <f t="shared" si="14"/>
        <v>600</v>
      </c>
      <c r="I8" s="533">
        <f t="shared" si="5"/>
        <v>710</v>
      </c>
      <c r="J8" s="533">
        <f t="shared" si="6"/>
        <v>700</v>
      </c>
      <c r="K8" s="533">
        <f>K7+25</f>
        <v>710</v>
      </c>
      <c r="L8" s="533">
        <f t="shared" si="7"/>
        <v>810</v>
      </c>
      <c r="M8" s="534">
        <f t="shared" si="8"/>
        <v>890</v>
      </c>
      <c r="N8" s="532">
        <f t="shared" si="9"/>
        <v>1020</v>
      </c>
      <c r="O8" s="533">
        <f t="shared" ref="O8:P13" si="17">O7+55</f>
        <v>1085</v>
      </c>
      <c r="P8" s="534">
        <f t="shared" si="17"/>
        <v>1105</v>
      </c>
      <c r="Q8" s="535">
        <f>Q7+55</f>
        <v>1220</v>
      </c>
      <c r="R8" s="533">
        <f t="shared" si="15"/>
        <v>1575</v>
      </c>
      <c r="S8" s="533">
        <f t="shared" si="10"/>
        <v>2050</v>
      </c>
      <c r="T8" s="533">
        <f t="shared" si="11"/>
        <v>2180</v>
      </c>
      <c r="U8" s="533">
        <f t="shared" si="12"/>
        <v>2400</v>
      </c>
      <c r="V8" s="534"/>
    </row>
    <row r="9" spans="3:22" x14ac:dyDescent="0.25">
      <c r="C9" s="532">
        <f t="shared" si="0"/>
        <v>372</v>
      </c>
      <c r="D9" s="533">
        <f t="shared" si="2"/>
        <v>396</v>
      </c>
      <c r="E9" s="533">
        <f t="shared" si="16"/>
        <v>430</v>
      </c>
      <c r="F9" s="534">
        <f t="shared" si="3"/>
        <v>484</v>
      </c>
      <c r="G9" s="532">
        <f t="shared" si="4"/>
        <v>535</v>
      </c>
      <c r="H9" s="533">
        <f t="shared" si="14"/>
        <v>625</v>
      </c>
      <c r="I9" s="533">
        <f>I8+20</f>
        <v>730</v>
      </c>
      <c r="J9" s="533">
        <f t="shared" si="6"/>
        <v>725</v>
      </c>
      <c r="K9" s="533">
        <f>K8+30</f>
        <v>740</v>
      </c>
      <c r="L9" s="533">
        <f>L8+35</f>
        <v>845</v>
      </c>
      <c r="M9" s="534">
        <f t="shared" si="8"/>
        <v>930</v>
      </c>
      <c r="N9" s="532">
        <f t="shared" si="9"/>
        <v>1065</v>
      </c>
      <c r="O9" s="533">
        <f t="shared" si="17"/>
        <v>1140</v>
      </c>
      <c r="P9" s="534">
        <f t="shared" si="17"/>
        <v>1160</v>
      </c>
      <c r="Q9" s="535">
        <f>Q8+55</f>
        <v>1275</v>
      </c>
      <c r="R9" s="533">
        <f t="shared" si="15"/>
        <v>1640</v>
      </c>
      <c r="S9" s="533">
        <f t="shared" si="10"/>
        <v>2125</v>
      </c>
      <c r="T9" s="533">
        <f>T8+80</f>
        <v>2260</v>
      </c>
      <c r="U9" s="533">
        <f t="shared" si="12"/>
        <v>2500</v>
      </c>
      <c r="V9" s="534"/>
    </row>
    <row r="10" spans="3:22" x14ac:dyDescent="0.25">
      <c r="C10" s="532">
        <f t="shared" si="0"/>
        <v>378</v>
      </c>
      <c r="D10" s="533">
        <f>D9+8</f>
        <v>404</v>
      </c>
      <c r="E10" s="533">
        <f t="shared" si="16"/>
        <v>440</v>
      </c>
      <c r="F10" s="534">
        <f t="shared" si="3"/>
        <v>496</v>
      </c>
      <c r="G10" s="532">
        <f t="shared" si="4"/>
        <v>550</v>
      </c>
      <c r="H10" s="533">
        <f t="shared" si="14"/>
        <v>650</v>
      </c>
      <c r="I10" s="533">
        <f t="shared" si="5"/>
        <v>750</v>
      </c>
      <c r="J10" s="533">
        <f>J9+25</f>
        <v>750</v>
      </c>
      <c r="K10" s="533">
        <f>K9+30</f>
        <v>770</v>
      </c>
      <c r="L10" s="533">
        <f t="shared" si="7"/>
        <v>880</v>
      </c>
      <c r="M10" s="534">
        <f>M9+40</f>
        <v>970</v>
      </c>
      <c r="N10" s="532">
        <f>N9+45</f>
        <v>1110</v>
      </c>
      <c r="O10" s="533">
        <f t="shared" si="17"/>
        <v>1195</v>
      </c>
      <c r="P10" s="534">
        <f t="shared" si="17"/>
        <v>1215</v>
      </c>
      <c r="Q10" s="535">
        <f t="shared" ref="Q10:Q15" si="18">Q9+60</f>
        <v>1335</v>
      </c>
      <c r="R10" s="533">
        <f t="shared" si="15"/>
        <v>1705</v>
      </c>
      <c r="S10" s="533">
        <f>S9+75</f>
        <v>2200</v>
      </c>
      <c r="T10" s="533">
        <f t="shared" si="11"/>
        <v>2340</v>
      </c>
      <c r="U10" s="533"/>
      <c r="V10" s="534"/>
    </row>
    <row r="11" spans="3:22" x14ac:dyDescent="0.25">
      <c r="C11" s="532">
        <f t="shared" si="0"/>
        <v>384</v>
      </c>
      <c r="D11" s="533">
        <f t="shared" si="2"/>
        <v>412</v>
      </c>
      <c r="E11" s="533">
        <f t="shared" si="16"/>
        <v>450</v>
      </c>
      <c r="F11" s="534">
        <f>F10+12</f>
        <v>508</v>
      </c>
      <c r="G11" s="532">
        <f t="shared" si="4"/>
        <v>565</v>
      </c>
      <c r="H11" s="533">
        <f t="shared" si="14"/>
        <v>675</v>
      </c>
      <c r="I11" s="533">
        <f t="shared" si="5"/>
        <v>770</v>
      </c>
      <c r="J11" s="533">
        <f>J10+25</f>
        <v>775</v>
      </c>
      <c r="K11" s="533">
        <f>K10+30</f>
        <v>800</v>
      </c>
      <c r="L11" s="533">
        <f t="shared" si="7"/>
        <v>915</v>
      </c>
      <c r="M11" s="534">
        <f t="shared" si="8"/>
        <v>1010</v>
      </c>
      <c r="N11" s="532">
        <f>N10+45</f>
        <v>1155</v>
      </c>
      <c r="O11" s="533">
        <f t="shared" si="17"/>
        <v>1250</v>
      </c>
      <c r="P11" s="534">
        <f t="shared" si="17"/>
        <v>1270</v>
      </c>
      <c r="Q11" s="535">
        <f t="shared" si="18"/>
        <v>1395</v>
      </c>
      <c r="R11" s="533">
        <f t="shared" si="15"/>
        <v>1770</v>
      </c>
      <c r="S11" s="533"/>
      <c r="T11" s="533"/>
      <c r="U11" s="533"/>
      <c r="V11" s="534"/>
    </row>
    <row r="12" spans="3:22" x14ac:dyDescent="0.25">
      <c r="C12" s="532">
        <f t="shared" si="0"/>
        <v>390</v>
      </c>
      <c r="D12" s="533">
        <f t="shared" si="2"/>
        <v>420</v>
      </c>
      <c r="E12" s="533">
        <f t="shared" si="16"/>
        <v>460</v>
      </c>
      <c r="F12" s="534">
        <f t="shared" si="3"/>
        <v>520</v>
      </c>
      <c r="G12" s="532">
        <f>G11+15</f>
        <v>580</v>
      </c>
      <c r="H12" s="533">
        <f t="shared" si="14"/>
        <v>700</v>
      </c>
      <c r="I12" s="533">
        <f>I11+20</f>
        <v>790</v>
      </c>
      <c r="J12" s="533">
        <f>J11+25</f>
        <v>800</v>
      </c>
      <c r="K12" s="533">
        <f>K11+30</f>
        <v>830</v>
      </c>
      <c r="L12" s="533">
        <f>L11+35</f>
        <v>950</v>
      </c>
      <c r="M12" s="534">
        <f t="shared" si="8"/>
        <v>1050</v>
      </c>
      <c r="N12" s="532">
        <f>N11+50</f>
        <v>1205</v>
      </c>
      <c r="O12" s="533">
        <f t="shared" si="17"/>
        <v>1305</v>
      </c>
      <c r="P12" s="534">
        <f t="shared" si="17"/>
        <v>1325</v>
      </c>
      <c r="Q12" s="535">
        <f t="shared" si="18"/>
        <v>1455</v>
      </c>
      <c r="R12" s="533">
        <f t="shared" si="15"/>
        <v>1835</v>
      </c>
      <c r="S12" s="533"/>
      <c r="T12" s="533"/>
      <c r="U12" s="533"/>
      <c r="V12" s="534"/>
    </row>
    <row r="13" spans="3:22" x14ac:dyDescent="0.25">
      <c r="C13" s="532">
        <f>C12+7</f>
        <v>397</v>
      </c>
      <c r="D13" s="533">
        <f t="shared" si="2"/>
        <v>428</v>
      </c>
      <c r="E13" s="533">
        <f t="shared" si="16"/>
        <v>470</v>
      </c>
      <c r="F13" s="534">
        <f>F12+15</f>
        <v>535</v>
      </c>
      <c r="G13" s="532">
        <f>G12+20</f>
        <v>600</v>
      </c>
      <c r="H13" s="533">
        <f t="shared" si="14"/>
        <v>725</v>
      </c>
      <c r="I13" s="533">
        <f>I12+25</f>
        <v>815</v>
      </c>
      <c r="J13" s="533">
        <f>J12+25</f>
        <v>825</v>
      </c>
      <c r="K13" s="533">
        <f>K12+30</f>
        <v>860</v>
      </c>
      <c r="L13" s="533">
        <f>L12+40</f>
        <v>990</v>
      </c>
      <c r="M13" s="534">
        <f>M12+45</f>
        <v>1095</v>
      </c>
      <c r="N13" s="532">
        <f>N12+50</f>
        <v>1255</v>
      </c>
      <c r="O13" s="533">
        <f t="shared" si="17"/>
        <v>1360</v>
      </c>
      <c r="P13" s="534">
        <f t="shared" si="17"/>
        <v>1380</v>
      </c>
      <c r="Q13" s="535">
        <f t="shared" si="18"/>
        <v>1515</v>
      </c>
      <c r="R13" s="533">
        <f t="shared" si="15"/>
        <v>1900</v>
      </c>
      <c r="S13" s="533"/>
      <c r="T13" s="533"/>
      <c r="U13" s="533"/>
      <c r="V13" s="534"/>
    </row>
    <row r="14" spans="3:22" x14ac:dyDescent="0.25">
      <c r="C14" s="532">
        <f t="shared" ref="C14:C21" si="19">C13+7</f>
        <v>404</v>
      </c>
      <c r="D14" s="533">
        <f>D13+9</f>
        <v>437</v>
      </c>
      <c r="E14" s="533">
        <f>E13+15</f>
        <v>485</v>
      </c>
      <c r="F14" s="534">
        <f>F13+20</f>
        <v>555</v>
      </c>
      <c r="G14" s="532">
        <f>G13+25</f>
        <v>625</v>
      </c>
      <c r="H14" s="533">
        <f t="shared" si="14"/>
        <v>750</v>
      </c>
      <c r="I14" s="533">
        <f t="shared" ref="I14:I20" si="20">I13+25</f>
        <v>840</v>
      </c>
      <c r="J14" s="533">
        <f>J13+25</f>
        <v>850</v>
      </c>
      <c r="K14" s="533">
        <f>K13+40</f>
        <v>900</v>
      </c>
      <c r="L14" s="533">
        <f>L13+45</f>
        <v>1035</v>
      </c>
      <c r="M14" s="534">
        <f>M13+50</f>
        <v>1145</v>
      </c>
      <c r="N14" s="532">
        <f>N13+55</f>
        <v>1310</v>
      </c>
      <c r="O14" s="533">
        <f>O13+60</f>
        <v>1420</v>
      </c>
      <c r="P14" s="534">
        <f>P13+60</f>
        <v>1440</v>
      </c>
      <c r="Q14" s="535">
        <f t="shared" si="18"/>
        <v>1575</v>
      </c>
      <c r="R14" s="533">
        <f>R13+100</f>
        <v>2000</v>
      </c>
      <c r="S14" s="533"/>
      <c r="T14" s="533"/>
      <c r="U14" s="533"/>
      <c r="V14" s="534"/>
    </row>
    <row r="15" spans="3:22" x14ac:dyDescent="0.25">
      <c r="C15" s="532">
        <f t="shared" si="19"/>
        <v>411</v>
      </c>
      <c r="D15" s="533">
        <f t="shared" ref="D15:D21" si="21">D14+9</f>
        <v>446</v>
      </c>
      <c r="E15" s="533">
        <f t="shared" ref="E15:E25" si="22">E14+15</f>
        <v>500</v>
      </c>
      <c r="F15" s="534">
        <f t="shared" ref="F15:F25" si="23">F14+20</f>
        <v>575</v>
      </c>
      <c r="G15" s="532">
        <f t="shared" ref="G15:G23" si="24">G14+25</f>
        <v>650</v>
      </c>
      <c r="H15" s="533">
        <f t="shared" si="14"/>
        <v>775</v>
      </c>
      <c r="I15" s="533">
        <f t="shared" si="20"/>
        <v>865</v>
      </c>
      <c r="J15" s="533">
        <f>J14+30</f>
        <v>880</v>
      </c>
      <c r="K15" s="533">
        <f t="shared" ref="K15:K24" si="25">K14+40</f>
        <v>940</v>
      </c>
      <c r="L15" s="533">
        <f t="shared" ref="L15:L23" si="26">L14+45</f>
        <v>1080</v>
      </c>
      <c r="M15" s="534">
        <f t="shared" ref="M15:M23" si="27">M14+50</f>
        <v>1195</v>
      </c>
      <c r="N15" s="532">
        <f t="shared" ref="N15:N22" si="28">N14+55</f>
        <v>1365</v>
      </c>
      <c r="O15" s="533">
        <f t="shared" ref="O15:O20" si="29">O14+60</f>
        <v>1480</v>
      </c>
      <c r="P15" s="534">
        <f t="shared" ref="P15:P20" si="30">P14+60</f>
        <v>1500</v>
      </c>
      <c r="Q15" s="535">
        <f t="shared" si="18"/>
        <v>1635</v>
      </c>
      <c r="R15" s="533">
        <f>R14+100</f>
        <v>2100</v>
      </c>
      <c r="S15" s="533"/>
      <c r="T15" s="533"/>
      <c r="U15" s="533"/>
      <c r="V15" s="534"/>
    </row>
    <row r="16" spans="3:22" x14ac:dyDescent="0.25">
      <c r="C16" s="532">
        <f t="shared" si="19"/>
        <v>418</v>
      </c>
      <c r="D16" s="533">
        <f t="shared" si="21"/>
        <v>455</v>
      </c>
      <c r="E16" s="533">
        <f t="shared" si="22"/>
        <v>515</v>
      </c>
      <c r="F16" s="534">
        <f t="shared" si="23"/>
        <v>595</v>
      </c>
      <c r="G16" s="532">
        <f t="shared" si="24"/>
        <v>675</v>
      </c>
      <c r="H16" s="533">
        <f t="shared" si="14"/>
        <v>800</v>
      </c>
      <c r="I16" s="533">
        <f t="shared" si="20"/>
        <v>890</v>
      </c>
      <c r="J16" s="533">
        <f>J15+30</f>
        <v>910</v>
      </c>
      <c r="K16" s="533">
        <f t="shared" si="25"/>
        <v>980</v>
      </c>
      <c r="L16" s="533">
        <f t="shared" si="26"/>
        <v>1125</v>
      </c>
      <c r="M16" s="534">
        <f t="shared" si="27"/>
        <v>1245</v>
      </c>
      <c r="N16" s="532">
        <f t="shared" si="28"/>
        <v>1420</v>
      </c>
      <c r="O16" s="533">
        <f t="shared" si="29"/>
        <v>1540</v>
      </c>
      <c r="P16" s="534">
        <f t="shared" si="30"/>
        <v>1560</v>
      </c>
      <c r="Q16" s="535">
        <f>Q15+65</f>
        <v>1700</v>
      </c>
      <c r="R16" s="533"/>
      <c r="S16" s="533"/>
      <c r="T16" s="533"/>
      <c r="U16" s="533"/>
      <c r="V16" s="534"/>
    </row>
    <row r="17" spans="3:22" x14ac:dyDescent="0.25">
      <c r="C17" s="532">
        <f t="shared" si="19"/>
        <v>425</v>
      </c>
      <c r="D17" s="533">
        <f t="shared" si="21"/>
        <v>464</v>
      </c>
      <c r="E17" s="533">
        <f t="shared" si="22"/>
        <v>530</v>
      </c>
      <c r="F17" s="534">
        <f t="shared" si="23"/>
        <v>615</v>
      </c>
      <c r="G17" s="532">
        <f t="shared" si="24"/>
        <v>700</v>
      </c>
      <c r="H17" s="533">
        <f t="shared" si="14"/>
        <v>825</v>
      </c>
      <c r="I17" s="533">
        <f t="shared" si="20"/>
        <v>915</v>
      </c>
      <c r="J17" s="533">
        <f>J16+30</f>
        <v>940</v>
      </c>
      <c r="K17" s="533">
        <f t="shared" si="25"/>
        <v>1020</v>
      </c>
      <c r="L17" s="533">
        <f t="shared" si="26"/>
        <v>1170</v>
      </c>
      <c r="M17" s="534">
        <f t="shared" si="27"/>
        <v>1295</v>
      </c>
      <c r="N17" s="532">
        <f t="shared" si="28"/>
        <v>1475</v>
      </c>
      <c r="O17" s="533">
        <f t="shared" si="29"/>
        <v>1600</v>
      </c>
      <c r="P17" s="534">
        <f t="shared" si="30"/>
        <v>1620</v>
      </c>
      <c r="Q17" s="535">
        <f>Q16+65</f>
        <v>1765</v>
      </c>
      <c r="R17" s="533"/>
      <c r="S17" s="533"/>
      <c r="T17" s="533"/>
      <c r="U17" s="533"/>
      <c r="V17" s="534"/>
    </row>
    <row r="18" spans="3:22" x14ac:dyDescent="0.25">
      <c r="C18" s="532">
        <f t="shared" si="19"/>
        <v>432</v>
      </c>
      <c r="D18" s="533">
        <f t="shared" si="21"/>
        <v>473</v>
      </c>
      <c r="E18" s="533">
        <f t="shared" si="22"/>
        <v>545</v>
      </c>
      <c r="F18" s="534">
        <f t="shared" si="23"/>
        <v>635</v>
      </c>
      <c r="G18" s="532">
        <f t="shared" si="24"/>
        <v>725</v>
      </c>
      <c r="H18" s="533">
        <f t="shared" si="14"/>
        <v>850</v>
      </c>
      <c r="I18" s="533">
        <f t="shared" si="20"/>
        <v>940</v>
      </c>
      <c r="J18" s="533">
        <f>J17+30</f>
        <v>970</v>
      </c>
      <c r="K18" s="533">
        <f t="shared" si="25"/>
        <v>1060</v>
      </c>
      <c r="L18" s="533">
        <f t="shared" si="26"/>
        <v>1215</v>
      </c>
      <c r="M18" s="534">
        <f t="shared" si="27"/>
        <v>1345</v>
      </c>
      <c r="N18" s="532">
        <f t="shared" si="28"/>
        <v>1530</v>
      </c>
      <c r="O18" s="533">
        <f t="shared" si="29"/>
        <v>1660</v>
      </c>
      <c r="P18" s="534">
        <f t="shared" si="30"/>
        <v>1680</v>
      </c>
      <c r="Q18" s="535">
        <f>Q17+65</f>
        <v>1830</v>
      </c>
      <c r="R18" s="533"/>
      <c r="S18" s="533"/>
      <c r="T18" s="533"/>
      <c r="U18" s="533"/>
      <c r="V18" s="534"/>
    </row>
    <row r="19" spans="3:22" x14ac:dyDescent="0.25">
      <c r="C19" s="532">
        <f t="shared" si="19"/>
        <v>439</v>
      </c>
      <c r="D19" s="533">
        <f t="shared" si="21"/>
        <v>482</v>
      </c>
      <c r="E19" s="533">
        <f t="shared" si="22"/>
        <v>560</v>
      </c>
      <c r="F19" s="534">
        <f t="shared" si="23"/>
        <v>655</v>
      </c>
      <c r="G19" s="532">
        <f t="shared" si="24"/>
        <v>750</v>
      </c>
      <c r="H19" s="533">
        <f t="shared" si="14"/>
        <v>875</v>
      </c>
      <c r="I19" s="533">
        <f t="shared" si="20"/>
        <v>965</v>
      </c>
      <c r="J19" s="533">
        <f>J18+30</f>
        <v>1000</v>
      </c>
      <c r="K19" s="533">
        <f t="shared" si="25"/>
        <v>1100</v>
      </c>
      <c r="L19" s="533">
        <f t="shared" si="26"/>
        <v>1260</v>
      </c>
      <c r="M19" s="534">
        <f t="shared" si="27"/>
        <v>1395</v>
      </c>
      <c r="N19" s="532">
        <f t="shared" si="28"/>
        <v>1585</v>
      </c>
      <c r="O19" s="533">
        <f t="shared" si="29"/>
        <v>1720</v>
      </c>
      <c r="P19" s="534">
        <f t="shared" si="30"/>
        <v>1740</v>
      </c>
      <c r="Q19" s="535">
        <f>Q18+65</f>
        <v>1895</v>
      </c>
      <c r="R19" s="533"/>
      <c r="S19" s="533"/>
      <c r="T19" s="533"/>
      <c r="U19" s="533"/>
      <c r="V19" s="534"/>
    </row>
    <row r="20" spans="3:22" x14ac:dyDescent="0.25">
      <c r="C20" s="532">
        <f t="shared" si="19"/>
        <v>446</v>
      </c>
      <c r="D20" s="533">
        <f>D19+9</f>
        <v>491</v>
      </c>
      <c r="E20" s="533">
        <f t="shared" si="22"/>
        <v>575</v>
      </c>
      <c r="F20" s="534">
        <f t="shared" si="23"/>
        <v>675</v>
      </c>
      <c r="G20" s="532">
        <f t="shared" si="24"/>
        <v>775</v>
      </c>
      <c r="H20" s="533">
        <f t="shared" si="14"/>
        <v>900</v>
      </c>
      <c r="I20" s="533">
        <f t="shared" si="20"/>
        <v>990</v>
      </c>
      <c r="J20" s="533">
        <f t="shared" ref="J20:J26" si="31">J19+35</f>
        <v>1035</v>
      </c>
      <c r="K20" s="533">
        <f t="shared" si="25"/>
        <v>1140</v>
      </c>
      <c r="L20" s="533">
        <f t="shared" si="26"/>
        <v>1305</v>
      </c>
      <c r="M20" s="534">
        <f t="shared" si="27"/>
        <v>1445</v>
      </c>
      <c r="N20" s="532">
        <f t="shared" si="28"/>
        <v>1640</v>
      </c>
      <c r="O20" s="533">
        <f t="shared" si="29"/>
        <v>1780</v>
      </c>
      <c r="P20" s="534">
        <f t="shared" si="30"/>
        <v>1800</v>
      </c>
      <c r="Q20" s="535">
        <f>Q19+65</f>
        <v>1960</v>
      </c>
      <c r="R20" s="533"/>
      <c r="S20" s="533"/>
      <c r="T20" s="533"/>
      <c r="U20" s="533"/>
      <c r="V20" s="534"/>
    </row>
    <row r="21" spans="3:22" x14ac:dyDescent="0.25">
      <c r="C21" s="532">
        <f t="shared" si="19"/>
        <v>453</v>
      </c>
      <c r="D21" s="533">
        <f t="shared" si="21"/>
        <v>500</v>
      </c>
      <c r="E21" s="533">
        <f>E20+15</f>
        <v>590</v>
      </c>
      <c r="F21" s="534">
        <f t="shared" si="23"/>
        <v>695</v>
      </c>
      <c r="G21" s="532">
        <f t="shared" si="24"/>
        <v>800</v>
      </c>
      <c r="H21" s="533">
        <f t="shared" si="14"/>
        <v>925</v>
      </c>
      <c r="I21" s="533"/>
      <c r="J21" s="533">
        <f t="shared" si="31"/>
        <v>1070</v>
      </c>
      <c r="K21" s="533">
        <f>K20+40</f>
        <v>1180</v>
      </c>
      <c r="L21" s="533">
        <f t="shared" si="26"/>
        <v>1350</v>
      </c>
      <c r="M21" s="534">
        <f t="shared" si="27"/>
        <v>1495</v>
      </c>
      <c r="N21" s="532">
        <f t="shared" si="28"/>
        <v>1695</v>
      </c>
      <c r="O21" s="533"/>
      <c r="P21" s="534">
        <f>P20+60</f>
        <v>1860</v>
      </c>
      <c r="Q21" s="535"/>
      <c r="R21" s="533"/>
      <c r="S21" s="533"/>
      <c r="T21" s="533"/>
      <c r="U21" s="533"/>
      <c r="V21" s="534"/>
    </row>
    <row r="22" spans="3:22" x14ac:dyDescent="0.25">
      <c r="C22" s="532">
        <f>C21+7</f>
        <v>460</v>
      </c>
      <c r="D22" s="533">
        <f>D21+10</f>
        <v>510</v>
      </c>
      <c r="E22" s="533">
        <f t="shared" si="22"/>
        <v>605</v>
      </c>
      <c r="F22" s="534">
        <f t="shared" si="23"/>
        <v>715</v>
      </c>
      <c r="G22" s="532">
        <f t="shared" si="24"/>
        <v>825</v>
      </c>
      <c r="H22" s="533">
        <f t="shared" si="14"/>
        <v>950</v>
      </c>
      <c r="I22" s="533"/>
      <c r="J22" s="533">
        <f t="shared" si="31"/>
        <v>1105</v>
      </c>
      <c r="K22" s="533">
        <f t="shared" si="25"/>
        <v>1220</v>
      </c>
      <c r="L22" s="533">
        <f t="shared" si="26"/>
        <v>1395</v>
      </c>
      <c r="M22" s="534">
        <f t="shared" si="27"/>
        <v>1545</v>
      </c>
      <c r="N22" s="532">
        <f t="shared" si="28"/>
        <v>1750</v>
      </c>
      <c r="O22" s="533"/>
      <c r="P22" s="534"/>
      <c r="Q22" s="535"/>
      <c r="R22" s="533"/>
      <c r="S22" s="533"/>
      <c r="T22" s="533"/>
      <c r="U22" s="533"/>
      <c r="V22" s="534"/>
    </row>
    <row r="23" spans="3:22" x14ac:dyDescent="0.25">
      <c r="C23" s="532"/>
      <c r="D23" s="533">
        <f>D22+10</f>
        <v>520</v>
      </c>
      <c r="E23" s="533">
        <f t="shared" si="22"/>
        <v>620</v>
      </c>
      <c r="F23" s="534">
        <f t="shared" si="23"/>
        <v>735</v>
      </c>
      <c r="G23" s="532">
        <f t="shared" si="24"/>
        <v>850</v>
      </c>
      <c r="H23" s="533">
        <f t="shared" si="14"/>
        <v>975</v>
      </c>
      <c r="I23" s="533"/>
      <c r="J23" s="533">
        <f t="shared" si="31"/>
        <v>1140</v>
      </c>
      <c r="K23" s="533">
        <f t="shared" si="25"/>
        <v>1260</v>
      </c>
      <c r="L23" s="533">
        <f t="shared" si="26"/>
        <v>1440</v>
      </c>
      <c r="M23" s="534">
        <f t="shared" si="27"/>
        <v>1595</v>
      </c>
      <c r="N23" s="532"/>
      <c r="O23" s="533"/>
      <c r="P23" s="534"/>
      <c r="Q23" s="535"/>
      <c r="R23" s="533"/>
      <c r="S23" s="533"/>
      <c r="T23" s="533"/>
      <c r="U23" s="533"/>
      <c r="V23" s="534"/>
    </row>
    <row r="24" spans="3:22" x14ac:dyDescent="0.25">
      <c r="C24" s="532"/>
      <c r="D24" s="533">
        <f>D23+10</f>
        <v>530</v>
      </c>
      <c r="E24" s="533">
        <f t="shared" si="22"/>
        <v>635</v>
      </c>
      <c r="F24" s="534">
        <f>F23+20</f>
        <v>755</v>
      </c>
      <c r="G24" s="532"/>
      <c r="H24" s="533">
        <f t="shared" si="14"/>
        <v>1000</v>
      </c>
      <c r="I24" s="533"/>
      <c r="J24" s="533">
        <f t="shared" si="31"/>
        <v>1175</v>
      </c>
      <c r="K24" s="533">
        <f t="shared" si="25"/>
        <v>1300</v>
      </c>
      <c r="L24" s="533"/>
      <c r="M24" s="534"/>
      <c r="N24" s="532"/>
      <c r="O24" s="533"/>
      <c r="P24" s="534"/>
      <c r="Q24" s="535"/>
      <c r="R24" s="533"/>
      <c r="S24" s="533"/>
      <c r="T24" s="533"/>
      <c r="U24" s="533"/>
      <c r="V24" s="534"/>
    </row>
    <row r="25" spans="3:22" x14ac:dyDescent="0.25">
      <c r="C25" s="532"/>
      <c r="D25" s="533"/>
      <c r="E25" s="533">
        <f t="shared" si="22"/>
        <v>650</v>
      </c>
      <c r="F25" s="534">
        <f t="shared" si="23"/>
        <v>775</v>
      </c>
      <c r="G25" s="532"/>
      <c r="H25" s="533">
        <f t="shared" si="14"/>
        <v>1025</v>
      </c>
      <c r="I25" s="533"/>
      <c r="J25" s="533">
        <f t="shared" si="31"/>
        <v>1210</v>
      </c>
      <c r="K25" s="533"/>
      <c r="L25" s="533"/>
      <c r="M25" s="534"/>
      <c r="N25" s="532"/>
      <c r="O25" s="533"/>
      <c r="P25" s="534"/>
      <c r="Q25" s="535"/>
      <c r="R25" s="533"/>
      <c r="S25" s="533"/>
      <c r="T25" s="533"/>
      <c r="U25" s="533"/>
      <c r="V25" s="534"/>
    </row>
    <row r="26" spans="3:22" ht="15.75" thickBot="1" x14ac:dyDescent="0.3">
      <c r="C26" s="536"/>
      <c r="D26" s="537"/>
      <c r="E26" s="537"/>
      <c r="F26" s="538"/>
      <c r="G26" s="536"/>
      <c r="H26" s="537"/>
      <c r="I26" s="537"/>
      <c r="J26" s="537">
        <f t="shared" si="31"/>
        <v>1245</v>
      </c>
      <c r="K26" s="537"/>
      <c r="L26" s="537"/>
      <c r="M26" s="538"/>
      <c r="N26" s="536"/>
      <c r="O26" s="537"/>
      <c r="P26" s="538"/>
      <c r="Q26" s="539"/>
      <c r="R26" s="537"/>
      <c r="S26" s="537"/>
      <c r="T26" s="537"/>
      <c r="U26" s="537"/>
      <c r="V26" s="538"/>
    </row>
  </sheetData>
  <sheetProtection algorithmName="SHA-512" hashValue="CUoPE5ANUAjwsk3rhqQYSE3dF/QAJhtVxLbhbotC1eIRbXahmoKt1PSSmoP/F2XKZJncVLwdSJWBiL7+VNYXOw==" saltValue="dpUbLJk42o1KrtAj+1TxmQ==" spinCount="100000" sheet="1" objects="1" scenarios="1"/>
  <mergeCells count="1">
    <mergeCell ref="C1:V1"/>
  </mergeCells>
  <pageMargins left="0.7" right="0.7" top="0.75" bottom="0.75" header="0.3" footer="0.3"/>
  <pageSetup orientation="portrait" r:id="rId1"/>
  <ignoredErrors>
    <ignoredError sqref="I7:I1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2060"/>
  </sheetPr>
  <dimension ref="B1:V39"/>
  <sheetViews>
    <sheetView workbookViewId="0">
      <selection activeCell="Z20" sqref="Z20"/>
    </sheetView>
  </sheetViews>
  <sheetFormatPr defaultColWidth="9.140625" defaultRowHeight="15" x14ac:dyDescent="0.25"/>
  <cols>
    <col min="1" max="1" width="9.140625" style="181"/>
    <col min="2" max="2" width="3.28515625" style="193" bestFit="1" customWidth="1"/>
    <col min="3" max="13" width="10.7109375" style="181" customWidth="1"/>
    <col min="14" max="14" width="8.42578125" style="181" customWidth="1"/>
    <col min="15" max="15" width="8.5703125" style="181" customWidth="1"/>
    <col min="16" max="22" width="10.7109375" style="181" customWidth="1"/>
    <col min="23" max="16384" width="9.140625" style="181"/>
  </cols>
  <sheetData>
    <row r="1" spans="2:22" ht="21" customHeight="1" thickBot="1" x14ac:dyDescent="0.3">
      <c r="B1" s="346"/>
      <c r="C1"/>
      <c r="D1"/>
      <c r="E1" s="960" t="s">
        <v>1</v>
      </c>
      <c r="F1" s="961"/>
      <c r="G1" s="961"/>
      <c r="H1" s="961"/>
      <c r="I1" s="961"/>
      <c r="J1" s="961"/>
      <c r="K1" s="961"/>
      <c r="L1" s="961"/>
      <c r="M1" s="961"/>
      <c r="N1" s="961"/>
      <c r="O1" s="961"/>
      <c r="P1" s="961"/>
      <c r="Q1" s="961"/>
      <c r="R1" s="961"/>
      <c r="S1" s="961"/>
      <c r="T1" s="962"/>
      <c r="U1"/>
      <c r="V1"/>
    </row>
    <row r="2" spans="2:22" ht="15" customHeight="1" thickBot="1" x14ac:dyDescent="0.3">
      <c r="B2" s="346"/>
      <c r="C2" s="182">
        <v>1</v>
      </c>
      <c r="D2" s="183">
        <v>2</v>
      </c>
      <c r="E2" s="183">
        <v>3</v>
      </c>
      <c r="F2" s="183">
        <v>4</v>
      </c>
      <c r="G2" s="183">
        <v>5</v>
      </c>
      <c r="H2" s="183">
        <v>6</v>
      </c>
      <c r="I2" s="183">
        <v>7</v>
      </c>
      <c r="J2" s="183">
        <v>8</v>
      </c>
      <c r="K2" s="183">
        <v>9</v>
      </c>
      <c r="L2" s="183">
        <v>10</v>
      </c>
      <c r="M2" s="183">
        <v>11</v>
      </c>
      <c r="N2" s="183">
        <v>12</v>
      </c>
      <c r="O2" s="183">
        <v>13</v>
      </c>
      <c r="P2" s="183">
        <v>14</v>
      </c>
      <c r="Q2" s="183">
        <v>15</v>
      </c>
      <c r="R2" s="183">
        <v>16</v>
      </c>
      <c r="S2" s="183">
        <v>17</v>
      </c>
      <c r="T2" s="183">
        <v>18</v>
      </c>
      <c r="U2" s="183">
        <v>19</v>
      </c>
      <c r="V2" s="184">
        <v>20</v>
      </c>
    </row>
    <row r="3" spans="2:22" ht="32.25" thickBot="1" x14ac:dyDescent="0.3">
      <c r="B3" s="346"/>
      <c r="C3" s="498"/>
      <c r="D3" s="499"/>
      <c r="E3" s="500"/>
      <c r="F3" s="501"/>
      <c r="G3" s="500"/>
      <c r="H3" s="501"/>
      <c r="I3" s="500"/>
      <c r="J3" s="501"/>
      <c r="K3" s="500"/>
      <c r="L3" s="501"/>
      <c r="M3" s="501"/>
      <c r="N3" s="502" t="s">
        <v>2</v>
      </c>
      <c r="O3" s="502" t="s">
        <v>3</v>
      </c>
      <c r="P3" s="503"/>
      <c r="Q3" s="501"/>
      <c r="R3" s="503"/>
      <c r="S3" s="501"/>
      <c r="T3" s="500"/>
      <c r="U3" s="499"/>
      <c r="V3" s="504"/>
    </row>
    <row r="4" spans="2:22" ht="15.75" thickBot="1" x14ac:dyDescent="0.3">
      <c r="B4" s="505">
        <v>1</v>
      </c>
      <c r="C4" s="506">
        <v>775</v>
      </c>
      <c r="D4" s="507">
        <v>800</v>
      </c>
      <c r="E4" s="507">
        <v>850</v>
      </c>
      <c r="F4" s="508">
        <v>950</v>
      </c>
      <c r="G4" s="509">
        <v>970</v>
      </c>
      <c r="H4" s="507">
        <v>1020</v>
      </c>
      <c r="I4" s="507">
        <v>1250</v>
      </c>
      <c r="J4" s="507">
        <v>1300</v>
      </c>
      <c r="K4" s="507">
        <v>1450</v>
      </c>
      <c r="L4" s="507">
        <v>1700</v>
      </c>
      <c r="M4" s="508">
        <v>2000</v>
      </c>
      <c r="N4" s="509">
        <v>2100</v>
      </c>
      <c r="O4" s="507">
        <v>2150</v>
      </c>
      <c r="P4" s="508">
        <v>3000</v>
      </c>
      <c r="Q4" s="506">
        <v>3200</v>
      </c>
      <c r="R4" s="507">
        <v>3300</v>
      </c>
      <c r="S4" s="507">
        <v>3500</v>
      </c>
      <c r="T4" s="507">
        <v>3600</v>
      </c>
      <c r="U4" s="507">
        <v>4000</v>
      </c>
      <c r="V4" s="508">
        <v>5900</v>
      </c>
    </row>
    <row r="5" spans="2:22" x14ac:dyDescent="0.25">
      <c r="B5" s="510">
        <v>2</v>
      </c>
      <c r="C5" s="511">
        <v>790</v>
      </c>
      <c r="D5" s="512">
        <v>820</v>
      </c>
      <c r="E5" s="512">
        <v>880</v>
      </c>
      <c r="F5" s="513">
        <v>985</v>
      </c>
      <c r="G5" s="514">
        <v>1010</v>
      </c>
      <c r="H5" s="512">
        <v>1060</v>
      </c>
      <c r="I5" s="512">
        <v>1295</v>
      </c>
      <c r="J5" s="512">
        <v>1350</v>
      </c>
      <c r="K5" s="512">
        <v>1510</v>
      </c>
      <c r="L5" s="512">
        <v>1765</v>
      </c>
      <c r="M5" s="513">
        <v>2075</v>
      </c>
      <c r="N5" s="514">
        <v>2175</v>
      </c>
      <c r="O5" s="512">
        <v>2175</v>
      </c>
      <c r="P5" s="513">
        <v>3090</v>
      </c>
      <c r="Q5" s="511">
        <v>3295</v>
      </c>
      <c r="R5" s="512">
        <v>3400</v>
      </c>
      <c r="S5" s="512">
        <v>3600</v>
      </c>
      <c r="T5" s="512">
        <v>3730</v>
      </c>
      <c r="U5" s="512">
        <v>4140</v>
      </c>
      <c r="V5" s="513">
        <v>5900</v>
      </c>
    </row>
    <row r="6" spans="2:22" x14ac:dyDescent="0.25">
      <c r="B6" s="510">
        <v>3</v>
      </c>
      <c r="C6" s="515">
        <v>806</v>
      </c>
      <c r="D6" s="516">
        <v>840</v>
      </c>
      <c r="E6" s="516">
        <v>910</v>
      </c>
      <c r="F6" s="517">
        <v>1020</v>
      </c>
      <c r="G6" s="518">
        <v>1050</v>
      </c>
      <c r="H6" s="516">
        <v>1100</v>
      </c>
      <c r="I6" s="516">
        <v>1340</v>
      </c>
      <c r="J6" s="516">
        <v>1400</v>
      </c>
      <c r="K6" s="516">
        <v>1570</v>
      </c>
      <c r="L6" s="516">
        <v>1830</v>
      </c>
      <c r="M6" s="517">
        <v>2150</v>
      </c>
      <c r="N6" s="518">
        <v>2250</v>
      </c>
      <c r="O6" s="516">
        <v>2250</v>
      </c>
      <c r="P6" s="517">
        <v>3180</v>
      </c>
      <c r="Q6" s="515">
        <v>3390</v>
      </c>
      <c r="R6" s="516">
        <v>3500</v>
      </c>
      <c r="S6" s="516">
        <v>3700</v>
      </c>
      <c r="T6" s="516">
        <v>3860</v>
      </c>
      <c r="U6" s="516">
        <v>4280</v>
      </c>
      <c r="V6" s="517">
        <v>6100</v>
      </c>
    </row>
    <row r="7" spans="2:22" x14ac:dyDescent="0.25">
      <c r="B7" s="510">
        <v>4</v>
      </c>
      <c r="C7" s="515">
        <v>822</v>
      </c>
      <c r="D7" s="516">
        <v>860</v>
      </c>
      <c r="E7" s="516">
        <v>940</v>
      </c>
      <c r="F7" s="517">
        <v>1055</v>
      </c>
      <c r="G7" s="518">
        <v>1090</v>
      </c>
      <c r="H7" s="516">
        <v>1140</v>
      </c>
      <c r="I7" s="516">
        <v>1385</v>
      </c>
      <c r="J7" s="516">
        <v>1450</v>
      </c>
      <c r="K7" s="516">
        <v>1630</v>
      </c>
      <c r="L7" s="516">
        <v>1895</v>
      </c>
      <c r="M7" s="517">
        <v>2225</v>
      </c>
      <c r="N7" s="518">
        <v>2325</v>
      </c>
      <c r="O7" s="516">
        <v>2330</v>
      </c>
      <c r="P7" s="517">
        <v>3270</v>
      </c>
      <c r="Q7" s="515">
        <v>3485</v>
      </c>
      <c r="R7" s="516">
        <v>3600</v>
      </c>
      <c r="S7" s="516">
        <v>3800</v>
      </c>
      <c r="T7" s="516">
        <v>3990</v>
      </c>
      <c r="U7" s="516">
        <v>4420</v>
      </c>
      <c r="V7" s="517">
        <v>6100</v>
      </c>
    </row>
    <row r="8" spans="2:22" x14ac:dyDescent="0.25">
      <c r="B8" s="510">
        <v>5</v>
      </c>
      <c r="C8" s="515">
        <v>838</v>
      </c>
      <c r="D8" s="516">
        <v>880</v>
      </c>
      <c r="E8" s="516">
        <v>970</v>
      </c>
      <c r="F8" s="517">
        <v>1090</v>
      </c>
      <c r="G8" s="518">
        <v>1130</v>
      </c>
      <c r="H8" s="516">
        <v>1180</v>
      </c>
      <c r="I8" s="516">
        <v>1430</v>
      </c>
      <c r="J8" s="516">
        <v>1500</v>
      </c>
      <c r="K8" s="516">
        <v>1690</v>
      </c>
      <c r="L8" s="516">
        <v>1960</v>
      </c>
      <c r="M8" s="517">
        <v>2300</v>
      </c>
      <c r="N8" s="518">
        <v>2400</v>
      </c>
      <c r="O8" s="516">
        <v>2410</v>
      </c>
      <c r="P8" s="517">
        <v>3360</v>
      </c>
      <c r="Q8" s="515">
        <v>3580</v>
      </c>
      <c r="R8" s="516">
        <v>3700</v>
      </c>
      <c r="S8" s="516">
        <v>3900</v>
      </c>
      <c r="T8" s="516">
        <v>4120</v>
      </c>
      <c r="U8" s="516">
        <v>4560</v>
      </c>
      <c r="V8" s="517">
        <v>6300</v>
      </c>
    </row>
    <row r="9" spans="2:22" x14ac:dyDescent="0.25">
      <c r="B9" s="510">
        <v>6</v>
      </c>
      <c r="C9" s="515">
        <v>854</v>
      </c>
      <c r="D9" s="516">
        <v>900</v>
      </c>
      <c r="E9" s="516">
        <v>1000</v>
      </c>
      <c r="F9" s="517">
        <v>1125</v>
      </c>
      <c r="G9" s="518">
        <v>1170</v>
      </c>
      <c r="H9" s="516">
        <v>1220</v>
      </c>
      <c r="I9" s="516">
        <v>1475</v>
      </c>
      <c r="J9" s="516">
        <v>1550</v>
      </c>
      <c r="K9" s="516">
        <v>1750</v>
      </c>
      <c r="L9" s="516">
        <v>2025</v>
      </c>
      <c r="M9" s="517">
        <v>2375</v>
      </c>
      <c r="N9" s="518">
        <v>2475</v>
      </c>
      <c r="O9" s="516">
        <v>2490</v>
      </c>
      <c r="P9" s="517">
        <v>3450</v>
      </c>
      <c r="Q9" s="515">
        <v>3675</v>
      </c>
      <c r="R9" s="516">
        <v>3800</v>
      </c>
      <c r="S9" s="516">
        <v>4000</v>
      </c>
      <c r="T9" s="516">
        <v>4250</v>
      </c>
      <c r="U9" s="516">
        <v>4700</v>
      </c>
      <c r="V9" s="517"/>
    </row>
    <row r="10" spans="2:22" x14ac:dyDescent="0.25">
      <c r="B10" s="510">
        <v>7</v>
      </c>
      <c r="C10" s="515">
        <v>870</v>
      </c>
      <c r="D10" s="516">
        <v>920</v>
      </c>
      <c r="E10" s="516">
        <v>1030</v>
      </c>
      <c r="F10" s="517">
        <v>1160</v>
      </c>
      <c r="G10" s="518">
        <v>1210</v>
      </c>
      <c r="H10" s="516">
        <v>1260</v>
      </c>
      <c r="I10" s="516">
        <v>1520</v>
      </c>
      <c r="J10" s="516">
        <v>1600</v>
      </c>
      <c r="K10" s="516">
        <v>1810</v>
      </c>
      <c r="L10" s="516">
        <v>2090</v>
      </c>
      <c r="M10" s="517">
        <v>2450</v>
      </c>
      <c r="N10" s="518">
        <v>2550</v>
      </c>
      <c r="O10" s="516">
        <v>2575</v>
      </c>
      <c r="P10" s="517">
        <v>3540</v>
      </c>
      <c r="Q10" s="515">
        <v>3770</v>
      </c>
      <c r="R10" s="516">
        <v>3900</v>
      </c>
      <c r="S10" s="516">
        <v>4110</v>
      </c>
      <c r="T10" s="516">
        <v>4380</v>
      </c>
      <c r="U10" s="516">
        <v>4850</v>
      </c>
      <c r="V10" s="517"/>
    </row>
    <row r="11" spans="2:22" x14ac:dyDescent="0.25">
      <c r="B11" s="510">
        <v>8</v>
      </c>
      <c r="C11" s="515">
        <v>886</v>
      </c>
      <c r="D11" s="516">
        <v>940</v>
      </c>
      <c r="E11" s="516">
        <v>1060</v>
      </c>
      <c r="F11" s="517">
        <v>1195</v>
      </c>
      <c r="G11" s="518">
        <v>1250</v>
      </c>
      <c r="H11" s="516">
        <v>1305</v>
      </c>
      <c r="I11" s="516">
        <v>1565</v>
      </c>
      <c r="J11" s="516">
        <v>1650</v>
      </c>
      <c r="K11" s="516">
        <v>1870</v>
      </c>
      <c r="L11" s="516">
        <v>2155</v>
      </c>
      <c r="M11" s="517">
        <v>2525</v>
      </c>
      <c r="N11" s="518">
        <v>2625</v>
      </c>
      <c r="O11" s="516">
        <v>2660</v>
      </c>
      <c r="P11" s="517">
        <v>3630</v>
      </c>
      <c r="Q11" s="515">
        <v>3865</v>
      </c>
      <c r="R11" s="516">
        <v>4000</v>
      </c>
      <c r="S11" s="516">
        <v>4220</v>
      </c>
      <c r="T11" s="516">
        <v>4510</v>
      </c>
      <c r="U11" s="516">
        <v>5000</v>
      </c>
      <c r="V11" s="517"/>
    </row>
    <row r="12" spans="2:22" x14ac:dyDescent="0.25">
      <c r="B12" s="510">
        <v>9</v>
      </c>
      <c r="C12" s="515">
        <v>902</v>
      </c>
      <c r="D12" s="516">
        <v>960</v>
      </c>
      <c r="E12" s="516">
        <v>1090</v>
      </c>
      <c r="F12" s="517">
        <v>1230</v>
      </c>
      <c r="G12" s="518">
        <v>1290</v>
      </c>
      <c r="H12" s="516">
        <v>1350</v>
      </c>
      <c r="I12" s="516">
        <v>1610</v>
      </c>
      <c r="J12" s="516">
        <v>1700</v>
      </c>
      <c r="K12" s="516">
        <v>1930</v>
      </c>
      <c r="L12" s="516">
        <v>2220</v>
      </c>
      <c r="M12" s="517">
        <v>2600</v>
      </c>
      <c r="N12" s="518">
        <v>2700</v>
      </c>
      <c r="O12" s="516">
        <v>2745</v>
      </c>
      <c r="P12" s="517">
        <v>3720</v>
      </c>
      <c r="Q12" s="515">
        <v>3960</v>
      </c>
      <c r="R12" s="516">
        <v>4110</v>
      </c>
      <c r="S12" s="516">
        <v>4330</v>
      </c>
      <c r="T12" s="516">
        <v>4640</v>
      </c>
      <c r="U12" s="516">
        <v>5150</v>
      </c>
      <c r="V12" s="517"/>
    </row>
    <row r="13" spans="2:22" x14ac:dyDescent="0.25">
      <c r="B13" s="510">
        <v>10</v>
      </c>
      <c r="C13" s="515">
        <v>918</v>
      </c>
      <c r="D13" s="516">
        <v>985</v>
      </c>
      <c r="E13" s="516">
        <v>1125</v>
      </c>
      <c r="F13" s="517">
        <v>1270</v>
      </c>
      <c r="G13" s="518">
        <v>1335</v>
      </c>
      <c r="H13" s="516">
        <v>1395</v>
      </c>
      <c r="I13" s="516">
        <v>1660</v>
      </c>
      <c r="J13" s="516">
        <v>1755</v>
      </c>
      <c r="K13" s="516">
        <v>1995</v>
      </c>
      <c r="L13" s="516">
        <v>2290</v>
      </c>
      <c r="M13" s="517">
        <v>2675</v>
      </c>
      <c r="N13" s="518">
        <v>2780</v>
      </c>
      <c r="O13" s="516">
        <v>2830</v>
      </c>
      <c r="P13" s="517">
        <v>3815</v>
      </c>
      <c r="Q13" s="515">
        <v>4060</v>
      </c>
      <c r="R13" s="516">
        <v>4220</v>
      </c>
      <c r="S13" s="516">
        <v>4440</v>
      </c>
      <c r="T13" s="516">
        <v>4770</v>
      </c>
      <c r="U13" s="516">
        <v>5300</v>
      </c>
      <c r="V13" s="517"/>
    </row>
    <row r="14" spans="2:22" x14ac:dyDescent="0.25">
      <c r="B14" s="510">
        <v>11</v>
      </c>
      <c r="C14" s="515">
        <v>934</v>
      </c>
      <c r="D14" s="516">
        <v>1010</v>
      </c>
      <c r="E14" s="516">
        <v>1160</v>
      </c>
      <c r="F14" s="517">
        <v>1310</v>
      </c>
      <c r="G14" s="518">
        <v>1380</v>
      </c>
      <c r="H14" s="516">
        <v>1440</v>
      </c>
      <c r="I14" s="516">
        <v>1710</v>
      </c>
      <c r="J14" s="516">
        <v>1810</v>
      </c>
      <c r="K14" s="516">
        <v>2060</v>
      </c>
      <c r="L14" s="516">
        <v>2360</v>
      </c>
      <c r="M14" s="517">
        <v>2750</v>
      </c>
      <c r="N14" s="518">
        <v>2860</v>
      </c>
      <c r="O14" s="516">
        <v>2915</v>
      </c>
      <c r="P14" s="517">
        <v>3910</v>
      </c>
      <c r="Q14" s="515">
        <v>4160</v>
      </c>
      <c r="R14" s="516">
        <v>4330</v>
      </c>
      <c r="S14" s="516">
        <v>4550</v>
      </c>
      <c r="T14" s="516">
        <v>4900</v>
      </c>
      <c r="U14" s="516">
        <v>5450</v>
      </c>
      <c r="V14" s="517"/>
    </row>
    <row r="15" spans="2:22" x14ac:dyDescent="0.25">
      <c r="B15" s="510">
        <v>12</v>
      </c>
      <c r="C15" s="515">
        <v>950</v>
      </c>
      <c r="D15" s="516">
        <v>1035</v>
      </c>
      <c r="E15" s="516">
        <v>1195</v>
      </c>
      <c r="F15" s="517">
        <v>1350</v>
      </c>
      <c r="G15" s="518">
        <v>1425</v>
      </c>
      <c r="H15" s="516">
        <v>1485</v>
      </c>
      <c r="I15" s="516">
        <v>1760</v>
      </c>
      <c r="J15" s="516">
        <v>1865</v>
      </c>
      <c r="K15" s="516">
        <v>2125</v>
      </c>
      <c r="L15" s="516">
        <v>2430</v>
      </c>
      <c r="M15" s="517">
        <v>2830</v>
      </c>
      <c r="N15" s="518">
        <v>2940</v>
      </c>
      <c r="O15" s="516">
        <v>3000</v>
      </c>
      <c r="P15" s="517">
        <v>4005</v>
      </c>
      <c r="Q15" s="515">
        <v>4260</v>
      </c>
      <c r="R15" s="516">
        <v>4440</v>
      </c>
      <c r="S15" s="516">
        <v>4660</v>
      </c>
      <c r="T15" s="516">
        <v>5050</v>
      </c>
      <c r="U15" s="516">
        <v>5600</v>
      </c>
      <c r="V15" s="517"/>
    </row>
    <row r="16" spans="2:22" x14ac:dyDescent="0.25">
      <c r="B16" s="510">
        <v>13</v>
      </c>
      <c r="C16" s="515">
        <v>970</v>
      </c>
      <c r="D16" s="516">
        <v>1060</v>
      </c>
      <c r="E16" s="516">
        <v>1230</v>
      </c>
      <c r="F16" s="517">
        <v>1390</v>
      </c>
      <c r="G16" s="518">
        <v>1470</v>
      </c>
      <c r="H16" s="516">
        <v>1530</v>
      </c>
      <c r="I16" s="516">
        <v>1810</v>
      </c>
      <c r="J16" s="516">
        <v>1920</v>
      </c>
      <c r="K16" s="516">
        <v>2190</v>
      </c>
      <c r="L16" s="516">
        <v>2500</v>
      </c>
      <c r="M16" s="517">
        <v>2910</v>
      </c>
      <c r="N16" s="518">
        <v>3020</v>
      </c>
      <c r="O16" s="516">
        <v>3090</v>
      </c>
      <c r="P16" s="517">
        <v>4100</v>
      </c>
      <c r="Q16" s="515">
        <v>4360</v>
      </c>
      <c r="R16" s="516">
        <v>4550</v>
      </c>
      <c r="S16" s="516">
        <v>4770</v>
      </c>
      <c r="T16" s="516">
        <v>5200</v>
      </c>
      <c r="U16" s="516">
        <v>5750</v>
      </c>
      <c r="V16" s="517"/>
    </row>
    <row r="17" spans="2:22" x14ac:dyDescent="0.25">
      <c r="B17" s="510">
        <v>14</v>
      </c>
      <c r="C17" s="515">
        <v>990</v>
      </c>
      <c r="D17" s="516">
        <v>1085</v>
      </c>
      <c r="E17" s="516">
        <v>1265</v>
      </c>
      <c r="F17" s="517">
        <v>1430</v>
      </c>
      <c r="G17" s="518">
        <v>1515</v>
      </c>
      <c r="H17" s="516">
        <v>1575</v>
      </c>
      <c r="I17" s="516">
        <v>1860</v>
      </c>
      <c r="J17" s="516">
        <v>1975</v>
      </c>
      <c r="K17" s="516">
        <v>2255</v>
      </c>
      <c r="L17" s="516">
        <v>2570</v>
      </c>
      <c r="M17" s="517">
        <v>2990</v>
      </c>
      <c r="N17" s="518">
        <v>3100</v>
      </c>
      <c r="O17" s="516">
        <v>3180</v>
      </c>
      <c r="P17" s="517">
        <v>4200</v>
      </c>
      <c r="Q17" s="515">
        <v>4460</v>
      </c>
      <c r="R17" s="516">
        <v>4660</v>
      </c>
      <c r="S17" s="516">
        <v>4880</v>
      </c>
      <c r="T17" s="516">
        <v>5350</v>
      </c>
      <c r="U17" s="516">
        <v>5900</v>
      </c>
      <c r="V17" s="517"/>
    </row>
    <row r="18" spans="2:22" x14ac:dyDescent="0.25">
      <c r="B18" s="510">
        <v>15</v>
      </c>
      <c r="C18" s="515">
        <v>1010</v>
      </c>
      <c r="D18" s="516">
        <v>1110</v>
      </c>
      <c r="E18" s="516">
        <v>1300</v>
      </c>
      <c r="F18" s="517">
        <v>1470</v>
      </c>
      <c r="G18" s="518">
        <v>1560</v>
      </c>
      <c r="H18" s="516">
        <v>1620</v>
      </c>
      <c r="I18" s="516">
        <v>1910</v>
      </c>
      <c r="J18" s="516">
        <v>2030</v>
      </c>
      <c r="K18" s="516">
        <v>2320</v>
      </c>
      <c r="L18" s="516">
        <v>2640</v>
      </c>
      <c r="M18" s="517">
        <v>3070</v>
      </c>
      <c r="N18" s="518">
        <v>3180</v>
      </c>
      <c r="O18" s="516">
        <v>3270</v>
      </c>
      <c r="P18" s="517">
        <v>4300</v>
      </c>
      <c r="Q18" s="515">
        <v>4560</v>
      </c>
      <c r="R18" s="516">
        <v>4770</v>
      </c>
      <c r="S18" s="516">
        <v>4990</v>
      </c>
      <c r="T18" s="516">
        <v>5500</v>
      </c>
      <c r="U18" s="516"/>
      <c r="V18" s="517"/>
    </row>
    <row r="19" spans="2:22" x14ac:dyDescent="0.25">
      <c r="B19" s="510">
        <v>16</v>
      </c>
      <c r="C19" s="515">
        <v>1030</v>
      </c>
      <c r="D19" s="516">
        <v>1135</v>
      </c>
      <c r="E19" s="516">
        <v>1335</v>
      </c>
      <c r="F19" s="517">
        <v>1510</v>
      </c>
      <c r="G19" s="518">
        <v>1605</v>
      </c>
      <c r="H19" s="516">
        <v>1670</v>
      </c>
      <c r="I19" s="516">
        <v>1960</v>
      </c>
      <c r="J19" s="516">
        <v>2085</v>
      </c>
      <c r="K19" s="516">
        <v>2385</v>
      </c>
      <c r="L19" s="516">
        <v>2710</v>
      </c>
      <c r="M19" s="517">
        <v>3150</v>
      </c>
      <c r="N19" s="518">
        <v>3260</v>
      </c>
      <c r="O19" s="516">
        <v>3360</v>
      </c>
      <c r="P19" s="517">
        <v>4400</v>
      </c>
      <c r="Q19" s="515">
        <v>4660</v>
      </c>
      <c r="R19" s="516">
        <v>4880</v>
      </c>
      <c r="S19" s="516">
        <v>5100</v>
      </c>
      <c r="T19" s="516">
        <v>5650</v>
      </c>
      <c r="U19" s="516"/>
      <c r="V19" s="517"/>
    </row>
    <row r="20" spans="2:22" x14ac:dyDescent="0.25">
      <c r="B20" s="510">
        <v>17</v>
      </c>
      <c r="C20" s="515">
        <v>1050</v>
      </c>
      <c r="D20" s="516">
        <v>1160</v>
      </c>
      <c r="E20" s="516">
        <v>1370</v>
      </c>
      <c r="F20" s="517">
        <v>1550</v>
      </c>
      <c r="G20" s="518">
        <v>1650</v>
      </c>
      <c r="H20" s="516">
        <v>1720</v>
      </c>
      <c r="I20" s="516">
        <v>2010</v>
      </c>
      <c r="J20" s="516">
        <v>2140</v>
      </c>
      <c r="K20" s="516">
        <v>2450</v>
      </c>
      <c r="L20" s="516">
        <v>2780</v>
      </c>
      <c r="M20" s="517">
        <v>3230</v>
      </c>
      <c r="N20" s="518">
        <v>3340</v>
      </c>
      <c r="O20" s="516">
        <v>3450</v>
      </c>
      <c r="P20" s="517">
        <v>4500</v>
      </c>
      <c r="Q20" s="515">
        <v>4760</v>
      </c>
      <c r="R20" s="516">
        <v>4990</v>
      </c>
      <c r="S20" s="516">
        <v>5220</v>
      </c>
      <c r="T20" s="516">
        <v>5800</v>
      </c>
      <c r="U20" s="516"/>
      <c r="V20" s="517"/>
    </row>
    <row r="21" spans="2:22" x14ac:dyDescent="0.25">
      <c r="B21" s="510">
        <v>18</v>
      </c>
      <c r="C21" s="515">
        <v>1070</v>
      </c>
      <c r="D21" s="516">
        <v>1190</v>
      </c>
      <c r="E21" s="516">
        <v>1410</v>
      </c>
      <c r="F21" s="517">
        <v>1595</v>
      </c>
      <c r="G21" s="518">
        <v>1700</v>
      </c>
      <c r="H21" s="516">
        <v>1770</v>
      </c>
      <c r="I21" s="516">
        <v>2065</v>
      </c>
      <c r="J21" s="516">
        <v>2200</v>
      </c>
      <c r="K21" s="516">
        <v>2520</v>
      </c>
      <c r="L21" s="516">
        <v>2855</v>
      </c>
      <c r="M21" s="517">
        <v>3310</v>
      </c>
      <c r="N21" s="518">
        <v>3425</v>
      </c>
      <c r="O21" s="516">
        <v>3540</v>
      </c>
      <c r="P21" s="517">
        <v>4600</v>
      </c>
      <c r="Q21" s="515">
        <v>4865</v>
      </c>
      <c r="R21" s="516">
        <v>5100</v>
      </c>
      <c r="S21" s="516">
        <v>5340</v>
      </c>
      <c r="T21" s="516"/>
      <c r="U21" s="516"/>
      <c r="V21" s="517"/>
    </row>
    <row r="22" spans="2:22" x14ac:dyDescent="0.25">
      <c r="B22" s="510">
        <v>19</v>
      </c>
      <c r="C22" s="515">
        <v>1090</v>
      </c>
      <c r="D22" s="516">
        <v>1220</v>
      </c>
      <c r="E22" s="516">
        <v>1450</v>
      </c>
      <c r="F22" s="517">
        <v>1640</v>
      </c>
      <c r="G22" s="518">
        <v>1750</v>
      </c>
      <c r="H22" s="516">
        <v>1820</v>
      </c>
      <c r="I22" s="516">
        <v>2120</v>
      </c>
      <c r="J22" s="516">
        <v>2260</v>
      </c>
      <c r="K22" s="516">
        <v>2590</v>
      </c>
      <c r="L22" s="516">
        <v>2930</v>
      </c>
      <c r="M22" s="517">
        <v>3390</v>
      </c>
      <c r="N22" s="518">
        <v>3510</v>
      </c>
      <c r="O22" s="516">
        <v>3630</v>
      </c>
      <c r="P22" s="517">
        <v>4700</v>
      </c>
      <c r="Q22" s="515">
        <v>4970</v>
      </c>
      <c r="R22" s="516">
        <v>5220</v>
      </c>
      <c r="S22" s="516">
        <v>5460</v>
      </c>
      <c r="T22" s="516"/>
      <c r="U22" s="516"/>
      <c r="V22" s="517"/>
    </row>
    <row r="23" spans="2:22" x14ac:dyDescent="0.25">
      <c r="B23" s="510">
        <v>20</v>
      </c>
      <c r="C23" s="515">
        <v>1110</v>
      </c>
      <c r="D23" s="516">
        <v>1250</v>
      </c>
      <c r="E23" s="516">
        <v>1490</v>
      </c>
      <c r="F23" s="517">
        <v>1685</v>
      </c>
      <c r="G23" s="518">
        <v>1800</v>
      </c>
      <c r="H23" s="516">
        <v>1870</v>
      </c>
      <c r="I23" s="516">
        <v>2175</v>
      </c>
      <c r="J23" s="516">
        <v>2320</v>
      </c>
      <c r="K23" s="516">
        <v>2660</v>
      </c>
      <c r="L23" s="516">
        <v>3005</v>
      </c>
      <c r="M23" s="517">
        <v>3475</v>
      </c>
      <c r="N23" s="518">
        <v>3595</v>
      </c>
      <c r="O23" s="516">
        <v>3720</v>
      </c>
      <c r="P23" s="517">
        <v>4800</v>
      </c>
      <c r="Q23" s="515">
        <v>5075</v>
      </c>
      <c r="R23" s="516">
        <v>5340</v>
      </c>
      <c r="S23" s="516">
        <v>5580</v>
      </c>
      <c r="T23" s="516"/>
      <c r="U23" s="516"/>
      <c r="V23" s="517"/>
    </row>
    <row r="24" spans="2:22" x14ac:dyDescent="0.25">
      <c r="B24" s="510">
        <v>21</v>
      </c>
      <c r="C24" s="515">
        <v>1130</v>
      </c>
      <c r="D24" s="516">
        <v>1280</v>
      </c>
      <c r="E24" s="516">
        <v>1530</v>
      </c>
      <c r="F24" s="517">
        <v>1730</v>
      </c>
      <c r="G24" s="518">
        <v>1850</v>
      </c>
      <c r="H24" s="516">
        <v>1920</v>
      </c>
      <c r="I24" s="516">
        <v>2230</v>
      </c>
      <c r="J24" s="516">
        <v>2380</v>
      </c>
      <c r="K24" s="516">
        <v>2730</v>
      </c>
      <c r="L24" s="516">
        <v>3080</v>
      </c>
      <c r="M24" s="517">
        <v>3560</v>
      </c>
      <c r="N24" s="518">
        <v>3680</v>
      </c>
      <c r="O24" s="516">
        <v>3815</v>
      </c>
      <c r="P24" s="517">
        <v>4900</v>
      </c>
      <c r="Q24" s="515">
        <v>5180</v>
      </c>
      <c r="R24" s="516">
        <v>5460</v>
      </c>
      <c r="S24" s="516">
        <v>5700</v>
      </c>
      <c r="T24" s="516"/>
      <c r="U24" s="516"/>
      <c r="V24" s="517"/>
    </row>
    <row r="25" spans="2:22" x14ac:dyDescent="0.25">
      <c r="B25" s="510">
        <v>22</v>
      </c>
      <c r="C25" s="515"/>
      <c r="D25" s="516">
        <v>1310</v>
      </c>
      <c r="E25" s="516">
        <v>1570</v>
      </c>
      <c r="F25" s="517">
        <v>1775</v>
      </c>
      <c r="G25" s="518">
        <v>1900</v>
      </c>
      <c r="H25" s="516">
        <v>1970</v>
      </c>
      <c r="I25" s="516">
        <v>2285</v>
      </c>
      <c r="J25" s="516">
        <v>2440</v>
      </c>
      <c r="K25" s="516">
        <v>2800</v>
      </c>
      <c r="L25" s="516">
        <v>3155</v>
      </c>
      <c r="M25" s="517">
        <v>3645</v>
      </c>
      <c r="N25" s="518">
        <v>3765</v>
      </c>
      <c r="O25" s="516">
        <v>3910</v>
      </c>
      <c r="P25" s="517">
        <v>5000</v>
      </c>
      <c r="Q25" s="515">
        <v>5285</v>
      </c>
      <c r="R25" s="516">
        <v>5580</v>
      </c>
      <c r="S25" s="516"/>
      <c r="T25" s="516"/>
      <c r="U25" s="516"/>
      <c r="V25" s="517"/>
    </row>
    <row r="26" spans="2:22" x14ac:dyDescent="0.25">
      <c r="B26" s="510">
        <v>23</v>
      </c>
      <c r="C26" s="515"/>
      <c r="D26" s="516">
        <v>1340</v>
      </c>
      <c r="E26" s="516">
        <v>1610</v>
      </c>
      <c r="F26" s="517">
        <v>1820</v>
      </c>
      <c r="G26" s="518">
        <v>1950</v>
      </c>
      <c r="H26" s="516">
        <v>2020</v>
      </c>
      <c r="I26" s="516">
        <v>2340</v>
      </c>
      <c r="J26" s="516">
        <v>2500</v>
      </c>
      <c r="K26" s="516">
        <v>2870</v>
      </c>
      <c r="L26" s="516">
        <v>3230</v>
      </c>
      <c r="M26" s="517">
        <v>3730</v>
      </c>
      <c r="N26" s="518">
        <v>3850</v>
      </c>
      <c r="O26" s="516">
        <v>4005</v>
      </c>
      <c r="P26" s="517"/>
      <c r="Q26" s="515">
        <v>5390</v>
      </c>
      <c r="R26" s="516">
        <v>5700</v>
      </c>
      <c r="S26" s="516"/>
      <c r="T26" s="516"/>
      <c r="U26" s="516"/>
      <c r="V26" s="517"/>
    </row>
    <row r="27" spans="2:22" x14ac:dyDescent="0.25">
      <c r="B27" s="510">
        <v>24</v>
      </c>
      <c r="C27" s="515"/>
      <c r="D27" s="516">
        <v>1370</v>
      </c>
      <c r="E27" s="516">
        <v>1650</v>
      </c>
      <c r="F27" s="517">
        <v>1865</v>
      </c>
      <c r="G27" s="518">
        <v>2000</v>
      </c>
      <c r="H27" s="516">
        <v>2070</v>
      </c>
      <c r="I27" s="516">
        <v>2395</v>
      </c>
      <c r="J27" s="516">
        <v>2560</v>
      </c>
      <c r="K27" s="516">
        <v>2940</v>
      </c>
      <c r="L27" s="516">
        <v>3305</v>
      </c>
      <c r="M27" s="517">
        <v>3815</v>
      </c>
      <c r="N27" s="518">
        <v>3935</v>
      </c>
      <c r="O27" s="516">
        <v>4100</v>
      </c>
      <c r="P27" s="517"/>
      <c r="Q27" s="515">
        <v>5495</v>
      </c>
      <c r="R27" s="516"/>
      <c r="S27" s="516"/>
      <c r="T27" s="516"/>
      <c r="U27" s="516"/>
      <c r="V27" s="517"/>
    </row>
    <row r="28" spans="2:22" x14ac:dyDescent="0.25">
      <c r="B28" s="510">
        <v>25</v>
      </c>
      <c r="C28" s="515"/>
      <c r="D28" s="516">
        <v>1400</v>
      </c>
      <c r="E28" s="516">
        <v>1690</v>
      </c>
      <c r="F28" s="517">
        <v>1910</v>
      </c>
      <c r="G28" s="518">
        <v>2050</v>
      </c>
      <c r="H28" s="516">
        <v>2120</v>
      </c>
      <c r="I28" s="516">
        <v>2450</v>
      </c>
      <c r="J28" s="516">
        <v>2620</v>
      </c>
      <c r="K28" s="516">
        <v>3010</v>
      </c>
      <c r="L28" s="516">
        <v>3380</v>
      </c>
      <c r="M28" s="517">
        <v>3900</v>
      </c>
      <c r="N28" s="518">
        <v>4020</v>
      </c>
      <c r="O28" s="516">
        <v>4200</v>
      </c>
      <c r="P28" s="517"/>
      <c r="Q28" s="515">
        <v>5600</v>
      </c>
      <c r="R28" s="516"/>
      <c r="S28" s="516"/>
      <c r="T28" s="516"/>
      <c r="U28" s="516"/>
      <c r="V28" s="517"/>
    </row>
    <row r="29" spans="2:22" x14ac:dyDescent="0.25">
      <c r="B29" s="510">
        <v>26</v>
      </c>
      <c r="C29" s="515"/>
      <c r="D29" s="516">
        <v>1430</v>
      </c>
      <c r="E29" s="516">
        <v>1730</v>
      </c>
      <c r="F29" s="517">
        <v>1955</v>
      </c>
      <c r="G29" s="518">
        <v>2100</v>
      </c>
      <c r="H29" s="516">
        <v>2170</v>
      </c>
      <c r="I29" s="516">
        <v>2505</v>
      </c>
      <c r="J29" s="516">
        <v>2680</v>
      </c>
      <c r="K29" s="516">
        <v>3080</v>
      </c>
      <c r="L29" s="516">
        <v>3455</v>
      </c>
      <c r="M29" s="517">
        <v>3985</v>
      </c>
      <c r="N29" s="518">
        <v>4105</v>
      </c>
      <c r="O29" s="516">
        <v>4300</v>
      </c>
      <c r="P29" s="517"/>
      <c r="Q29" s="515"/>
      <c r="R29" s="516"/>
      <c r="S29" s="516"/>
      <c r="T29" s="516"/>
      <c r="U29" s="516"/>
      <c r="V29" s="517"/>
    </row>
    <row r="30" spans="2:22" x14ac:dyDescent="0.25">
      <c r="B30" s="510">
        <v>27</v>
      </c>
      <c r="C30" s="515"/>
      <c r="D30" s="516">
        <v>1460</v>
      </c>
      <c r="E30" s="516">
        <v>1770</v>
      </c>
      <c r="F30" s="517">
        <v>2000</v>
      </c>
      <c r="G30" s="518">
        <v>2150</v>
      </c>
      <c r="H30" s="516">
        <v>2220</v>
      </c>
      <c r="I30" s="516">
        <v>2560</v>
      </c>
      <c r="J30" s="516">
        <v>2740</v>
      </c>
      <c r="K30" s="516">
        <v>3150</v>
      </c>
      <c r="L30" s="516">
        <v>3530</v>
      </c>
      <c r="M30" s="517">
        <v>4070</v>
      </c>
      <c r="N30" s="518">
        <v>4190</v>
      </c>
      <c r="O30" s="516">
        <v>4400</v>
      </c>
      <c r="P30" s="517"/>
      <c r="Q30" s="515"/>
      <c r="R30" s="516"/>
      <c r="S30" s="516"/>
      <c r="T30" s="516"/>
      <c r="U30" s="516"/>
      <c r="V30" s="517"/>
    </row>
    <row r="31" spans="2:22" x14ac:dyDescent="0.25">
      <c r="B31" s="510">
        <v>28</v>
      </c>
      <c r="C31" s="515"/>
      <c r="D31" s="516">
        <v>1490</v>
      </c>
      <c r="E31" s="516">
        <v>1810</v>
      </c>
      <c r="F31" s="517">
        <v>2045</v>
      </c>
      <c r="G31" s="518">
        <v>2200</v>
      </c>
      <c r="H31" s="516">
        <v>2270</v>
      </c>
      <c r="I31" s="516">
        <v>2615</v>
      </c>
      <c r="J31" s="516">
        <v>2800</v>
      </c>
      <c r="K31" s="516">
        <v>3220</v>
      </c>
      <c r="L31" s="516">
        <v>3605</v>
      </c>
      <c r="M31" s="517">
        <v>4155</v>
      </c>
      <c r="N31" s="518">
        <v>4275</v>
      </c>
      <c r="O31" s="516">
        <v>4500</v>
      </c>
      <c r="P31" s="517"/>
      <c r="Q31" s="515"/>
      <c r="R31" s="516"/>
      <c r="S31" s="516"/>
      <c r="T31" s="516"/>
      <c r="U31" s="516"/>
      <c r="V31" s="517"/>
    </row>
    <row r="32" spans="2:22" x14ac:dyDescent="0.25">
      <c r="B32" s="510">
        <v>29</v>
      </c>
      <c r="C32" s="515"/>
      <c r="D32" s="516">
        <v>1520</v>
      </c>
      <c r="E32" s="516">
        <v>1850</v>
      </c>
      <c r="F32" s="517">
        <v>2090</v>
      </c>
      <c r="G32" s="518">
        <v>2250</v>
      </c>
      <c r="H32" s="516">
        <v>2320</v>
      </c>
      <c r="I32" s="516">
        <v>2670</v>
      </c>
      <c r="J32" s="516">
        <v>2860</v>
      </c>
      <c r="K32" s="516">
        <v>3290</v>
      </c>
      <c r="L32" s="516">
        <v>3680</v>
      </c>
      <c r="M32" s="517">
        <v>4240</v>
      </c>
      <c r="N32" s="518">
        <v>4360</v>
      </c>
      <c r="O32" s="516">
        <v>4600</v>
      </c>
      <c r="P32" s="517"/>
      <c r="Q32" s="515"/>
      <c r="R32" s="516"/>
      <c r="S32" s="516"/>
      <c r="T32" s="516"/>
      <c r="U32" s="516"/>
      <c r="V32" s="517"/>
    </row>
    <row r="33" spans="2:22" x14ac:dyDescent="0.25">
      <c r="B33" s="510">
        <v>30</v>
      </c>
      <c r="C33" s="515"/>
      <c r="D33" s="516"/>
      <c r="E33" s="516">
        <v>1890</v>
      </c>
      <c r="F33" s="517">
        <v>2135</v>
      </c>
      <c r="G33" s="518">
        <v>2300</v>
      </c>
      <c r="H33" s="516">
        <v>2370</v>
      </c>
      <c r="I33" s="516">
        <v>2725</v>
      </c>
      <c r="J33" s="516">
        <v>2920</v>
      </c>
      <c r="K33" s="516">
        <v>3360</v>
      </c>
      <c r="L33" s="516">
        <v>3755</v>
      </c>
      <c r="M33" s="517">
        <v>4325</v>
      </c>
      <c r="N33" s="518">
        <v>4445</v>
      </c>
      <c r="O33" s="516">
        <v>4700</v>
      </c>
      <c r="P33" s="517"/>
      <c r="Q33" s="515"/>
      <c r="R33" s="516"/>
      <c r="S33" s="516"/>
      <c r="T33" s="516"/>
      <c r="U33" s="516"/>
      <c r="V33" s="517"/>
    </row>
    <row r="34" spans="2:22" x14ac:dyDescent="0.25">
      <c r="B34" s="510">
        <v>31</v>
      </c>
      <c r="C34" s="515"/>
      <c r="D34" s="516"/>
      <c r="E34" s="516">
        <v>1930</v>
      </c>
      <c r="F34" s="517">
        <v>2170</v>
      </c>
      <c r="G34" s="518">
        <v>2350</v>
      </c>
      <c r="H34" s="516">
        <v>2420</v>
      </c>
      <c r="I34" s="516">
        <v>2780</v>
      </c>
      <c r="J34" s="516">
        <v>2980</v>
      </c>
      <c r="K34" s="516">
        <v>3430</v>
      </c>
      <c r="L34" s="516">
        <v>3830</v>
      </c>
      <c r="M34" s="517">
        <v>4410</v>
      </c>
      <c r="N34" s="518">
        <v>4530</v>
      </c>
      <c r="O34" s="516">
        <v>4800</v>
      </c>
      <c r="P34" s="517"/>
      <c r="Q34" s="515"/>
      <c r="R34" s="516"/>
      <c r="S34" s="516"/>
      <c r="T34" s="516"/>
      <c r="U34" s="516"/>
      <c r="V34" s="517"/>
    </row>
    <row r="35" spans="2:22" x14ac:dyDescent="0.25">
      <c r="B35" s="510">
        <v>32</v>
      </c>
      <c r="C35" s="515"/>
      <c r="D35" s="516"/>
      <c r="E35" s="516">
        <v>1970</v>
      </c>
      <c r="F35" s="517"/>
      <c r="G35" s="518">
        <v>2400</v>
      </c>
      <c r="H35" s="516">
        <v>2470</v>
      </c>
      <c r="I35" s="516">
        <v>2835</v>
      </c>
      <c r="J35" s="516">
        <v>3040</v>
      </c>
      <c r="K35" s="516">
        <v>3500</v>
      </c>
      <c r="L35" s="516">
        <v>3905</v>
      </c>
      <c r="M35" s="517"/>
      <c r="N35" s="518"/>
      <c r="O35" s="516">
        <v>4900</v>
      </c>
      <c r="P35" s="517"/>
      <c r="Q35" s="515"/>
      <c r="R35" s="516"/>
      <c r="S35" s="516"/>
      <c r="T35" s="516"/>
      <c r="U35" s="516"/>
      <c r="V35" s="517"/>
    </row>
    <row r="36" spans="2:22" x14ac:dyDescent="0.25">
      <c r="B36" s="510">
        <v>33</v>
      </c>
      <c r="C36" s="515"/>
      <c r="D36" s="516"/>
      <c r="E36" s="516">
        <v>2010</v>
      </c>
      <c r="F36" s="517"/>
      <c r="G36" s="518"/>
      <c r="H36" s="516">
        <v>2520</v>
      </c>
      <c r="I36" s="516">
        <v>2890</v>
      </c>
      <c r="J36" s="516">
        <v>3100</v>
      </c>
      <c r="K36" s="516">
        <v>3570</v>
      </c>
      <c r="L36" s="516">
        <v>3980</v>
      </c>
      <c r="M36" s="517"/>
      <c r="N36" s="518"/>
      <c r="O36" s="516">
        <v>5000</v>
      </c>
      <c r="P36" s="517"/>
      <c r="Q36" s="515"/>
      <c r="R36" s="516"/>
      <c r="S36" s="516"/>
      <c r="T36" s="516"/>
      <c r="U36" s="516"/>
      <c r="V36" s="517"/>
    </row>
    <row r="37" spans="2:22" x14ac:dyDescent="0.25">
      <c r="B37" s="510">
        <v>34</v>
      </c>
      <c r="C37" s="515"/>
      <c r="D37" s="516"/>
      <c r="E37" s="516">
        <v>2050</v>
      </c>
      <c r="F37" s="517"/>
      <c r="G37" s="518"/>
      <c r="H37" s="516">
        <v>2570</v>
      </c>
      <c r="I37" s="516"/>
      <c r="J37" s="516">
        <v>3160</v>
      </c>
      <c r="K37" s="516">
        <v>3640</v>
      </c>
      <c r="L37" s="516"/>
      <c r="M37" s="517"/>
      <c r="N37" s="518"/>
      <c r="O37" s="516"/>
      <c r="P37" s="517"/>
      <c r="Q37" s="515"/>
      <c r="R37" s="516"/>
      <c r="S37" s="516"/>
      <c r="T37" s="516"/>
      <c r="U37" s="516"/>
      <c r="V37" s="517"/>
    </row>
    <row r="38" spans="2:22" x14ac:dyDescent="0.25">
      <c r="B38" s="510">
        <v>35</v>
      </c>
      <c r="C38" s="515"/>
      <c r="D38" s="516"/>
      <c r="E38" s="516">
        <v>2090</v>
      </c>
      <c r="F38" s="517"/>
      <c r="G38" s="518"/>
      <c r="H38" s="516">
        <v>2620</v>
      </c>
      <c r="I38" s="516"/>
      <c r="J38" s="516">
        <v>3220</v>
      </c>
      <c r="K38" s="516">
        <v>3710</v>
      </c>
      <c r="L38" s="516"/>
      <c r="M38" s="517"/>
      <c r="N38" s="518"/>
      <c r="O38" s="516"/>
      <c r="P38" s="517"/>
      <c r="Q38" s="515"/>
      <c r="R38" s="516"/>
      <c r="S38" s="516"/>
      <c r="T38" s="516"/>
      <c r="U38" s="516"/>
      <c r="V38" s="517"/>
    </row>
    <row r="39" spans="2:22" ht="15.75" thickBot="1" x14ac:dyDescent="0.3">
      <c r="B39" s="519">
        <v>36</v>
      </c>
      <c r="C39" s="520"/>
      <c r="D39" s="521"/>
      <c r="E39" s="521">
        <v>2130</v>
      </c>
      <c r="F39" s="522"/>
      <c r="G39" s="523"/>
      <c r="H39" s="521"/>
      <c r="I39" s="521"/>
      <c r="J39" s="521"/>
      <c r="K39" s="521"/>
      <c r="L39" s="521"/>
      <c r="M39" s="522"/>
      <c r="N39" s="523"/>
      <c r="O39" s="521"/>
      <c r="P39" s="522"/>
      <c r="Q39" s="520"/>
      <c r="R39" s="521"/>
      <c r="S39" s="521"/>
      <c r="T39" s="521"/>
      <c r="U39" s="521"/>
      <c r="V39" s="522"/>
    </row>
  </sheetData>
  <sheetProtection algorithmName="SHA-512" hashValue="akUFRPMnEutsw3zvayw+i53j9s8rj4klhdN6PqXZEDpZXhosQKYA+hY87+763yAYuzCiC2LhTRdF+QcAOPRvyw==" saltValue="pt3YdUbj6QiXMsdqx/mvrQ==" spinCount="100000" sheet="1" objects="1" scenarios="1"/>
  <mergeCells count="1">
    <mergeCell ref="E1:T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305496"/>
  </sheetPr>
  <dimension ref="B1:U40"/>
  <sheetViews>
    <sheetView workbookViewId="0">
      <selection activeCell="X16" sqref="X16"/>
    </sheetView>
  </sheetViews>
  <sheetFormatPr defaultColWidth="9.140625" defaultRowHeight="15" x14ac:dyDescent="0.25"/>
  <cols>
    <col min="1" max="1" width="9.140625" style="181"/>
    <col min="2" max="2" width="3.28515625" style="181" bestFit="1" customWidth="1"/>
    <col min="3" max="21" width="10.7109375" style="181" customWidth="1"/>
    <col min="22" max="16384" width="9.140625" style="181"/>
  </cols>
  <sheetData>
    <row r="1" spans="2:21" x14ac:dyDescent="0.25">
      <c r="D1" s="963" t="s">
        <v>4</v>
      </c>
      <c r="E1" s="964"/>
      <c r="F1" s="964"/>
      <c r="G1" s="964"/>
      <c r="H1" s="964"/>
      <c r="I1" s="964"/>
      <c r="J1" s="964"/>
      <c r="K1" s="964"/>
      <c r="L1" s="964"/>
      <c r="M1" s="964"/>
      <c r="N1" s="964"/>
      <c r="O1" s="964"/>
      <c r="P1" s="964"/>
      <c r="Q1" s="964"/>
      <c r="R1" s="964"/>
      <c r="S1" s="965"/>
    </row>
    <row r="2" spans="2:21" ht="15.75" thickBot="1" x14ac:dyDescent="0.3">
      <c r="D2" s="966"/>
      <c r="E2" s="967"/>
      <c r="F2" s="967"/>
      <c r="G2" s="967"/>
      <c r="H2" s="967"/>
      <c r="I2" s="967"/>
      <c r="J2" s="967"/>
      <c r="K2" s="967"/>
      <c r="L2" s="967"/>
      <c r="M2" s="967"/>
      <c r="N2" s="967"/>
      <c r="O2" s="967"/>
      <c r="P2" s="967"/>
      <c r="Q2" s="967"/>
      <c r="R2" s="967"/>
      <c r="S2" s="968"/>
    </row>
    <row r="3" spans="2:21" ht="15" customHeight="1" thickBot="1" x14ac:dyDescent="0.3">
      <c r="C3" s="182">
        <v>1</v>
      </c>
      <c r="D3" s="185">
        <v>2</v>
      </c>
      <c r="E3" s="183">
        <v>3</v>
      </c>
      <c r="F3" s="185">
        <v>4</v>
      </c>
      <c r="G3" s="183">
        <v>5</v>
      </c>
      <c r="H3" s="185">
        <v>6</v>
      </c>
      <c r="I3" s="183">
        <v>7</v>
      </c>
      <c r="J3" s="185">
        <v>8</v>
      </c>
      <c r="K3" s="183">
        <v>9</v>
      </c>
      <c r="L3" s="185">
        <v>10</v>
      </c>
      <c r="M3" s="183">
        <v>11</v>
      </c>
      <c r="N3" s="185">
        <v>12</v>
      </c>
      <c r="O3" s="183">
        <v>13</v>
      </c>
      <c r="P3" s="185">
        <v>14</v>
      </c>
      <c r="Q3" s="183">
        <v>15</v>
      </c>
      <c r="R3" s="185">
        <v>16</v>
      </c>
      <c r="S3" s="183">
        <v>17</v>
      </c>
      <c r="T3" s="185">
        <v>18</v>
      </c>
      <c r="U3" s="184">
        <v>19</v>
      </c>
    </row>
    <row r="4" spans="2:21" ht="15" customHeight="1" thickBot="1" x14ac:dyDescent="0.3">
      <c r="B4" s="398">
        <v>1</v>
      </c>
      <c r="C4" s="480">
        <v>2600</v>
      </c>
      <c r="D4" s="481">
        <v>2650</v>
      </c>
      <c r="E4" s="481">
        <v>2750</v>
      </c>
      <c r="F4" s="482">
        <v>2900</v>
      </c>
      <c r="G4" s="483">
        <v>3050</v>
      </c>
      <c r="H4" s="484">
        <v>3200</v>
      </c>
      <c r="I4" s="484">
        <v>3300</v>
      </c>
      <c r="J4" s="484">
        <v>4000</v>
      </c>
      <c r="K4" s="484">
        <v>4200</v>
      </c>
      <c r="L4" s="484">
        <v>5000</v>
      </c>
      <c r="M4" s="485">
        <v>5500</v>
      </c>
      <c r="N4" s="486">
        <v>6500</v>
      </c>
      <c r="O4" s="484">
        <v>7450</v>
      </c>
      <c r="P4" s="487">
        <v>7800</v>
      </c>
      <c r="Q4" s="483">
        <v>10000</v>
      </c>
      <c r="R4" s="484">
        <v>10650</v>
      </c>
      <c r="S4" s="484">
        <v>11000</v>
      </c>
      <c r="T4" s="484">
        <v>11150</v>
      </c>
      <c r="U4" s="485">
        <v>12000</v>
      </c>
    </row>
    <row r="5" spans="2:21" ht="15" customHeight="1" x14ac:dyDescent="0.25">
      <c r="B5" s="399">
        <v>2</v>
      </c>
      <c r="C5" s="488">
        <v>2655</v>
      </c>
      <c r="D5" s="489">
        <v>2715</v>
      </c>
      <c r="E5" s="489">
        <v>2820</v>
      </c>
      <c r="F5" s="490">
        <v>2975</v>
      </c>
      <c r="G5" s="488">
        <v>3130</v>
      </c>
      <c r="H5" s="489">
        <v>3290</v>
      </c>
      <c r="I5" s="489">
        <v>3400</v>
      </c>
      <c r="J5" s="489">
        <v>4110</v>
      </c>
      <c r="K5" s="489">
        <v>4320</v>
      </c>
      <c r="L5" s="489">
        <v>5130</v>
      </c>
      <c r="M5" s="490">
        <v>5650</v>
      </c>
      <c r="N5" s="491">
        <v>6700</v>
      </c>
      <c r="O5" s="489">
        <v>7675</v>
      </c>
      <c r="P5" s="492">
        <v>8075</v>
      </c>
      <c r="Q5" s="488">
        <v>10300</v>
      </c>
      <c r="R5" s="489">
        <v>10975</v>
      </c>
      <c r="S5" s="489">
        <v>11350</v>
      </c>
      <c r="T5" s="489">
        <v>11525</v>
      </c>
      <c r="U5" s="490">
        <v>12400</v>
      </c>
    </row>
    <row r="6" spans="2:21" ht="15" customHeight="1" x14ac:dyDescent="0.25">
      <c r="B6" s="399">
        <v>3</v>
      </c>
      <c r="C6" s="493">
        <v>2710</v>
      </c>
      <c r="D6" s="494">
        <v>2780</v>
      </c>
      <c r="E6" s="494">
        <v>2890</v>
      </c>
      <c r="F6" s="495">
        <v>3050</v>
      </c>
      <c r="G6" s="493">
        <v>3210</v>
      </c>
      <c r="H6" s="494">
        <v>3380</v>
      </c>
      <c r="I6" s="494">
        <v>3500</v>
      </c>
      <c r="J6" s="494">
        <v>4220</v>
      </c>
      <c r="K6" s="494">
        <v>4440</v>
      </c>
      <c r="L6" s="494">
        <v>5260</v>
      </c>
      <c r="M6" s="495">
        <v>5800</v>
      </c>
      <c r="N6" s="496">
        <v>6900</v>
      </c>
      <c r="O6" s="494">
        <v>7900</v>
      </c>
      <c r="P6" s="497">
        <v>8350</v>
      </c>
      <c r="Q6" s="493">
        <v>10600</v>
      </c>
      <c r="R6" s="494">
        <v>11300</v>
      </c>
      <c r="S6" s="494">
        <v>11700</v>
      </c>
      <c r="T6" s="494">
        <v>11900</v>
      </c>
      <c r="U6" s="495">
        <v>12800</v>
      </c>
    </row>
    <row r="7" spans="2:21" ht="15" customHeight="1" x14ac:dyDescent="0.25">
      <c r="B7" s="399">
        <v>4</v>
      </c>
      <c r="C7" s="493">
        <v>2765</v>
      </c>
      <c r="D7" s="494">
        <v>2845</v>
      </c>
      <c r="E7" s="494">
        <v>2960</v>
      </c>
      <c r="F7" s="495">
        <v>3125</v>
      </c>
      <c r="G7" s="493">
        <v>3290</v>
      </c>
      <c r="H7" s="494">
        <v>3470</v>
      </c>
      <c r="I7" s="494">
        <v>3600</v>
      </c>
      <c r="J7" s="494">
        <v>4330</v>
      </c>
      <c r="K7" s="494">
        <v>4560</v>
      </c>
      <c r="L7" s="494">
        <v>5390</v>
      </c>
      <c r="M7" s="495">
        <v>5950</v>
      </c>
      <c r="N7" s="496">
        <v>7100</v>
      </c>
      <c r="O7" s="494">
        <v>8125</v>
      </c>
      <c r="P7" s="497">
        <v>8625</v>
      </c>
      <c r="Q7" s="493">
        <v>10900</v>
      </c>
      <c r="R7" s="494">
        <v>11625</v>
      </c>
      <c r="S7" s="494">
        <v>12050</v>
      </c>
      <c r="T7" s="494">
        <v>12275</v>
      </c>
      <c r="U7" s="495">
        <v>13200</v>
      </c>
    </row>
    <row r="8" spans="2:21" ht="15" customHeight="1" x14ac:dyDescent="0.25">
      <c r="B8" s="399">
        <v>5</v>
      </c>
      <c r="C8" s="493">
        <v>2820</v>
      </c>
      <c r="D8" s="494">
        <v>2910</v>
      </c>
      <c r="E8" s="494">
        <v>3030</v>
      </c>
      <c r="F8" s="495">
        <v>3200</v>
      </c>
      <c r="G8" s="493">
        <v>3370</v>
      </c>
      <c r="H8" s="494">
        <v>3560</v>
      </c>
      <c r="I8" s="494">
        <v>3700</v>
      </c>
      <c r="J8" s="494">
        <v>4440</v>
      </c>
      <c r="K8" s="494">
        <v>4680</v>
      </c>
      <c r="L8" s="494">
        <v>5520</v>
      </c>
      <c r="M8" s="495">
        <v>6100</v>
      </c>
      <c r="N8" s="496">
        <v>7300</v>
      </c>
      <c r="O8" s="494">
        <v>8350</v>
      </c>
      <c r="P8" s="497">
        <v>8900</v>
      </c>
      <c r="Q8" s="493">
        <v>11200</v>
      </c>
      <c r="R8" s="494">
        <v>11950</v>
      </c>
      <c r="S8" s="494">
        <v>12400</v>
      </c>
      <c r="T8" s="494">
        <v>12650</v>
      </c>
      <c r="U8" s="495">
        <v>13600</v>
      </c>
    </row>
    <row r="9" spans="2:21" ht="15" customHeight="1" x14ac:dyDescent="0.25">
      <c r="B9" s="399">
        <v>6</v>
      </c>
      <c r="C9" s="493">
        <v>2875</v>
      </c>
      <c r="D9" s="494">
        <v>2975</v>
      </c>
      <c r="E9" s="494">
        <v>3100</v>
      </c>
      <c r="F9" s="495">
        <v>3275</v>
      </c>
      <c r="G9" s="493">
        <v>3450</v>
      </c>
      <c r="H9" s="494">
        <v>3650</v>
      </c>
      <c r="I9" s="494">
        <v>3800</v>
      </c>
      <c r="J9" s="494">
        <v>4550</v>
      </c>
      <c r="K9" s="494">
        <v>4800</v>
      </c>
      <c r="L9" s="494">
        <v>5650</v>
      </c>
      <c r="M9" s="495">
        <v>6250</v>
      </c>
      <c r="N9" s="496">
        <v>7500</v>
      </c>
      <c r="O9" s="494">
        <v>8575</v>
      </c>
      <c r="P9" s="497">
        <v>9175</v>
      </c>
      <c r="Q9" s="493">
        <v>11500</v>
      </c>
      <c r="R9" s="494">
        <v>12275</v>
      </c>
      <c r="S9" s="494">
        <v>12750</v>
      </c>
      <c r="T9" s="494">
        <v>13025</v>
      </c>
      <c r="U9" s="495">
        <v>14000</v>
      </c>
    </row>
    <row r="10" spans="2:21" ht="15" customHeight="1" x14ac:dyDescent="0.25">
      <c r="B10" s="399">
        <v>7</v>
      </c>
      <c r="C10" s="493">
        <v>2930</v>
      </c>
      <c r="D10" s="494">
        <v>3040</v>
      </c>
      <c r="E10" s="494">
        <v>3170</v>
      </c>
      <c r="F10" s="495">
        <v>3350</v>
      </c>
      <c r="G10" s="493">
        <v>3530</v>
      </c>
      <c r="H10" s="494">
        <v>3740</v>
      </c>
      <c r="I10" s="494">
        <v>3900</v>
      </c>
      <c r="J10" s="494">
        <v>4660</v>
      </c>
      <c r="K10" s="494">
        <v>4920</v>
      </c>
      <c r="L10" s="494">
        <v>5780</v>
      </c>
      <c r="M10" s="495">
        <v>6400</v>
      </c>
      <c r="N10" s="496">
        <v>7700</v>
      </c>
      <c r="O10" s="494">
        <v>8800</v>
      </c>
      <c r="P10" s="497">
        <v>9450</v>
      </c>
      <c r="Q10" s="493">
        <v>11800</v>
      </c>
      <c r="R10" s="494">
        <v>12600</v>
      </c>
      <c r="S10" s="494">
        <v>13100</v>
      </c>
      <c r="T10" s="494">
        <v>13400</v>
      </c>
      <c r="U10" s="495">
        <v>14400</v>
      </c>
    </row>
    <row r="11" spans="2:21" ht="15" customHeight="1" x14ac:dyDescent="0.25">
      <c r="B11" s="399">
        <v>8</v>
      </c>
      <c r="C11" s="493">
        <v>2985</v>
      </c>
      <c r="D11" s="494">
        <v>3105</v>
      </c>
      <c r="E11" s="494">
        <v>3240</v>
      </c>
      <c r="F11" s="495">
        <v>3425</v>
      </c>
      <c r="G11" s="493">
        <v>3610</v>
      </c>
      <c r="H11" s="494">
        <v>3830</v>
      </c>
      <c r="I11" s="494">
        <v>4000</v>
      </c>
      <c r="J11" s="494">
        <v>4770</v>
      </c>
      <c r="K11" s="494">
        <v>5040</v>
      </c>
      <c r="L11" s="494">
        <v>5910</v>
      </c>
      <c r="M11" s="495">
        <v>6550</v>
      </c>
      <c r="N11" s="496">
        <v>7900</v>
      </c>
      <c r="O11" s="494">
        <v>9025</v>
      </c>
      <c r="P11" s="497">
        <v>9725</v>
      </c>
      <c r="Q11" s="493">
        <v>12100</v>
      </c>
      <c r="R11" s="494">
        <v>12925</v>
      </c>
      <c r="S11" s="494">
        <v>13450</v>
      </c>
      <c r="T11" s="494">
        <v>13775</v>
      </c>
      <c r="U11" s="495">
        <v>14800</v>
      </c>
    </row>
    <row r="12" spans="2:21" ht="15" customHeight="1" x14ac:dyDescent="0.25">
      <c r="B12" s="399">
        <v>9</v>
      </c>
      <c r="C12" s="493">
        <v>3045</v>
      </c>
      <c r="D12" s="494">
        <v>3170</v>
      </c>
      <c r="E12" s="494">
        <v>3310</v>
      </c>
      <c r="F12" s="495">
        <v>3500</v>
      </c>
      <c r="G12" s="493">
        <v>3690</v>
      </c>
      <c r="H12" s="494">
        <v>3920</v>
      </c>
      <c r="I12" s="494">
        <v>4100</v>
      </c>
      <c r="J12" s="494">
        <v>4880</v>
      </c>
      <c r="K12" s="494">
        <v>5160</v>
      </c>
      <c r="L12" s="494">
        <v>6040</v>
      </c>
      <c r="M12" s="495">
        <v>6700</v>
      </c>
      <c r="N12" s="496">
        <v>8100</v>
      </c>
      <c r="O12" s="494">
        <v>9250</v>
      </c>
      <c r="P12" s="497">
        <v>10000</v>
      </c>
      <c r="Q12" s="493">
        <v>12400</v>
      </c>
      <c r="R12" s="494">
        <v>13250</v>
      </c>
      <c r="S12" s="494">
        <v>13800</v>
      </c>
      <c r="T12" s="494">
        <v>14150</v>
      </c>
      <c r="U12" s="495">
        <v>15200</v>
      </c>
    </row>
    <row r="13" spans="2:21" ht="15" customHeight="1" x14ac:dyDescent="0.25">
      <c r="B13" s="399">
        <v>10</v>
      </c>
      <c r="C13" s="493">
        <v>3105</v>
      </c>
      <c r="D13" s="494">
        <v>3235</v>
      </c>
      <c r="E13" s="494">
        <v>3380</v>
      </c>
      <c r="F13" s="495">
        <v>3575</v>
      </c>
      <c r="G13" s="493">
        <v>3770</v>
      </c>
      <c r="H13" s="494">
        <v>4010</v>
      </c>
      <c r="I13" s="494">
        <v>4200</v>
      </c>
      <c r="J13" s="494">
        <v>4990</v>
      </c>
      <c r="K13" s="494">
        <v>5280</v>
      </c>
      <c r="L13" s="494">
        <v>6170</v>
      </c>
      <c r="M13" s="495">
        <v>6850</v>
      </c>
      <c r="N13" s="496">
        <v>8300</v>
      </c>
      <c r="O13" s="494">
        <v>9475</v>
      </c>
      <c r="P13" s="497">
        <v>10300</v>
      </c>
      <c r="Q13" s="493">
        <v>12700</v>
      </c>
      <c r="R13" s="494">
        <v>13575</v>
      </c>
      <c r="S13" s="494">
        <v>14150</v>
      </c>
      <c r="T13" s="494">
        <v>14525</v>
      </c>
      <c r="U13" s="495">
        <v>15600</v>
      </c>
    </row>
    <row r="14" spans="2:21" ht="15" customHeight="1" x14ac:dyDescent="0.25">
      <c r="B14" s="399">
        <v>11</v>
      </c>
      <c r="C14" s="493">
        <v>3165</v>
      </c>
      <c r="D14" s="494">
        <v>3300</v>
      </c>
      <c r="E14" s="494">
        <v>3450</v>
      </c>
      <c r="F14" s="495">
        <v>3650</v>
      </c>
      <c r="G14" s="493">
        <v>3850</v>
      </c>
      <c r="H14" s="494">
        <v>4100</v>
      </c>
      <c r="I14" s="494">
        <v>4300</v>
      </c>
      <c r="J14" s="494">
        <v>5100</v>
      </c>
      <c r="K14" s="494">
        <v>5400</v>
      </c>
      <c r="L14" s="494">
        <v>6300</v>
      </c>
      <c r="M14" s="495">
        <v>7000</v>
      </c>
      <c r="N14" s="496">
        <v>8500</v>
      </c>
      <c r="O14" s="494">
        <v>9700</v>
      </c>
      <c r="P14" s="497">
        <v>10600</v>
      </c>
      <c r="Q14" s="493">
        <v>13000</v>
      </c>
      <c r="R14" s="494">
        <v>13900</v>
      </c>
      <c r="S14" s="494">
        <v>14500</v>
      </c>
      <c r="T14" s="494">
        <v>14900</v>
      </c>
      <c r="U14" s="495">
        <v>16000</v>
      </c>
    </row>
    <row r="15" spans="2:21" ht="15" customHeight="1" x14ac:dyDescent="0.25">
      <c r="B15" s="399">
        <v>12</v>
      </c>
      <c r="C15" s="493">
        <v>3225</v>
      </c>
      <c r="D15" s="494">
        <v>3370</v>
      </c>
      <c r="E15" s="494">
        <v>3520</v>
      </c>
      <c r="F15" s="495">
        <v>3725</v>
      </c>
      <c r="G15" s="493">
        <v>3930</v>
      </c>
      <c r="H15" s="494">
        <v>4190</v>
      </c>
      <c r="I15" s="494">
        <v>4400</v>
      </c>
      <c r="J15" s="494">
        <v>5210</v>
      </c>
      <c r="K15" s="494">
        <v>5520</v>
      </c>
      <c r="L15" s="494">
        <v>6430</v>
      </c>
      <c r="M15" s="495">
        <v>7150</v>
      </c>
      <c r="N15" s="496">
        <v>8700</v>
      </c>
      <c r="O15" s="494">
        <v>9925</v>
      </c>
      <c r="P15" s="497">
        <v>10900</v>
      </c>
      <c r="Q15" s="493">
        <v>13300</v>
      </c>
      <c r="R15" s="494">
        <v>14225</v>
      </c>
      <c r="S15" s="494">
        <v>14850</v>
      </c>
      <c r="T15" s="494">
        <v>15275</v>
      </c>
      <c r="U15" s="495">
        <v>16400</v>
      </c>
    </row>
    <row r="16" spans="2:21" ht="15" customHeight="1" x14ac:dyDescent="0.25">
      <c r="B16" s="399">
        <v>13</v>
      </c>
      <c r="C16" s="493">
        <v>3285</v>
      </c>
      <c r="D16" s="494">
        <v>3440</v>
      </c>
      <c r="E16" s="494">
        <v>3590</v>
      </c>
      <c r="F16" s="495">
        <v>3800</v>
      </c>
      <c r="G16" s="493">
        <v>4010</v>
      </c>
      <c r="H16" s="494">
        <v>4280</v>
      </c>
      <c r="I16" s="494">
        <v>4500</v>
      </c>
      <c r="J16" s="494">
        <v>5320</v>
      </c>
      <c r="K16" s="494">
        <v>5640</v>
      </c>
      <c r="L16" s="494">
        <v>6560</v>
      </c>
      <c r="M16" s="495">
        <v>7300</v>
      </c>
      <c r="N16" s="496">
        <v>8900</v>
      </c>
      <c r="O16" s="494">
        <v>10150</v>
      </c>
      <c r="P16" s="497">
        <v>11200</v>
      </c>
      <c r="Q16" s="493">
        <v>13600</v>
      </c>
      <c r="R16" s="494">
        <v>14550</v>
      </c>
      <c r="S16" s="494">
        <v>15200</v>
      </c>
      <c r="T16" s="494">
        <v>15650</v>
      </c>
      <c r="U16" s="495">
        <v>16800</v>
      </c>
    </row>
    <row r="17" spans="2:21" ht="15" customHeight="1" x14ac:dyDescent="0.25">
      <c r="B17" s="399">
        <v>14</v>
      </c>
      <c r="C17" s="493">
        <v>3350</v>
      </c>
      <c r="D17" s="494">
        <v>3510</v>
      </c>
      <c r="E17" s="494">
        <v>3660</v>
      </c>
      <c r="F17" s="495">
        <v>3880</v>
      </c>
      <c r="G17" s="493">
        <v>4100</v>
      </c>
      <c r="H17" s="494">
        <v>4380</v>
      </c>
      <c r="I17" s="494">
        <v>4600</v>
      </c>
      <c r="J17" s="494">
        <v>5430</v>
      </c>
      <c r="K17" s="494">
        <v>5760</v>
      </c>
      <c r="L17" s="494">
        <v>6690</v>
      </c>
      <c r="M17" s="495">
        <v>7450</v>
      </c>
      <c r="N17" s="496">
        <v>9100</v>
      </c>
      <c r="O17" s="494">
        <v>10375</v>
      </c>
      <c r="P17" s="497">
        <v>11500</v>
      </c>
      <c r="Q17" s="493">
        <v>13900</v>
      </c>
      <c r="R17" s="494">
        <v>14875</v>
      </c>
      <c r="S17" s="494">
        <v>15550</v>
      </c>
      <c r="T17" s="494">
        <v>16025</v>
      </c>
      <c r="U17" s="495">
        <v>17200</v>
      </c>
    </row>
    <row r="18" spans="2:21" ht="15" customHeight="1" x14ac:dyDescent="0.25">
      <c r="B18" s="399">
        <v>15</v>
      </c>
      <c r="C18" s="493">
        <v>3415</v>
      </c>
      <c r="D18" s="494">
        <v>3580</v>
      </c>
      <c r="E18" s="494">
        <v>3730</v>
      </c>
      <c r="F18" s="495">
        <v>3960</v>
      </c>
      <c r="G18" s="493">
        <v>4190</v>
      </c>
      <c r="H18" s="494">
        <v>4480</v>
      </c>
      <c r="I18" s="494">
        <v>4700</v>
      </c>
      <c r="J18" s="494">
        <v>5540</v>
      </c>
      <c r="K18" s="494">
        <v>5880</v>
      </c>
      <c r="L18" s="494">
        <v>6840</v>
      </c>
      <c r="M18" s="495">
        <v>7600</v>
      </c>
      <c r="N18" s="496">
        <v>9300</v>
      </c>
      <c r="O18" s="494">
        <v>10600</v>
      </c>
      <c r="P18" s="497">
        <v>11800</v>
      </c>
      <c r="Q18" s="493">
        <v>14200</v>
      </c>
      <c r="R18" s="494">
        <v>15200</v>
      </c>
      <c r="S18" s="494">
        <v>15900</v>
      </c>
      <c r="T18" s="494">
        <v>16400</v>
      </c>
      <c r="U18" s="495">
        <v>17600</v>
      </c>
    </row>
    <row r="19" spans="2:21" ht="15" customHeight="1" x14ac:dyDescent="0.25">
      <c r="B19" s="399">
        <v>16</v>
      </c>
      <c r="C19" s="493">
        <v>3480</v>
      </c>
      <c r="D19" s="494">
        <v>3650</v>
      </c>
      <c r="E19" s="494">
        <v>3800</v>
      </c>
      <c r="F19" s="495">
        <v>4040</v>
      </c>
      <c r="G19" s="493">
        <v>4280</v>
      </c>
      <c r="H19" s="494">
        <v>4580</v>
      </c>
      <c r="I19" s="494">
        <v>4800</v>
      </c>
      <c r="J19" s="494">
        <v>5650</v>
      </c>
      <c r="K19" s="494">
        <v>6000</v>
      </c>
      <c r="L19" s="494">
        <v>6990</v>
      </c>
      <c r="M19" s="495">
        <v>7750</v>
      </c>
      <c r="N19" s="496">
        <v>9500</v>
      </c>
      <c r="O19" s="494">
        <v>10825</v>
      </c>
      <c r="P19" s="497">
        <v>12100</v>
      </c>
      <c r="Q19" s="493">
        <v>14500</v>
      </c>
      <c r="R19" s="494">
        <v>15525</v>
      </c>
      <c r="S19" s="494">
        <v>16250</v>
      </c>
      <c r="T19" s="494">
        <v>16775</v>
      </c>
      <c r="U19" s="495">
        <v>18000</v>
      </c>
    </row>
    <row r="20" spans="2:21" ht="15" customHeight="1" x14ac:dyDescent="0.25">
      <c r="B20" s="399">
        <v>17</v>
      </c>
      <c r="C20" s="493">
        <v>3545</v>
      </c>
      <c r="D20" s="494">
        <v>3720</v>
      </c>
      <c r="E20" s="494">
        <v>3875</v>
      </c>
      <c r="F20" s="495">
        <v>4120</v>
      </c>
      <c r="G20" s="493">
        <v>4370</v>
      </c>
      <c r="H20" s="494">
        <v>4680</v>
      </c>
      <c r="I20" s="494">
        <v>4910</v>
      </c>
      <c r="J20" s="494">
        <v>5770</v>
      </c>
      <c r="K20" s="494">
        <v>6130</v>
      </c>
      <c r="L20" s="494">
        <v>7140</v>
      </c>
      <c r="M20" s="495">
        <v>7925</v>
      </c>
      <c r="N20" s="496">
        <v>9700</v>
      </c>
      <c r="O20" s="494">
        <v>11050</v>
      </c>
      <c r="P20" s="497">
        <v>12400</v>
      </c>
      <c r="Q20" s="493">
        <v>14800</v>
      </c>
      <c r="R20" s="494">
        <v>15850</v>
      </c>
      <c r="S20" s="494">
        <v>16600</v>
      </c>
      <c r="T20" s="494">
        <v>17150</v>
      </c>
      <c r="U20" s="495">
        <v>18400</v>
      </c>
    </row>
    <row r="21" spans="2:21" ht="15" customHeight="1" x14ac:dyDescent="0.25">
      <c r="B21" s="399">
        <v>18</v>
      </c>
      <c r="C21" s="493"/>
      <c r="D21" s="494">
        <v>3790</v>
      </c>
      <c r="E21" s="494">
        <v>3950</v>
      </c>
      <c r="F21" s="495">
        <v>4200</v>
      </c>
      <c r="G21" s="493">
        <v>4460</v>
      </c>
      <c r="H21" s="494">
        <v>4780</v>
      </c>
      <c r="I21" s="494">
        <v>5020</v>
      </c>
      <c r="J21" s="494">
        <v>5890</v>
      </c>
      <c r="K21" s="494">
        <v>6260</v>
      </c>
      <c r="L21" s="494">
        <v>7290</v>
      </c>
      <c r="M21" s="495">
        <v>8100</v>
      </c>
      <c r="N21" s="496">
        <v>9900</v>
      </c>
      <c r="O21" s="494">
        <v>11275</v>
      </c>
      <c r="P21" s="497">
        <v>12700</v>
      </c>
      <c r="Q21" s="493">
        <v>15100</v>
      </c>
      <c r="R21" s="494"/>
      <c r="S21" s="494">
        <v>16950</v>
      </c>
      <c r="T21" s="494">
        <v>17525</v>
      </c>
      <c r="U21" s="495"/>
    </row>
    <row r="22" spans="2:21" ht="15" customHeight="1" x14ac:dyDescent="0.25">
      <c r="B22" s="399">
        <v>19</v>
      </c>
      <c r="C22" s="493"/>
      <c r="D22" s="494">
        <v>3860</v>
      </c>
      <c r="E22" s="494">
        <v>4025</v>
      </c>
      <c r="F22" s="495">
        <v>4280</v>
      </c>
      <c r="G22" s="493">
        <v>4550</v>
      </c>
      <c r="H22" s="494">
        <v>4880</v>
      </c>
      <c r="I22" s="494">
        <v>5130</v>
      </c>
      <c r="J22" s="494">
        <v>6010</v>
      </c>
      <c r="K22" s="494">
        <v>6390</v>
      </c>
      <c r="L22" s="494">
        <v>7440</v>
      </c>
      <c r="M22" s="495">
        <v>8275</v>
      </c>
      <c r="N22" s="496">
        <v>10100</v>
      </c>
      <c r="O22" s="494">
        <v>11500</v>
      </c>
      <c r="P22" s="497">
        <v>13000</v>
      </c>
      <c r="Q22" s="493"/>
      <c r="R22" s="494"/>
      <c r="S22" s="494">
        <v>17300</v>
      </c>
      <c r="T22" s="494">
        <v>17900</v>
      </c>
      <c r="U22" s="495"/>
    </row>
    <row r="23" spans="2:21" ht="15" customHeight="1" x14ac:dyDescent="0.25">
      <c r="B23" s="399">
        <v>20</v>
      </c>
      <c r="C23" s="493"/>
      <c r="D23" s="494">
        <v>3930</v>
      </c>
      <c r="E23" s="494">
        <v>4100</v>
      </c>
      <c r="F23" s="495">
        <v>4360</v>
      </c>
      <c r="G23" s="493">
        <v>4640</v>
      </c>
      <c r="H23" s="494">
        <v>4980</v>
      </c>
      <c r="I23" s="494">
        <v>5240</v>
      </c>
      <c r="J23" s="494">
        <v>6130</v>
      </c>
      <c r="K23" s="494">
        <v>6520</v>
      </c>
      <c r="L23" s="494">
        <v>7590</v>
      </c>
      <c r="M23" s="495">
        <v>8450</v>
      </c>
      <c r="N23" s="496">
        <v>10300</v>
      </c>
      <c r="O23" s="494">
        <v>11750</v>
      </c>
      <c r="P23" s="497">
        <v>13300</v>
      </c>
      <c r="Q23" s="493"/>
      <c r="R23" s="494"/>
      <c r="S23" s="494">
        <v>17650</v>
      </c>
      <c r="T23" s="494">
        <v>18275</v>
      </c>
      <c r="U23" s="495"/>
    </row>
    <row r="24" spans="2:21" ht="15" customHeight="1" x14ac:dyDescent="0.25">
      <c r="B24" s="399">
        <v>21</v>
      </c>
      <c r="C24" s="493"/>
      <c r="D24" s="494">
        <v>4000</v>
      </c>
      <c r="E24" s="494">
        <v>4175</v>
      </c>
      <c r="F24" s="495">
        <v>4440</v>
      </c>
      <c r="G24" s="493">
        <v>4730</v>
      </c>
      <c r="H24" s="494">
        <v>5080</v>
      </c>
      <c r="I24" s="494">
        <v>5350</v>
      </c>
      <c r="J24" s="494">
        <v>6250</v>
      </c>
      <c r="K24" s="494">
        <v>6650</v>
      </c>
      <c r="L24" s="494">
        <v>7740</v>
      </c>
      <c r="M24" s="495">
        <v>8625</v>
      </c>
      <c r="N24" s="496">
        <v>10500</v>
      </c>
      <c r="O24" s="494">
        <v>12000</v>
      </c>
      <c r="P24" s="497">
        <v>13600</v>
      </c>
      <c r="Q24" s="493"/>
      <c r="R24" s="494"/>
      <c r="S24" s="494">
        <v>18000</v>
      </c>
      <c r="T24" s="494"/>
      <c r="U24" s="495"/>
    </row>
    <row r="25" spans="2:21" ht="15" customHeight="1" x14ac:dyDescent="0.25">
      <c r="B25" s="399">
        <v>22</v>
      </c>
      <c r="C25" s="493"/>
      <c r="D25" s="494">
        <v>4070</v>
      </c>
      <c r="E25" s="494">
        <v>4250</v>
      </c>
      <c r="F25" s="495">
        <v>4520</v>
      </c>
      <c r="G25" s="493">
        <v>4820</v>
      </c>
      <c r="H25" s="494">
        <v>5180</v>
      </c>
      <c r="I25" s="494">
        <v>5460</v>
      </c>
      <c r="J25" s="494">
        <v>6370</v>
      </c>
      <c r="K25" s="494">
        <v>6780</v>
      </c>
      <c r="L25" s="494">
        <v>7890</v>
      </c>
      <c r="M25" s="495">
        <v>8800</v>
      </c>
      <c r="N25" s="496">
        <v>10725</v>
      </c>
      <c r="O25" s="494">
        <v>12250</v>
      </c>
      <c r="P25" s="497">
        <v>13900</v>
      </c>
      <c r="Q25" s="493"/>
      <c r="R25" s="494"/>
      <c r="S25" s="494"/>
      <c r="T25" s="494"/>
      <c r="U25" s="495"/>
    </row>
    <row r="26" spans="2:21" ht="15" customHeight="1" x14ac:dyDescent="0.25">
      <c r="B26" s="399">
        <v>23</v>
      </c>
      <c r="C26" s="493"/>
      <c r="D26" s="494">
        <v>4140</v>
      </c>
      <c r="E26" s="494">
        <v>4325</v>
      </c>
      <c r="F26" s="495">
        <v>4600</v>
      </c>
      <c r="G26" s="493">
        <v>4910</v>
      </c>
      <c r="H26" s="494">
        <v>5280</v>
      </c>
      <c r="I26" s="494">
        <v>5570</v>
      </c>
      <c r="J26" s="494">
        <v>6490</v>
      </c>
      <c r="K26" s="494">
        <v>6910</v>
      </c>
      <c r="L26" s="494">
        <v>8040</v>
      </c>
      <c r="M26" s="495">
        <v>8975</v>
      </c>
      <c r="N26" s="496">
        <v>10950</v>
      </c>
      <c r="O26" s="494">
        <v>12500</v>
      </c>
      <c r="P26" s="497">
        <v>14200</v>
      </c>
      <c r="Q26" s="493"/>
      <c r="R26" s="494"/>
      <c r="S26" s="494"/>
      <c r="T26" s="494"/>
      <c r="U26" s="495"/>
    </row>
    <row r="27" spans="2:21" ht="15" customHeight="1" x14ac:dyDescent="0.25">
      <c r="B27" s="399">
        <v>24</v>
      </c>
      <c r="C27" s="493"/>
      <c r="D27" s="494">
        <v>4210</v>
      </c>
      <c r="E27" s="494">
        <v>4400</v>
      </c>
      <c r="F27" s="495">
        <v>4680</v>
      </c>
      <c r="G27" s="493">
        <v>5110</v>
      </c>
      <c r="H27" s="494">
        <v>5380</v>
      </c>
      <c r="I27" s="494">
        <v>5680</v>
      </c>
      <c r="J27" s="494">
        <v>6610</v>
      </c>
      <c r="K27" s="494">
        <v>7040</v>
      </c>
      <c r="L27" s="494">
        <v>8190</v>
      </c>
      <c r="M27" s="495">
        <v>9150</v>
      </c>
      <c r="N27" s="496">
        <v>11175</v>
      </c>
      <c r="O27" s="494">
        <v>12750</v>
      </c>
      <c r="P27" s="497">
        <v>14500</v>
      </c>
      <c r="Q27" s="493"/>
      <c r="R27" s="494"/>
      <c r="S27" s="494"/>
      <c r="T27" s="494"/>
      <c r="U27" s="495"/>
    </row>
    <row r="28" spans="2:21" ht="15" customHeight="1" x14ac:dyDescent="0.25">
      <c r="B28" s="399">
        <v>25</v>
      </c>
      <c r="C28" s="493"/>
      <c r="D28" s="494">
        <v>4280</v>
      </c>
      <c r="E28" s="494">
        <v>4475</v>
      </c>
      <c r="F28" s="495">
        <v>4760</v>
      </c>
      <c r="G28" s="493">
        <v>5310</v>
      </c>
      <c r="H28" s="494">
        <v>5480</v>
      </c>
      <c r="I28" s="494">
        <v>5790</v>
      </c>
      <c r="J28" s="494">
        <v>6730</v>
      </c>
      <c r="K28" s="494">
        <v>7170</v>
      </c>
      <c r="L28" s="494">
        <v>8340</v>
      </c>
      <c r="M28" s="495">
        <v>9325</v>
      </c>
      <c r="N28" s="496">
        <v>11400</v>
      </c>
      <c r="O28" s="494">
        <v>13000</v>
      </c>
      <c r="P28" s="497">
        <v>14800</v>
      </c>
      <c r="Q28" s="493"/>
      <c r="R28" s="494"/>
      <c r="S28" s="494"/>
      <c r="T28" s="494"/>
      <c r="U28" s="495"/>
    </row>
    <row r="29" spans="2:21" ht="15" customHeight="1" x14ac:dyDescent="0.25">
      <c r="B29" s="399">
        <v>26</v>
      </c>
      <c r="C29" s="493"/>
      <c r="D29" s="494">
        <v>4350</v>
      </c>
      <c r="E29" s="494">
        <v>4550</v>
      </c>
      <c r="F29" s="495">
        <v>4850</v>
      </c>
      <c r="G29" s="493">
        <v>5510</v>
      </c>
      <c r="H29" s="494">
        <v>5590</v>
      </c>
      <c r="I29" s="494">
        <v>5900</v>
      </c>
      <c r="J29" s="494">
        <v>6850</v>
      </c>
      <c r="K29" s="494">
        <v>7300</v>
      </c>
      <c r="L29" s="494">
        <v>8490</v>
      </c>
      <c r="M29" s="495">
        <v>9500</v>
      </c>
      <c r="N29" s="496">
        <v>11625</v>
      </c>
      <c r="O29" s="494"/>
      <c r="P29" s="497">
        <v>15100</v>
      </c>
      <c r="Q29" s="493"/>
      <c r="R29" s="494"/>
      <c r="S29" s="494"/>
      <c r="T29" s="494"/>
      <c r="U29" s="495"/>
    </row>
    <row r="30" spans="2:21" ht="15" customHeight="1" x14ac:dyDescent="0.25">
      <c r="B30" s="400">
        <v>27</v>
      </c>
      <c r="C30" s="493"/>
      <c r="D30" s="494"/>
      <c r="E30" s="494">
        <v>4625</v>
      </c>
      <c r="F30" s="495">
        <v>4940</v>
      </c>
      <c r="G30" s="493">
        <v>5710</v>
      </c>
      <c r="H30" s="494">
        <v>5700</v>
      </c>
      <c r="I30" s="494">
        <v>6020</v>
      </c>
      <c r="J30" s="494">
        <v>6980</v>
      </c>
      <c r="K30" s="494">
        <v>7450</v>
      </c>
      <c r="L30" s="494">
        <v>8640</v>
      </c>
      <c r="M30" s="495">
        <v>9700</v>
      </c>
      <c r="N30" s="496">
        <v>11850</v>
      </c>
      <c r="O30" s="494"/>
      <c r="P30" s="497"/>
      <c r="Q30" s="493"/>
      <c r="R30" s="494"/>
      <c r="S30" s="494"/>
      <c r="T30" s="494"/>
      <c r="U30" s="495"/>
    </row>
    <row r="31" spans="2:21" ht="15" customHeight="1" x14ac:dyDescent="0.25">
      <c r="B31" s="400">
        <v>28</v>
      </c>
      <c r="C31" s="493"/>
      <c r="D31" s="494"/>
      <c r="E31" s="494">
        <v>4700</v>
      </c>
      <c r="F31" s="495">
        <v>5030</v>
      </c>
      <c r="G31" s="493">
        <v>5910</v>
      </c>
      <c r="H31" s="494">
        <v>5810</v>
      </c>
      <c r="I31" s="494">
        <v>6140</v>
      </c>
      <c r="J31" s="494">
        <v>7110</v>
      </c>
      <c r="K31" s="494">
        <v>7600</v>
      </c>
      <c r="L31" s="494">
        <v>8790</v>
      </c>
      <c r="M31" s="495">
        <v>9900</v>
      </c>
      <c r="N31" s="496">
        <v>12075</v>
      </c>
      <c r="O31" s="494"/>
      <c r="P31" s="497"/>
      <c r="Q31" s="493"/>
      <c r="R31" s="494"/>
      <c r="S31" s="494"/>
      <c r="T31" s="494"/>
      <c r="U31" s="495"/>
    </row>
    <row r="32" spans="2:21" ht="15" customHeight="1" x14ac:dyDescent="0.25">
      <c r="B32" s="399">
        <v>29</v>
      </c>
      <c r="C32" s="493"/>
      <c r="D32" s="494"/>
      <c r="E32" s="494">
        <v>4775</v>
      </c>
      <c r="F32" s="495">
        <v>5120</v>
      </c>
      <c r="G32" s="493"/>
      <c r="H32" s="494">
        <v>5920</v>
      </c>
      <c r="I32" s="494">
        <v>6260</v>
      </c>
      <c r="J32" s="494">
        <v>7240</v>
      </c>
      <c r="K32" s="494">
        <v>7750</v>
      </c>
      <c r="L32" s="494">
        <v>8940</v>
      </c>
      <c r="M32" s="495">
        <v>10100</v>
      </c>
      <c r="N32" s="496">
        <v>12300</v>
      </c>
      <c r="O32" s="494"/>
      <c r="P32" s="497"/>
      <c r="Q32" s="493"/>
      <c r="R32" s="494"/>
      <c r="S32" s="494"/>
      <c r="T32" s="494"/>
      <c r="U32" s="495"/>
    </row>
    <row r="33" spans="2:21" ht="15" customHeight="1" x14ac:dyDescent="0.25">
      <c r="B33" s="399">
        <v>30</v>
      </c>
      <c r="C33" s="493"/>
      <c r="D33" s="494"/>
      <c r="E33" s="494">
        <v>4850</v>
      </c>
      <c r="F33" s="495">
        <v>5210</v>
      </c>
      <c r="G33" s="493"/>
      <c r="H33" s="494">
        <v>6030</v>
      </c>
      <c r="I33" s="494">
        <v>6380</v>
      </c>
      <c r="J33" s="494">
        <v>7370</v>
      </c>
      <c r="K33" s="494">
        <v>7900</v>
      </c>
      <c r="L33" s="494">
        <v>9110</v>
      </c>
      <c r="M33" s="495">
        <v>10300</v>
      </c>
      <c r="N33" s="496"/>
      <c r="O33" s="494"/>
      <c r="P33" s="497"/>
      <c r="Q33" s="493"/>
      <c r="R33" s="494"/>
      <c r="S33" s="494"/>
      <c r="T33" s="494"/>
      <c r="U33" s="495"/>
    </row>
    <row r="34" spans="2:21" ht="15" customHeight="1" x14ac:dyDescent="0.25">
      <c r="B34" s="399">
        <v>31</v>
      </c>
      <c r="C34" s="493"/>
      <c r="D34" s="494"/>
      <c r="E34" s="494">
        <v>4925</v>
      </c>
      <c r="F34" s="495">
        <v>5300</v>
      </c>
      <c r="G34" s="493"/>
      <c r="H34" s="494"/>
      <c r="I34" s="494">
        <v>6500</v>
      </c>
      <c r="J34" s="494">
        <v>7500</v>
      </c>
      <c r="K34" s="494">
        <v>8050</v>
      </c>
      <c r="L34" s="494">
        <v>9280</v>
      </c>
      <c r="M34" s="495">
        <v>10500</v>
      </c>
      <c r="N34" s="496"/>
      <c r="O34" s="494"/>
      <c r="P34" s="497"/>
      <c r="Q34" s="493"/>
      <c r="R34" s="494"/>
      <c r="S34" s="494"/>
      <c r="T34" s="494"/>
      <c r="U34" s="495"/>
    </row>
    <row r="35" spans="2:21" ht="15" customHeight="1" x14ac:dyDescent="0.25">
      <c r="B35" s="399">
        <v>32</v>
      </c>
      <c r="C35" s="493"/>
      <c r="D35" s="494"/>
      <c r="E35" s="494"/>
      <c r="F35" s="495">
        <v>5390</v>
      </c>
      <c r="G35" s="493"/>
      <c r="H35" s="494"/>
      <c r="I35" s="494">
        <v>6620</v>
      </c>
      <c r="J35" s="494">
        <v>7630</v>
      </c>
      <c r="K35" s="494">
        <v>8200</v>
      </c>
      <c r="L35" s="494">
        <v>9450</v>
      </c>
      <c r="M35" s="495">
        <v>10700</v>
      </c>
      <c r="N35" s="496"/>
      <c r="O35" s="494"/>
      <c r="P35" s="497"/>
      <c r="Q35" s="493"/>
      <c r="R35" s="494"/>
      <c r="S35" s="494"/>
      <c r="T35" s="494"/>
      <c r="U35" s="495"/>
    </row>
    <row r="36" spans="2:21" ht="15" customHeight="1" x14ac:dyDescent="0.25">
      <c r="B36" s="399">
        <v>33</v>
      </c>
      <c r="C36" s="493"/>
      <c r="D36" s="494"/>
      <c r="E36" s="494"/>
      <c r="F36" s="495">
        <v>5480</v>
      </c>
      <c r="G36" s="493"/>
      <c r="H36" s="494"/>
      <c r="I36" s="494">
        <v>6740</v>
      </c>
      <c r="J36" s="494">
        <v>7760</v>
      </c>
      <c r="K36" s="494">
        <v>8350</v>
      </c>
      <c r="L36" s="494">
        <v>9620</v>
      </c>
      <c r="M36" s="495"/>
      <c r="N36" s="496"/>
      <c r="O36" s="494"/>
      <c r="P36" s="497"/>
      <c r="Q36" s="493"/>
      <c r="R36" s="494"/>
      <c r="S36" s="494"/>
      <c r="T36" s="494"/>
      <c r="U36" s="495"/>
    </row>
    <row r="37" spans="2:21" ht="15" customHeight="1" x14ac:dyDescent="0.25">
      <c r="B37" s="399">
        <v>34</v>
      </c>
      <c r="C37" s="493"/>
      <c r="D37" s="494"/>
      <c r="E37" s="494"/>
      <c r="F37" s="495">
        <v>5570</v>
      </c>
      <c r="G37" s="493"/>
      <c r="H37" s="494"/>
      <c r="I37" s="494">
        <v>6860</v>
      </c>
      <c r="J37" s="494">
        <v>7890</v>
      </c>
      <c r="K37" s="494">
        <v>8500</v>
      </c>
      <c r="L37" s="494">
        <v>9790</v>
      </c>
      <c r="M37" s="495"/>
      <c r="N37" s="496"/>
      <c r="O37" s="494"/>
      <c r="P37" s="497"/>
      <c r="Q37" s="493"/>
      <c r="R37" s="494"/>
      <c r="S37" s="494"/>
      <c r="T37" s="494"/>
      <c r="U37" s="495"/>
    </row>
    <row r="38" spans="2:21" ht="15" customHeight="1" x14ac:dyDescent="0.25">
      <c r="B38" s="399">
        <v>35</v>
      </c>
      <c r="C38" s="493"/>
      <c r="D38" s="494"/>
      <c r="E38" s="494"/>
      <c r="F38" s="495">
        <v>5660</v>
      </c>
      <c r="G38" s="493"/>
      <c r="H38" s="494"/>
      <c r="I38" s="494">
        <v>6980</v>
      </c>
      <c r="J38" s="494"/>
      <c r="K38" s="494">
        <v>8650</v>
      </c>
      <c r="L38" s="494">
        <v>9960</v>
      </c>
      <c r="M38" s="495"/>
      <c r="N38" s="496"/>
      <c r="O38" s="494"/>
      <c r="P38" s="497"/>
      <c r="Q38" s="493"/>
      <c r="R38" s="494"/>
      <c r="S38" s="494"/>
      <c r="T38" s="494"/>
      <c r="U38" s="495"/>
    </row>
    <row r="39" spans="2:21" ht="15" customHeight="1" x14ac:dyDescent="0.25">
      <c r="B39" s="399">
        <v>36</v>
      </c>
      <c r="C39" s="493"/>
      <c r="D39" s="494"/>
      <c r="E39" s="494"/>
      <c r="F39" s="495"/>
      <c r="G39" s="493"/>
      <c r="H39" s="494"/>
      <c r="I39" s="494">
        <v>7100</v>
      </c>
      <c r="J39" s="494"/>
      <c r="K39" s="494"/>
      <c r="L39" s="494">
        <v>10130</v>
      </c>
      <c r="M39" s="495"/>
      <c r="N39" s="496"/>
      <c r="O39" s="494"/>
      <c r="P39" s="497"/>
      <c r="Q39" s="493"/>
      <c r="R39" s="494"/>
      <c r="S39" s="494"/>
      <c r="T39" s="494"/>
      <c r="U39" s="495"/>
    </row>
    <row r="40" spans="2:21" ht="15" customHeight="1" thickBot="1" x14ac:dyDescent="0.3">
      <c r="B40" s="401">
        <v>37</v>
      </c>
      <c r="C40" s="188"/>
      <c r="D40" s="189"/>
      <c r="E40" s="189"/>
      <c r="F40" s="190"/>
      <c r="G40" s="188"/>
      <c r="H40" s="189"/>
      <c r="I40" s="189"/>
      <c r="J40" s="189"/>
      <c r="K40" s="189"/>
      <c r="L40" s="189">
        <v>10300</v>
      </c>
      <c r="M40" s="190"/>
      <c r="N40" s="191"/>
      <c r="O40" s="186"/>
      <c r="P40" s="187"/>
      <c r="Q40" s="188"/>
      <c r="R40" s="189"/>
      <c r="S40" s="189"/>
      <c r="T40" s="189"/>
      <c r="U40" s="190"/>
    </row>
  </sheetData>
  <sheetProtection algorithmName="SHA-512" hashValue="6qOVoEZ/MPpZ4NCIQuR3rXvGG14pdpj7LUTgIqTemWcg+XoZzfZ62iaJeU9fssLxL1vB1lK7gXWn+ZuktoWnMw==" saltValue="l5eU96IlT/rGzKK46oDoTg==" spinCount="100000" sheet="1" objects="1" scenarios="1"/>
  <mergeCells count="1">
    <mergeCell ref="D1:S2"/>
  </mergeCells>
  <pageMargins left="0.2" right="0.2" top="0.2" bottom="0.2" header="0.2" footer="0.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theme="5" tint="-0.249977111117893"/>
    <pageSetUpPr fitToPage="1"/>
  </sheetPr>
  <dimension ref="C1:V45"/>
  <sheetViews>
    <sheetView workbookViewId="0">
      <selection activeCell="X12" sqref="X12"/>
    </sheetView>
  </sheetViews>
  <sheetFormatPr defaultColWidth="9.140625" defaultRowHeight="15" x14ac:dyDescent="0.25"/>
  <cols>
    <col min="1" max="2" width="9.140625" style="181"/>
    <col min="3" max="3" width="10.7109375" style="194" customWidth="1"/>
    <col min="4" max="22" width="10.7109375" style="181" customWidth="1"/>
    <col min="23" max="16384" width="9.140625" style="181"/>
  </cols>
  <sheetData>
    <row r="1" spans="3:22" ht="20.25" customHeight="1" thickBot="1" x14ac:dyDescent="0.3">
      <c r="C1" s="192"/>
      <c r="D1" s="193"/>
      <c r="E1" s="193"/>
      <c r="F1" s="193"/>
      <c r="G1" s="972" t="s">
        <v>5</v>
      </c>
      <c r="H1" s="973"/>
      <c r="I1" s="973"/>
      <c r="J1" s="973"/>
      <c r="K1" s="973"/>
      <c r="L1" s="973"/>
      <c r="M1" s="973"/>
      <c r="N1" s="973"/>
      <c r="O1" s="973"/>
      <c r="P1" s="973"/>
      <c r="Q1" s="973"/>
      <c r="R1" s="974"/>
      <c r="S1" s="193"/>
      <c r="T1" s="193"/>
      <c r="U1" s="193"/>
      <c r="V1" s="193"/>
    </row>
    <row r="2" spans="3:22" ht="15" customHeight="1" x14ac:dyDescent="0.25">
      <c r="C2" s="195" t="s">
        <v>6</v>
      </c>
      <c r="D2" s="969" t="s">
        <v>7</v>
      </c>
      <c r="E2" s="970"/>
      <c r="F2" s="970"/>
      <c r="G2" s="971"/>
      <c r="H2" s="970" t="s">
        <v>8</v>
      </c>
      <c r="I2" s="970"/>
      <c r="J2" s="970"/>
      <c r="K2" s="970"/>
      <c r="L2" s="970"/>
      <c r="M2" s="970"/>
      <c r="N2" s="970"/>
      <c r="O2" s="969" t="s">
        <v>9</v>
      </c>
      <c r="P2" s="970"/>
      <c r="Q2" s="971"/>
      <c r="R2" s="970" t="s">
        <v>10</v>
      </c>
      <c r="S2" s="970"/>
      <c r="T2" s="970"/>
      <c r="U2" s="970"/>
      <c r="V2" s="971"/>
    </row>
    <row r="3" spans="3:22" ht="15" customHeight="1" x14ac:dyDescent="0.25">
      <c r="C3" s="196" t="s">
        <v>11</v>
      </c>
      <c r="D3" s="465">
        <v>1400</v>
      </c>
      <c r="E3" s="466">
        <v>1650</v>
      </c>
      <c r="F3" s="466">
        <v>1800</v>
      </c>
      <c r="G3" s="467">
        <v>1900</v>
      </c>
      <c r="H3" s="468">
        <v>2000</v>
      </c>
      <c r="I3" s="466">
        <v>2100</v>
      </c>
      <c r="J3" s="466">
        <v>2200</v>
      </c>
      <c r="K3" s="466">
        <v>2400</v>
      </c>
      <c r="L3" s="466">
        <v>2800</v>
      </c>
      <c r="M3" s="466">
        <v>4200</v>
      </c>
      <c r="N3" s="469">
        <v>4400</v>
      </c>
      <c r="O3" s="465">
        <v>4600</v>
      </c>
      <c r="P3" s="466">
        <v>4800</v>
      </c>
      <c r="Q3" s="467">
        <v>5400</v>
      </c>
      <c r="R3" s="468">
        <v>6600</v>
      </c>
      <c r="S3" s="466">
        <v>6800</v>
      </c>
      <c r="T3" s="466">
        <v>7000</v>
      </c>
      <c r="U3" s="466">
        <v>7100</v>
      </c>
      <c r="V3" s="467">
        <v>7600</v>
      </c>
    </row>
    <row r="4" spans="3:22" ht="15" customHeight="1" x14ac:dyDescent="0.25">
      <c r="C4" s="196" t="s">
        <v>12</v>
      </c>
      <c r="D4" s="197">
        <v>1</v>
      </c>
      <c r="E4" s="198">
        <v>2</v>
      </c>
      <c r="F4" s="198">
        <v>3</v>
      </c>
      <c r="G4" s="199">
        <v>4</v>
      </c>
      <c r="H4" s="200">
        <v>5</v>
      </c>
      <c r="I4" s="198">
        <v>6</v>
      </c>
      <c r="J4" s="198">
        <v>7</v>
      </c>
      <c r="K4" s="198">
        <v>8</v>
      </c>
      <c r="L4" s="198">
        <v>9</v>
      </c>
      <c r="M4" s="198">
        <v>10</v>
      </c>
      <c r="N4" s="201">
        <v>11</v>
      </c>
      <c r="O4" s="197">
        <v>12</v>
      </c>
      <c r="P4" s="198">
        <v>13</v>
      </c>
      <c r="Q4" s="199">
        <v>14</v>
      </c>
      <c r="R4" s="200">
        <v>15</v>
      </c>
      <c r="S4" s="198">
        <v>16</v>
      </c>
      <c r="T4" s="198">
        <v>17</v>
      </c>
      <c r="U4" s="198">
        <v>18</v>
      </c>
      <c r="V4" s="199">
        <v>19</v>
      </c>
    </row>
    <row r="5" spans="3:22" ht="15" customHeight="1" x14ac:dyDescent="0.25">
      <c r="C5" s="196" t="s">
        <v>13</v>
      </c>
      <c r="D5" s="197">
        <v>2.25</v>
      </c>
      <c r="E5" s="198">
        <v>2.25</v>
      </c>
      <c r="F5" s="198">
        <v>2.25</v>
      </c>
      <c r="G5" s="199">
        <v>2.25</v>
      </c>
      <c r="H5" s="200">
        <v>2.25</v>
      </c>
      <c r="I5" s="198">
        <v>2.25</v>
      </c>
      <c r="J5" s="198">
        <v>2.25</v>
      </c>
      <c r="K5" s="198">
        <v>2.25</v>
      </c>
      <c r="L5" s="198">
        <v>2.25</v>
      </c>
      <c r="M5" s="198">
        <v>2.25</v>
      </c>
      <c r="N5" s="201">
        <v>2.25</v>
      </c>
      <c r="O5" s="197">
        <v>2.25</v>
      </c>
      <c r="P5" s="198">
        <v>2.25</v>
      </c>
      <c r="Q5" s="199">
        <v>2.25</v>
      </c>
      <c r="R5" s="200">
        <v>2.25</v>
      </c>
      <c r="S5" s="198">
        <v>2.25</v>
      </c>
      <c r="T5" s="198">
        <v>2.25</v>
      </c>
      <c r="U5" s="198">
        <v>2.25</v>
      </c>
      <c r="V5" s="199">
        <v>2.25</v>
      </c>
    </row>
    <row r="6" spans="3:22" ht="15" customHeight="1" x14ac:dyDescent="0.25">
      <c r="C6" s="196">
        <v>1</v>
      </c>
      <c r="D6" s="455">
        <v>14040</v>
      </c>
      <c r="E6" s="456">
        <v>14810</v>
      </c>
      <c r="F6" s="456">
        <v>15570</v>
      </c>
      <c r="G6" s="457">
        <v>16430</v>
      </c>
      <c r="H6" s="458">
        <v>17330</v>
      </c>
      <c r="I6" s="456">
        <v>18140</v>
      </c>
      <c r="J6" s="456">
        <v>18770</v>
      </c>
      <c r="K6" s="456">
        <v>22140</v>
      </c>
      <c r="L6" s="456">
        <v>23900</v>
      </c>
      <c r="M6" s="456">
        <v>30380</v>
      </c>
      <c r="N6" s="459">
        <v>32920</v>
      </c>
      <c r="O6" s="455">
        <v>37560</v>
      </c>
      <c r="P6" s="456">
        <v>41990</v>
      </c>
      <c r="Q6" s="457">
        <v>47250</v>
      </c>
      <c r="R6" s="458">
        <v>56700</v>
      </c>
      <c r="S6" s="456">
        <v>59880</v>
      </c>
      <c r="T6" s="456">
        <v>61790</v>
      </c>
      <c r="U6" s="456">
        <v>62640</v>
      </c>
      <c r="V6" s="457">
        <v>67320</v>
      </c>
    </row>
    <row r="7" spans="3:22" ht="15" customHeight="1" x14ac:dyDescent="0.25">
      <c r="C7" s="196">
        <v>2</v>
      </c>
      <c r="D7" s="455">
        <f t="shared" ref="D7:H8" si="0">ROUNDUP(D6*3%+D6,-1)</f>
        <v>14470</v>
      </c>
      <c r="E7" s="456">
        <f t="shared" si="0"/>
        <v>15260</v>
      </c>
      <c r="F7" s="456">
        <f t="shared" si="0"/>
        <v>16040</v>
      </c>
      <c r="G7" s="457">
        <f t="shared" si="0"/>
        <v>16930</v>
      </c>
      <c r="H7" s="458">
        <f t="shared" si="0"/>
        <v>17850</v>
      </c>
      <c r="I7" s="456">
        <f t="shared" ref="I7:V8" si="1">ROUNDUP(I6*3%+I6,-1)</f>
        <v>18690</v>
      </c>
      <c r="J7" s="456">
        <f t="shared" si="1"/>
        <v>19340</v>
      </c>
      <c r="K7" s="456">
        <f t="shared" si="1"/>
        <v>22810</v>
      </c>
      <c r="L7" s="456">
        <f t="shared" si="1"/>
        <v>24620</v>
      </c>
      <c r="M7" s="456">
        <f t="shared" si="1"/>
        <v>31300</v>
      </c>
      <c r="N7" s="459">
        <f t="shared" si="1"/>
        <v>33910</v>
      </c>
      <c r="O7" s="455">
        <f t="shared" si="1"/>
        <v>38690</v>
      </c>
      <c r="P7" s="456">
        <f t="shared" si="1"/>
        <v>43250</v>
      </c>
      <c r="Q7" s="457">
        <f t="shared" si="1"/>
        <v>48670</v>
      </c>
      <c r="R7" s="458">
        <f t="shared" si="1"/>
        <v>58410</v>
      </c>
      <c r="S7" s="456">
        <f t="shared" si="1"/>
        <v>61680</v>
      </c>
      <c r="T7" s="456">
        <f t="shared" si="1"/>
        <v>63650</v>
      </c>
      <c r="U7" s="456">
        <f t="shared" si="1"/>
        <v>64520</v>
      </c>
      <c r="V7" s="457">
        <f t="shared" si="1"/>
        <v>69340</v>
      </c>
    </row>
    <row r="8" spans="3:22" ht="15" customHeight="1" x14ac:dyDescent="0.25">
      <c r="C8" s="196">
        <v>3</v>
      </c>
      <c r="D8" s="455">
        <f t="shared" si="0"/>
        <v>14910</v>
      </c>
      <c r="E8" s="456">
        <f t="shared" si="0"/>
        <v>15720</v>
      </c>
      <c r="F8" s="456">
        <f t="shared" si="0"/>
        <v>16530</v>
      </c>
      <c r="G8" s="457">
        <f t="shared" si="0"/>
        <v>17440</v>
      </c>
      <c r="H8" s="458">
        <f t="shared" si="0"/>
        <v>18390</v>
      </c>
      <c r="I8" s="456">
        <f t="shared" si="1"/>
        <v>19260</v>
      </c>
      <c r="J8" s="456">
        <f t="shared" si="1"/>
        <v>19930</v>
      </c>
      <c r="K8" s="456">
        <f t="shared" si="1"/>
        <v>23500</v>
      </c>
      <c r="L8" s="456">
        <f t="shared" si="1"/>
        <v>25360</v>
      </c>
      <c r="M8" s="456">
        <f t="shared" si="1"/>
        <v>32240</v>
      </c>
      <c r="N8" s="459">
        <f t="shared" si="1"/>
        <v>34930</v>
      </c>
      <c r="O8" s="455">
        <f t="shared" si="1"/>
        <v>39860</v>
      </c>
      <c r="P8" s="456">
        <f t="shared" si="1"/>
        <v>44550</v>
      </c>
      <c r="Q8" s="457">
        <f t="shared" si="1"/>
        <v>50140</v>
      </c>
      <c r="R8" s="458">
        <f t="shared" si="1"/>
        <v>60170</v>
      </c>
      <c r="S8" s="456">
        <f t="shared" si="1"/>
        <v>63540</v>
      </c>
      <c r="T8" s="456">
        <f t="shared" si="1"/>
        <v>65560</v>
      </c>
      <c r="U8" s="456">
        <f t="shared" si="1"/>
        <v>66460</v>
      </c>
      <c r="V8" s="457">
        <f t="shared" si="1"/>
        <v>71430</v>
      </c>
    </row>
    <row r="9" spans="3:22" ht="15" customHeight="1" x14ac:dyDescent="0.25">
      <c r="C9" s="196">
        <v>4</v>
      </c>
      <c r="D9" s="455">
        <f t="shared" ref="D9:D25" si="2">ROUNDUP(D8*3%+D8,-1)</f>
        <v>15360</v>
      </c>
      <c r="E9" s="456">
        <f t="shared" ref="E9:H24" si="3">ROUNDUP(E8*3%+E8,-1)</f>
        <v>16200</v>
      </c>
      <c r="F9" s="456">
        <f t="shared" si="3"/>
        <v>17030</v>
      </c>
      <c r="G9" s="457">
        <f t="shared" si="3"/>
        <v>17970</v>
      </c>
      <c r="H9" s="458">
        <f t="shared" si="3"/>
        <v>18950</v>
      </c>
      <c r="I9" s="456">
        <f t="shared" ref="I9:V9" si="4">ROUNDUP(I8*3%+I8,-1)</f>
        <v>19840</v>
      </c>
      <c r="J9" s="456">
        <f t="shared" si="4"/>
        <v>20530</v>
      </c>
      <c r="K9" s="456">
        <f t="shared" si="4"/>
        <v>24210</v>
      </c>
      <c r="L9" s="456">
        <f t="shared" si="4"/>
        <v>26130</v>
      </c>
      <c r="M9" s="456">
        <f t="shared" si="4"/>
        <v>33210</v>
      </c>
      <c r="N9" s="459">
        <f t="shared" si="4"/>
        <v>35980</v>
      </c>
      <c r="O9" s="455">
        <f t="shared" si="4"/>
        <v>41060</v>
      </c>
      <c r="P9" s="456">
        <f t="shared" si="4"/>
        <v>45890</v>
      </c>
      <c r="Q9" s="457">
        <f t="shared" si="4"/>
        <v>51650</v>
      </c>
      <c r="R9" s="458">
        <f t="shared" si="4"/>
        <v>61980</v>
      </c>
      <c r="S9" s="456">
        <f t="shared" si="4"/>
        <v>65450</v>
      </c>
      <c r="T9" s="456">
        <f t="shared" si="4"/>
        <v>67530</v>
      </c>
      <c r="U9" s="456">
        <f t="shared" si="4"/>
        <v>68460</v>
      </c>
      <c r="V9" s="457">
        <f t="shared" si="4"/>
        <v>73580</v>
      </c>
    </row>
    <row r="10" spans="3:22" ht="15" customHeight="1" x14ac:dyDescent="0.25">
      <c r="C10" s="196">
        <v>5</v>
      </c>
      <c r="D10" s="455">
        <f t="shared" si="2"/>
        <v>15830</v>
      </c>
      <c r="E10" s="456">
        <f t="shared" si="3"/>
        <v>16690</v>
      </c>
      <c r="F10" s="456">
        <f t="shared" si="3"/>
        <v>17550</v>
      </c>
      <c r="G10" s="457">
        <f t="shared" si="3"/>
        <v>18510</v>
      </c>
      <c r="H10" s="458">
        <f t="shared" si="3"/>
        <v>19520</v>
      </c>
      <c r="I10" s="456">
        <f t="shared" ref="I10:V10" si="5">ROUNDUP(I9*3%+I9,-1)</f>
        <v>20440</v>
      </c>
      <c r="J10" s="456">
        <f t="shared" si="5"/>
        <v>21150</v>
      </c>
      <c r="K10" s="456">
        <f t="shared" si="5"/>
        <v>24940</v>
      </c>
      <c r="L10" s="456">
        <f t="shared" si="5"/>
        <v>26920</v>
      </c>
      <c r="M10" s="456">
        <f t="shared" si="5"/>
        <v>34210</v>
      </c>
      <c r="N10" s="459">
        <f t="shared" si="5"/>
        <v>37060</v>
      </c>
      <c r="O10" s="455">
        <f t="shared" si="5"/>
        <v>42300</v>
      </c>
      <c r="P10" s="456">
        <f t="shared" si="5"/>
        <v>47270</v>
      </c>
      <c r="Q10" s="457">
        <f t="shared" si="5"/>
        <v>53200</v>
      </c>
      <c r="R10" s="458">
        <f t="shared" si="5"/>
        <v>63840</v>
      </c>
      <c r="S10" s="456">
        <f t="shared" si="5"/>
        <v>67420</v>
      </c>
      <c r="T10" s="456">
        <f t="shared" si="5"/>
        <v>69560</v>
      </c>
      <c r="U10" s="456">
        <f t="shared" si="5"/>
        <v>70520</v>
      </c>
      <c r="V10" s="457">
        <f t="shared" si="5"/>
        <v>75790</v>
      </c>
    </row>
    <row r="11" spans="3:22" ht="15" customHeight="1" x14ac:dyDescent="0.25">
      <c r="C11" s="196">
        <v>6</v>
      </c>
      <c r="D11" s="455">
        <f t="shared" si="2"/>
        <v>16310</v>
      </c>
      <c r="E11" s="456">
        <f t="shared" si="3"/>
        <v>17200</v>
      </c>
      <c r="F11" s="456">
        <f t="shared" si="3"/>
        <v>18080</v>
      </c>
      <c r="G11" s="457">
        <f>ROUNDUP(G10*3%+G10,-1)</f>
        <v>19070</v>
      </c>
      <c r="H11" s="458">
        <f t="shared" si="3"/>
        <v>20110</v>
      </c>
      <c r="I11" s="456">
        <f t="shared" ref="I11:V11" si="6">ROUNDUP(I10*3%+I10,-1)</f>
        <v>21060</v>
      </c>
      <c r="J11" s="456">
        <f t="shared" si="6"/>
        <v>21790</v>
      </c>
      <c r="K11" s="456">
        <f t="shared" si="6"/>
        <v>25690</v>
      </c>
      <c r="L11" s="456">
        <f t="shared" si="6"/>
        <v>27730</v>
      </c>
      <c r="M11" s="456">
        <f t="shared" si="6"/>
        <v>35240</v>
      </c>
      <c r="N11" s="459">
        <f t="shared" si="6"/>
        <v>38180</v>
      </c>
      <c r="O11" s="455">
        <f t="shared" si="6"/>
        <v>43570</v>
      </c>
      <c r="P11" s="456">
        <f t="shared" si="6"/>
        <v>48690</v>
      </c>
      <c r="Q11" s="457">
        <f t="shared" si="6"/>
        <v>54800</v>
      </c>
      <c r="R11" s="458">
        <f t="shared" si="6"/>
        <v>65760</v>
      </c>
      <c r="S11" s="456">
        <f t="shared" si="6"/>
        <v>69450</v>
      </c>
      <c r="T11" s="456">
        <f t="shared" si="6"/>
        <v>71650</v>
      </c>
      <c r="U11" s="456">
        <f t="shared" si="6"/>
        <v>72640</v>
      </c>
      <c r="V11" s="457">
        <f t="shared" si="6"/>
        <v>78070</v>
      </c>
    </row>
    <row r="12" spans="3:22" ht="15" customHeight="1" x14ac:dyDescent="0.25">
      <c r="C12" s="196">
        <v>7</v>
      </c>
      <c r="D12" s="455">
        <f t="shared" si="2"/>
        <v>16800</v>
      </c>
      <c r="E12" s="456">
        <f t="shared" si="3"/>
        <v>17720</v>
      </c>
      <c r="F12" s="456">
        <f t="shared" si="3"/>
        <v>18630</v>
      </c>
      <c r="G12" s="457">
        <f t="shared" si="3"/>
        <v>19650</v>
      </c>
      <c r="H12" s="458">
        <f t="shared" si="3"/>
        <v>20720</v>
      </c>
      <c r="I12" s="456">
        <f t="shared" ref="I12:V12" si="7">ROUNDUP(I11*3%+I11,-1)</f>
        <v>21700</v>
      </c>
      <c r="J12" s="456">
        <f t="shared" si="7"/>
        <v>22450</v>
      </c>
      <c r="K12" s="456">
        <f t="shared" si="7"/>
        <v>26470</v>
      </c>
      <c r="L12" s="456">
        <f t="shared" si="7"/>
        <v>28570</v>
      </c>
      <c r="M12" s="456">
        <f t="shared" si="7"/>
        <v>36300</v>
      </c>
      <c r="N12" s="459">
        <f t="shared" si="7"/>
        <v>39330</v>
      </c>
      <c r="O12" s="455">
        <f t="shared" si="7"/>
        <v>44880</v>
      </c>
      <c r="P12" s="456">
        <f t="shared" si="7"/>
        <v>50160</v>
      </c>
      <c r="Q12" s="457">
        <f t="shared" si="7"/>
        <v>56450</v>
      </c>
      <c r="R12" s="458">
        <f t="shared" si="7"/>
        <v>67740</v>
      </c>
      <c r="S12" s="456">
        <f t="shared" si="7"/>
        <v>71540</v>
      </c>
      <c r="T12" s="456">
        <f t="shared" si="7"/>
        <v>73800</v>
      </c>
      <c r="U12" s="456">
        <f t="shared" si="7"/>
        <v>74820</v>
      </c>
      <c r="V12" s="457">
        <f t="shared" si="7"/>
        <v>80420</v>
      </c>
    </row>
    <row r="13" spans="3:22" ht="15" customHeight="1" x14ac:dyDescent="0.25">
      <c r="C13" s="196">
        <v>8</v>
      </c>
      <c r="D13" s="455">
        <f t="shared" si="2"/>
        <v>17310</v>
      </c>
      <c r="E13" s="456">
        <f t="shared" si="3"/>
        <v>18260</v>
      </c>
      <c r="F13" s="456">
        <f t="shared" si="3"/>
        <v>19190</v>
      </c>
      <c r="G13" s="457">
        <f t="shared" si="3"/>
        <v>20240</v>
      </c>
      <c r="H13" s="458">
        <f t="shared" si="3"/>
        <v>21350</v>
      </c>
      <c r="I13" s="456">
        <f t="shared" ref="I13:V13" si="8">ROUNDUP(I12*3%+I12,-1)</f>
        <v>22360</v>
      </c>
      <c r="J13" s="456">
        <f t="shared" si="8"/>
        <v>23130</v>
      </c>
      <c r="K13" s="456">
        <f t="shared" si="8"/>
        <v>27270</v>
      </c>
      <c r="L13" s="456">
        <f t="shared" si="8"/>
        <v>29430</v>
      </c>
      <c r="M13" s="456">
        <f t="shared" si="8"/>
        <v>37390</v>
      </c>
      <c r="N13" s="459">
        <f t="shared" si="8"/>
        <v>40510</v>
      </c>
      <c r="O13" s="455">
        <f t="shared" si="8"/>
        <v>46230</v>
      </c>
      <c r="P13" s="456">
        <f t="shared" si="8"/>
        <v>51670</v>
      </c>
      <c r="Q13" s="457">
        <f t="shared" si="8"/>
        <v>58150</v>
      </c>
      <c r="R13" s="458">
        <f t="shared" si="8"/>
        <v>69780</v>
      </c>
      <c r="S13" s="456">
        <f t="shared" si="8"/>
        <v>73690</v>
      </c>
      <c r="T13" s="456">
        <f t="shared" si="8"/>
        <v>76020</v>
      </c>
      <c r="U13" s="456">
        <f t="shared" si="8"/>
        <v>77070</v>
      </c>
      <c r="V13" s="457">
        <f t="shared" si="8"/>
        <v>82840</v>
      </c>
    </row>
    <row r="14" spans="3:22" ht="15" customHeight="1" x14ac:dyDescent="0.25">
      <c r="C14" s="196">
        <v>9</v>
      </c>
      <c r="D14" s="455">
        <f t="shared" si="2"/>
        <v>17830</v>
      </c>
      <c r="E14" s="456">
        <f t="shared" si="3"/>
        <v>18810</v>
      </c>
      <c r="F14" s="456">
        <f t="shared" si="3"/>
        <v>19770</v>
      </c>
      <c r="G14" s="457">
        <f t="shared" si="3"/>
        <v>20850</v>
      </c>
      <c r="H14" s="458">
        <f t="shared" si="3"/>
        <v>22000</v>
      </c>
      <c r="I14" s="456">
        <f t="shared" ref="I14:V14" si="9">ROUNDUP(I13*3%+I13,-1)</f>
        <v>23040</v>
      </c>
      <c r="J14" s="456">
        <f t="shared" si="9"/>
        <v>23830</v>
      </c>
      <c r="K14" s="456">
        <f t="shared" si="9"/>
        <v>28090</v>
      </c>
      <c r="L14" s="456">
        <f>ROUNDUP(L13*3%+L13,-1)</f>
        <v>30320</v>
      </c>
      <c r="M14" s="456">
        <f t="shared" si="9"/>
        <v>38520</v>
      </c>
      <c r="N14" s="459">
        <f t="shared" si="9"/>
        <v>41730</v>
      </c>
      <c r="O14" s="455">
        <f t="shared" si="9"/>
        <v>47620</v>
      </c>
      <c r="P14" s="456">
        <f t="shared" si="9"/>
        <v>53230</v>
      </c>
      <c r="Q14" s="457">
        <f t="shared" si="9"/>
        <v>59900</v>
      </c>
      <c r="R14" s="458">
        <f t="shared" si="9"/>
        <v>71880</v>
      </c>
      <c r="S14" s="456">
        <f t="shared" si="9"/>
        <v>75910</v>
      </c>
      <c r="T14" s="456">
        <f t="shared" si="9"/>
        <v>78310</v>
      </c>
      <c r="U14" s="456">
        <f t="shared" si="9"/>
        <v>79390</v>
      </c>
      <c r="V14" s="457">
        <f t="shared" si="9"/>
        <v>85330</v>
      </c>
    </row>
    <row r="15" spans="3:22" ht="15" customHeight="1" x14ac:dyDescent="0.25">
      <c r="C15" s="196">
        <v>10</v>
      </c>
      <c r="D15" s="455">
        <f t="shared" si="2"/>
        <v>18370</v>
      </c>
      <c r="E15" s="456">
        <f t="shared" si="3"/>
        <v>19380</v>
      </c>
      <c r="F15" s="456">
        <f t="shared" si="3"/>
        <v>20370</v>
      </c>
      <c r="G15" s="457">
        <f t="shared" si="3"/>
        <v>21480</v>
      </c>
      <c r="H15" s="458">
        <f t="shared" si="3"/>
        <v>22660</v>
      </c>
      <c r="I15" s="456">
        <f t="shared" ref="I15:V15" si="10">ROUNDUP(I14*3%+I14,-1)</f>
        <v>23740</v>
      </c>
      <c r="J15" s="456">
        <f t="shared" si="10"/>
        <v>24550</v>
      </c>
      <c r="K15" s="456">
        <f t="shared" si="10"/>
        <v>28940</v>
      </c>
      <c r="L15" s="456">
        <f t="shared" si="10"/>
        <v>31230</v>
      </c>
      <c r="M15" s="456">
        <f t="shared" si="10"/>
        <v>39680</v>
      </c>
      <c r="N15" s="459">
        <f t="shared" si="10"/>
        <v>42990</v>
      </c>
      <c r="O15" s="455">
        <f t="shared" si="10"/>
        <v>49050</v>
      </c>
      <c r="P15" s="456">
        <f t="shared" si="10"/>
        <v>54830</v>
      </c>
      <c r="Q15" s="457">
        <f t="shared" si="10"/>
        <v>61700</v>
      </c>
      <c r="R15" s="458">
        <f t="shared" si="10"/>
        <v>74040</v>
      </c>
      <c r="S15" s="456">
        <f t="shared" si="10"/>
        <v>78190</v>
      </c>
      <c r="T15" s="456">
        <f t="shared" si="10"/>
        <v>80660</v>
      </c>
      <c r="U15" s="456">
        <f t="shared" si="10"/>
        <v>81780</v>
      </c>
      <c r="V15" s="457">
        <f t="shared" si="10"/>
        <v>87890</v>
      </c>
    </row>
    <row r="16" spans="3:22" ht="15" customHeight="1" x14ac:dyDescent="0.25">
      <c r="C16" s="196">
        <v>11</v>
      </c>
      <c r="D16" s="455">
        <f t="shared" si="2"/>
        <v>18930</v>
      </c>
      <c r="E16" s="456">
        <f t="shared" si="3"/>
        <v>19970</v>
      </c>
      <c r="F16" s="456">
        <f t="shared" si="3"/>
        <v>20990</v>
      </c>
      <c r="G16" s="457">
        <f t="shared" si="3"/>
        <v>22130</v>
      </c>
      <c r="H16" s="458">
        <f t="shared" si="3"/>
        <v>23340</v>
      </c>
      <c r="I16" s="456">
        <f t="shared" ref="I16:V16" si="11">ROUNDUP(I15*3%+I15,-1)</f>
        <v>24460</v>
      </c>
      <c r="J16" s="456">
        <f t="shared" si="11"/>
        <v>25290</v>
      </c>
      <c r="K16" s="456">
        <f t="shared" si="11"/>
        <v>29810</v>
      </c>
      <c r="L16" s="456">
        <f t="shared" si="11"/>
        <v>32170</v>
      </c>
      <c r="M16" s="456">
        <f t="shared" si="11"/>
        <v>40880</v>
      </c>
      <c r="N16" s="459">
        <f t="shared" si="11"/>
        <v>44280</v>
      </c>
      <c r="O16" s="455">
        <f t="shared" si="11"/>
        <v>50530</v>
      </c>
      <c r="P16" s="456">
        <f t="shared" si="11"/>
        <v>56480</v>
      </c>
      <c r="Q16" s="457">
        <f t="shared" si="11"/>
        <v>63560</v>
      </c>
      <c r="R16" s="458">
        <f t="shared" si="11"/>
        <v>76270</v>
      </c>
      <c r="S16" s="456">
        <f t="shared" si="11"/>
        <v>80540</v>
      </c>
      <c r="T16" s="456">
        <f t="shared" si="11"/>
        <v>83080</v>
      </c>
      <c r="U16" s="456">
        <f t="shared" si="11"/>
        <v>84240</v>
      </c>
      <c r="V16" s="457">
        <f t="shared" si="11"/>
        <v>90530</v>
      </c>
    </row>
    <row r="17" spans="3:22" ht="15" customHeight="1" x14ac:dyDescent="0.25">
      <c r="C17" s="196">
        <v>12</v>
      </c>
      <c r="D17" s="455">
        <f t="shared" si="2"/>
        <v>19500</v>
      </c>
      <c r="E17" s="456">
        <f t="shared" si="3"/>
        <v>20570</v>
      </c>
      <c r="F17" s="456">
        <f t="shared" si="3"/>
        <v>21620</v>
      </c>
      <c r="G17" s="457">
        <f t="shared" si="3"/>
        <v>22800</v>
      </c>
      <c r="H17" s="458">
        <f t="shared" si="3"/>
        <v>24050</v>
      </c>
      <c r="I17" s="456">
        <f t="shared" ref="I17:V17" si="12">ROUNDUP(I16*3%+I16,-1)</f>
        <v>25200</v>
      </c>
      <c r="J17" s="456">
        <f t="shared" si="12"/>
        <v>26050</v>
      </c>
      <c r="K17" s="456">
        <f t="shared" si="12"/>
        <v>30710</v>
      </c>
      <c r="L17" s="456">
        <f t="shared" si="12"/>
        <v>33140</v>
      </c>
      <c r="M17" s="456">
        <f t="shared" si="12"/>
        <v>42110</v>
      </c>
      <c r="N17" s="459">
        <f t="shared" si="12"/>
        <v>45610</v>
      </c>
      <c r="O17" s="455">
        <f t="shared" si="12"/>
        <v>52050</v>
      </c>
      <c r="P17" s="456">
        <f t="shared" si="12"/>
        <v>58180</v>
      </c>
      <c r="Q17" s="457">
        <f t="shared" si="12"/>
        <v>65470</v>
      </c>
      <c r="R17" s="458">
        <f t="shared" si="12"/>
        <v>78560</v>
      </c>
      <c r="S17" s="456">
        <f t="shared" si="12"/>
        <v>82960</v>
      </c>
      <c r="T17" s="456">
        <f t="shared" si="12"/>
        <v>85580</v>
      </c>
      <c r="U17" s="456">
        <f t="shared" si="12"/>
        <v>86770</v>
      </c>
      <c r="V17" s="457">
        <f t="shared" si="12"/>
        <v>93250</v>
      </c>
    </row>
    <row r="18" spans="3:22" ht="15" customHeight="1" x14ac:dyDescent="0.25">
      <c r="C18" s="196">
        <v>13</v>
      </c>
      <c r="D18" s="455">
        <f t="shared" si="2"/>
        <v>20090</v>
      </c>
      <c r="E18" s="456">
        <f t="shared" si="3"/>
        <v>21190</v>
      </c>
      <c r="F18" s="456">
        <f t="shared" si="3"/>
        <v>22270</v>
      </c>
      <c r="G18" s="457">
        <f t="shared" si="3"/>
        <v>23490</v>
      </c>
      <c r="H18" s="458">
        <f t="shared" si="3"/>
        <v>24780</v>
      </c>
      <c r="I18" s="456">
        <f t="shared" ref="I18:V18" si="13">ROUNDUP(I17*3%+I17,-1)</f>
        <v>25960</v>
      </c>
      <c r="J18" s="456">
        <f t="shared" si="13"/>
        <v>26840</v>
      </c>
      <c r="K18" s="456">
        <f t="shared" si="13"/>
        <v>31640</v>
      </c>
      <c r="L18" s="456">
        <f t="shared" si="13"/>
        <v>34140</v>
      </c>
      <c r="M18" s="456">
        <f t="shared" si="13"/>
        <v>43380</v>
      </c>
      <c r="N18" s="459">
        <f t="shared" si="13"/>
        <v>46980</v>
      </c>
      <c r="O18" s="455">
        <f t="shared" si="13"/>
        <v>53620</v>
      </c>
      <c r="P18" s="456">
        <f t="shared" si="13"/>
        <v>59930</v>
      </c>
      <c r="Q18" s="457">
        <f t="shared" si="13"/>
        <v>67440</v>
      </c>
      <c r="R18" s="458">
        <f t="shared" si="13"/>
        <v>80920</v>
      </c>
      <c r="S18" s="456">
        <f t="shared" si="13"/>
        <v>85450</v>
      </c>
      <c r="T18" s="456">
        <f t="shared" si="13"/>
        <v>88150</v>
      </c>
      <c r="U18" s="456">
        <f t="shared" si="13"/>
        <v>89380</v>
      </c>
      <c r="V18" s="457">
        <f t="shared" si="13"/>
        <v>96050</v>
      </c>
    </row>
    <row r="19" spans="3:22" ht="15" customHeight="1" x14ac:dyDescent="0.25">
      <c r="C19" s="196">
        <v>14</v>
      </c>
      <c r="D19" s="455">
        <f t="shared" si="2"/>
        <v>20700</v>
      </c>
      <c r="E19" s="456">
        <f t="shared" si="3"/>
        <v>21830</v>
      </c>
      <c r="F19" s="456">
        <f t="shared" si="3"/>
        <v>22940</v>
      </c>
      <c r="G19" s="457">
        <f t="shared" si="3"/>
        <v>24200</v>
      </c>
      <c r="H19" s="458">
        <f t="shared" si="3"/>
        <v>25530</v>
      </c>
      <c r="I19" s="456">
        <f t="shared" ref="I19:V19" si="14">ROUNDUP(I18*3%+I18,-1)</f>
        <v>26740</v>
      </c>
      <c r="J19" s="456">
        <f t="shared" si="14"/>
        <v>27650</v>
      </c>
      <c r="K19" s="456">
        <f t="shared" si="14"/>
        <v>32590</v>
      </c>
      <c r="L19" s="456">
        <f t="shared" si="14"/>
        <v>35170</v>
      </c>
      <c r="M19" s="456">
        <f t="shared" si="14"/>
        <v>44690</v>
      </c>
      <c r="N19" s="459">
        <f t="shared" si="14"/>
        <v>48390</v>
      </c>
      <c r="O19" s="455">
        <f t="shared" si="14"/>
        <v>55230</v>
      </c>
      <c r="P19" s="456">
        <f t="shared" si="14"/>
        <v>61730</v>
      </c>
      <c r="Q19" s="457">
        <f t="shared" si="14"/>
        <v>69470</v>
      </c>
      <c r="R19" s="458">
        <f t="shared" si="14"/>
        <v>83350</v>
      </c>
      <c r="S19" s="456">
        <f t="shared" si="14"/>
        <v>88020</v>
      </c>
      <c r="T19" s="456">
        <f t="shared" si="14"/>
        <v>90800</v>
      </c>
      <c r="U19" s="456">
        <f t="shared" si="14"/>
        <v>92070</v>
      </c>
      <c r="V19" s="457">
        <f t="shared" si="14"/>
        <v>98940</v>
      </c>
    </row>
    <row r="20" spans="3:22" ht="15" customHeight="1" x14ac:dyDescent="0.25">
      <c r="C20" s="196">
        <v>15</v>
      </c>
      <c r="D20" s="455">
        <f t="shared" si="2"/>
        <v>21330</v>
      </c>
      <c r="E20" s="456">
        <f t="shared" si="3"/>
        <v>22490</v>
      </c>
      <c r="F20" s="456">
        <f t="shared" si="3"/>
        <v>23630</v>
      </c>
      <c r="G20" s="457">
        <f t="shared" si="3"/>
        <v>24930</v>
      </c>
      <c r="H20" s="458">
        <f t="shared" si="3"/>
        <v>26300</v>
      </c>
      <c r="I20" s="456">
        <f t="shared" ref="I20:V20" si="15">ROUNDUP(I19*3%+I19,-1)</f>
        <v>27550</v>
      </c>
      <c r="J20" s="456">
        <f t="shared" si="15"/>
        <v>28480</v>
      </c>
      <c r="K20" s="456">
        <f t="shared" si="15"/>
        <v>33570</v>
      </c>
      <c r="L20" s="456">
        <f t="shared" si="15"/>
        <v>36230</v>
      </c>
      <c r="M20" s="456">
        <f t="shared" si="15"/>
        <v>46040</v>
      </c>
      <c r="N20" s="459">
        <f t="shared" si="15"/>
        <v>49850</v>
      </c>
      <c r="O20" s="455">
        <f t="shared" si="15"/>
        <v>56890</v>
      </c>
      <c r="P20" s="456">
        <f t="shared" si="15"/>
        <v>63590</v>
      </c>
      <c r="Q20" s="457">
        <f t="shared" si="15"/>
        <v>71560</v>
      </c>
      <c r="R20" s="458">
        <f t="shared" si="15"/>
        <v>85860</v>
      </c>
      <c r="S20" s="456">
        <f t="shared" si="15"/>
        <v>90670</v>
      </c>
      <c r="T20" s="456">
        <f t="shared" si="15"/>
        <v>93530</v>
      </c>
      <c r="U20" s="456">
        <f t="shared" si="15"/>
        <v>94840</v>
      </c>
      <c r="V20" s="457">
        <f t="shared" si="15"/>
        <v>101910</v>
      </c>
    </row>
    <row r="21" spans="3:22" ht="15" customHeight="1" x14ac:dyDescent="0.25">
      <c r="C21" s="196">
        <v>16</v>
      </c>
      <c r="D21" s="455">
        <f t="shared" si="2"/>
        <v>21970</v>
      </c>
      <c r="E21" s="456">
        <f t="shared" si="3"/>
        <v>23170</v>
      </c>
      <c r="F21" s="456">
        <f t="shared" si="3"/>
        <v>24340</v>
      </c>
      <c r="G21" s="457">
        <f t="shared" si="3"/>
        <v>25680</v>
      </c>
      <c r="H21" s="458">
        <f t="shared" si="3"/>
        <v>27090</v>
      </c>
      <c r="I21" s="456">
        <f t="shared" ref="I21:V21" si="16">ROUNDUP(I20*3%+I20,-1)</f>
        <v>28380</v>
      </c>
      <c r="J21" s="456">
        <f t="shared" si="16"/>
        <v>29340</v>
      </c>
      <c r="K21" s="456">
        <f t="shared" si="16"/>
        <v>34580</v>
      </c>
      <c r="L21" s="456">
        <f t="shared" si="16"/>
        <v>37320</v>
      </c>
      <c r="M21" s="456">
        <f t="shared" si="16"/>
        <v>47430</v>
      </c>
      <c r="N21" s="459">
        <f t="shared" si="16"/>
        <v>51350</v>
      </c>
      <c r="O21" s="455">
        <f>ROUNDUP(O20*3%+O20,-1)</f>
        <v>58600</v>
      </c>
      <c r="P21" s="456">
        <f t="shared" si="16"/>
        <v>65500</v>
      </c>
      <c r="Q21" s="457">
        <f t="shared" si="16"/>
        <v>73710</v>
      </c>
      <c r="R21" s="458">
        <f t="shared" si="16"/>
        <v>88440</v>
      </c>
      <c r="S21" s="456">
        <f t="shared" si="16"/>
        <v>93400</v>
      </c>
      <c r="T21" s="456">
        <f t="shared" si="16"/>
        <v>96340</v>
      </c>
      <c r="U21" s="456">
        <f t="shared" si="16"/>
        <v>97690</v>
      </c>
      <c r="V21" s="457">
        <f t="shared" si="16"/>
        <v>104970</v>
      </c>
    </row>
    <row r="22" spans="3:22" ht="15" customHeight="1" x14ac:dyDescent="0.25">
      <c r="C22" s="196">
        <v>17</v>
      </c>
      <c r="D22" s="455">
        <f t="shared" si="2"/>
        <v>22630</v>
      </c>
      <c r="E22" s="456">
        <f t="shared" si="3"/>
        <v>23870</v>
      </c>
      <c r="F22" s="456">
        <f t="shared" si="3"/>
        <v>25080</v>
      </c>
      <c r="G22" s="457">
        <f t="shared" si="3"/>
        <v>26460</v>
      </c>
      <c r="H22" s="458">
        <f t="shared" si="3"/>
        <v>27910</v>
      </c>
      <c r="I22" s="456">
        <f t="shared" ref="I22:V22" si="17">ROUNDUP(I21*3%+I21,-1)</f>
        <v>29240</v>
      </c>
      <c r="J22" s="456">
        <f t="shared" si="17"/>
        <v>30230</v>
      </c>
      <c r="K22" s="456">
        <f t="shared" si="17"/>
        <v>35620</v>
      </c>
      <c r="L22" s="456">
        <f t="shared" si="17"/>
        <v>38440</v>
      </c>
      <c r="M22" s="456">
        <f t="shared" si="17"/>
        <v>48860</v>
      </c>
      <c r="N22" s="459">
        <f t="shared" si="17"/>
        <v>52900</v>
      </c>
      <c r="O22" s="455">
        <f t="shared" si="17"/>
        <v>60360</v>
      </c>
      <c r="P22" s="456">
        <f t="shared" si="17"/>
        <v>67470</v>
      </c>
      <c r="Q22" s="457">
        <f t="shared" si="17"/>
        <v>75930</v>
      </c>
      <c r="R22" s="458">
        <f t="shared" si="17"/>
        <v>91100</v>
      </c>
      <c r="S22" s="456">
        <f t="shared" si="17"/>
        <v>96210</v>
      </c>
      <c r="T22" s="456">
        <f t="shared" si="17"/>
        <v>99240</v>
      </c>
      <c r="U22" s="456">
        <f t="shared" si="17"/>
        <v>100630</v>
      </c>
      <c r="V22" s="457">
        <f t="shared" si="17"/>
        <v>108120</v>
      </c>
    </row>
    <row r="23" spans="3:22" ht="15" customHeight="1" x14ac:dyDescent="0.25">
      <c r="C23" s="196">
        <v>18</v>
      </c>
      <c r="D23" s="455">
        <f t="shared" si="2"/>
        <v>23310</v>
      </c>
      <c r="E23" s="456">
        <f t="shared" si="3"/>
        <v>24590</v>
      </c>
      <c r="F23" s="456">
        <f t="shared" si="3"/>
        <v>25840</v>
      </c>
      <c r="G23" s="457">
        <f t="shared" si="3"/>
        <v>27260</v>
      </c>
      <c r="H23" s="458">
        <f t="shared" si="3"/>
        <v>28750</v>
      </c>
      <c r="I23" s="456">
        <f t="shared" ref="I23:V23" si="18">ROUNDUP(I22*3%+I22,-1)</f>
        <v>30120</v>
      </c>
      <c r="J23" s="456">
        <f t="shared" si="18"/>
        <v>31140</v>
      </c>
      <c r="K23" s="456">
        <f t="shared" si="18"/>
        <v>36690</v>
      </c>
      <c r="L23" s="456">
        <f t="shared" si="18"/>
        <v>39600</v>
      </c>
      <c r="M23" s="456">
        <f t="shared" si="18"/>
        <v>50330</v>
      </c>
      <c r="N23" s="459">
        <f t="shared" si="18"/>
        <v>54490</v>
      </c>
      <c r="O23" s="455">
        <f t="shared" si="18"/>
        <v>62180</v>
      </c>
      <c r="P23" s="456">
        <f t="shared" si="18"/>
        <v>69500</v>
      </c>
      <c r="Q23" s="457">
        <f t="shared" si="18"/>
        <v>78210</v>
      </c>
      <c r="R23" s="458">
        <f t="shared" si="18"/>
        <v>93840</v>
      </c>
      <c r="S23" s="456">
        <f t="shared" si="18"/>
        <v>99100</v>
      </c>
      <c r="T23" s="456">
        <f t="shared" si="18"/>
        <v>102220</v>
      </c>
      <c r="U23" s="456">
        <f t="shared" si="18"/>
        <v>103650</v>
      </c>
      <c r="V23" s="457">
        <f t="shared" si="18"/>
        <v>111370</v>
      </c>
    </row>
    <row r="24" spans="3:22" ht="15" customHeight="1" x14ac:dyDescent="0.25">
      <c r="C24" s="202">
        <v>19</v>
      </c>
      <c r="D24" s="470">
        <f t="shared" si="2"/>
        <v>24010</v>
      </c>
      <c r="E24" s="471">
        <f t="shared" si="3"/>
        <v>25330</v>
      </c>
      <c r="F24" s="471">
        <f t="shared" si="3"/>
        <v>26620</v>
      </c>
      <c r="G24" s="472">
        <f t="shared" si="3"/>
        <v>28080</v>
      </c>
      <c r="H24" s="473">
        <f t="shared" si="3"/>
        <v>29620</v>
      </c>
      <c r="I24" s="471">
        <f t="shared" ref="I24:V24" si="19">ROUNDUP(I23*3%+I23,-1)</f>
        <v>31030</v>
      </c>
      <c r="J24" s="471">
        <f t="shared" si="19"/>
        <v>32080</v>
      </c>
      <c r="K24" s="471">
        <f t="shared" si="19"/>
        <v>37800</v>
      </c>
      <c r="L24" s="471">
        <f t="shared" si="19"/>
        <v>40790</v>
      </c>
      <c r="M24" s="471">
        <f t="shared" si="19"/>
        <v>51840</v>
      </c>
      <c r="N24" s="474">
        <f t="shared" si="19"/>
        <v>56130</v>
      </c>
      <c r="O24" s="470">
        <f t="shared" si="19"/>
        <v>64050</v>
      </c>
      <c r="P24" s="471">
        <f t="shared" si="19"/>
        <v>71590</v>
      </c>
      <c r="Q24" s="472">
        <f t="shared" si="19"/>
        <v>80560</v>
      </c>
      <c r="R24" s="473">
        <f t="shared" si="19"/>
        <v>96660</v>
      </c>
      <c r="S24" s="471">
        <f t="shared" si="19"/>
        <v>102080</v>
      </c>
      <c r="T24" s="471">
        <f t="shared" si="19"/>
        <v>105290</v>
      </c>
      <c r="U24" s="471">
        <f t="shared" si="19"/>
        <v>106760</v>
      </c>
      <c r="V24" s="472">
        <f t="shared" si="19"/>
        <v>114720</v>
      </c>
    </row>
    <row r="25" spans="3:22" ht="15" customHeight="1" x14ac:dyDescent="0.25">
      <c r="C25" s="196">
        <v>20</v>
      </c>
      <c r="D25" s="455">
        <f t="shared" si="2"/>
        <v>24740</v>
      </c>
      <c r="E25" s="456">
        <f t="shared" ref="E25:V25" si="20">ROUNDUP(E24*3%+E24,-1)</f>
        <v>26090</v>
      </c>
      <c r="F25" s="456">
        <f t="shared" si="20"/>
        <v>27420</v>
      </c>
      <c r="G25" s="457">
        <f t="shared" si="20"/>
        <v>28930</v>
      </c>
      <c r="H25" s="458">
        <f t="shared" si="20"/>
        <v>30510</v>
      </c>
      <c r="I25" s="456">
        <f t="shared" si="20"/>
        <v>31970</v>
      </c>
      <c r="J25" s="456">
        <f t="shared" si="20"/>
        <v>33050</v>
      </c>
      <c r="K25" s="456">
        <f t="shared" si="20"/>
        <v>38940</v>
      </c>
      <c r="L25" s="456">
        <f t="shared" si="20"/>
        <v>42020</v>
      </c>
      <c r="M25" s="456">
        <f t="shared" si="20"/>
        <v>53400</v>
      </c>
      <c r="N25" s="459">
        <f t="shared" si="20"/>
        <v>57820</v>
      </c>
      <c r="O25" s="455">
        <f t="shared" si="20"/>
        <v>65980</v>
      </c>
      <c r="P25" s="456">
        <f t="shared" si="20"/>
        <v>73740</v>
      </c>
      <c r="Q25" s="457">
        <f t="shared" si="20"/>
        <v>82980</v>
      </c>
      <c r="R25" s="458">
        <f t="shared" si="20"/>
        <v>99560</v>
      </c>
      <c r="S25" s="456">
        <f t="shared" si="20"/>
        <v>105150</v>
      </c>
      <c r="T25" s="456">
        <f t="shared" si="20"/>
        <v>108450</v>
      </c>
      <c r="U25" s="456">
        <f t="shared" si="20"/>
        <v>109970</v>
      </c>
      <c r="V25" s="457">
        <f t="shared" si="20"/>
        <v>118170</v>
      </c>
    </row>
    <row r="26" spans="3:22" ht="15" customHeight="1" x14ac:dyDescent="0.25">
      <c r="C26" s="196">
        <v>21</v>
      </c>
      <c r="D26" s="455">
        <f t="shared" ref="D26:V27" si="21">ROUNDUP(D25*3%+D25,-1)</f>
        <v>25490</v>
      </c>
      <c r="E26" s="456">
        <f t="shared" si="21"/>
        <v>26880</v>
      </c>
      <c r="F26" s="456">
        <f t="shared" si="21"/>
        <v>28250</v>
      </c>
      <c r="G26" s="457">
        <f t="shared" si="21"/>
        <v>29800</v>
      </c>
      <c r="H26" s="458">
        <f t="shared" si="21"/>
        <v>31430</v>
      </c>
      <c r="I26" s="456">
        <f t="shared" si="21"/>
        <v>32930</v>
      </c>
      <c r="J26" s="456">
        <f t="shared" si="21"/>
        <v>34050</v>
      </c>
      <c r="K26" s="456">
        <f t="shared" si="21"/>
        <v>40110</v>
      </c>
      <c r="L26" s="456">
        <f t="shared" si="21"/>
        <v>43290</v>
      </c>
      <c r="M26" s="456">
        <f t="shared" si="21"/>
        <v>55010</v>
      </c>
      <c r="N26" s="459">
        <f t="shared" si="21"/>
        <v>59560</v>
      </c>
      <c r="O26" s="455">
        <f t="shared" si="21"/>
        <v>67960</v>
      </c>
      <c r="P26" s="456">
        <f t="shared" si="21"/>
        <v>75960</v>
      </c>
      <c r="Q26" s="457">
        <f t="shared" si="21"/>
        <v>85470</v>
      </c>
      <c r="R26" s="458">
        <f t="shared" si="21"/>
        <v>102550</v>
      </c>
      <c r="S26" s="456">
        <f t="shared" si="21"/>
        <v>108310</v>
      </c>
      <c r="T26" s="456">
        <f t="shared" si="21"/>
        <v>111710</v>
      </c>
      <c r="U26" s="456">
        <f t="shared" si="21"/>
        <v>113270</v>
      </c>
      <c r="V26" s="457">
        <f t="shared" si="21"/>
        <v>121720</v>
      </c>
    </row>
    <row r="27" spans="3:22" ht="15" customHeight="1" x14ac:dyDescent="0.25">
      <c r="C27" s="196">
        <v>22</v>
      </c>
      <c r="D27" s="455">
        <f t="shared" si="21"/>
        <v>26260</v>
      </c>
      <c r="E27" s="456">
        <f t="shared" si="21"/>
        <v>27690</v>
      </c>
      <c r="F27" s="456">
        <f t="shared" si="21"/>
        <v>29100</v>
      </c>
      <c r="G27" s="457">
        <f t="shared" si="21"/>
        <v>30700</v>
      </c>
      <c r="H27" s="458">
        <f t="shared" si="21"/>
        <v>32380</v>
      </c>
      <c r="I27" s="456">
        <f t="shared" si="21"/>
        <v>33920</v>
      </c>
      <c r="J27" s="456">
        <f t="shared" si="21"/>
        <v>35080</v>
      </c>
      <c r="K27" s="456">
        <f t="shared" si="21"/>
        <v>41320</v>
      </c>
      <c r="L27" s="456">
        <f t="shared" si="21"/>
        <v>44590</v>
      </c>
      <c r="M27" s="456">
        <f t="shared" si="21"/>
        <v>56670</v>
      </c>
      <c r="N27" s="459">
        <f t="shared" si="21"/>
        <v>61350</v>
      </c>
      <c r="O27" s="455">
        <f t="shared" si="21"/>
        <v>70000</v>
      </c>
      <c r="P27" s="456">
        <f t="shared" si="21"/>
        <v>78240</v>
      </c>
      <c r="Q27" s="457">
        <f t="shared" si="21"/>
        <v>88040</v>
      </c>
      <c r="R27" s="458">
        <f t="shared" si="21"/>
        <v>105630</v>
      </c>
      <c r="S27" s="456">
        <f t="shared" si="21"/>
        <v>111560</v>
      </c>
      <c r="T27" s="456">
        <f t="shared" si="21"/>
        <v>115070</v>
      </c>
      <c r="U27" s="456">
        <f t="shared" si="21"/>
        <v>116670</v>
      </c>
      <c r="V27" s="457">
        <f t="shared" si="21"/>
        <v>125380</v>
      </c>
    </row>
    <row r="28" spans="3:22" ht="15" customHeight="1" x14ac:dyDescent="0.25">
      <c r="C28" s="196">
        <v>23</v>
      </c>
      <c r="D28" s="455">
        <f>ROUNDUP(D27*3%+D27,-1)</f>
        <v>27050</v>
      </c>
      <c r="E28" s="456">
        <f>ROUNDUP(E27*3%+E27,-1)</f>
        <v>28530</v>
      </c>
      <c r="F28" s="456">
        <f t="shared" ref="F28:V28" si="22">ROUNDUP(F27*3%+F27,-1)</f>
        <v>29980</v>
      </c>
      <c r="G28" s="457">
        <f t="shared" si="22"/>
        <v>31630</v>
      </c>
      <c r="H28" s="458">
        <f t="shared" si="22"/>
        <v>33360</v>
      </c>
      <c r="I28" s="456">
        <f t="shared" si="22"/>
        <v>34940</v>
      </c>
      <c r="J28" s="456">
        <f t="shared" si="22"/>
        <v>36140</v>
      </c>
      <c r="K28" s="456">
        <f t="shared" si="22"/>
        <v>42560</v>
      </c>
      <c r="L28" s="456">
        <f t="shared" si="22"/>
        <v>45930</v>
      </c>
      <c r="M28" s="456">
        <f t="shared" si="22"/>
        <v>58380</v>
      </c>
      <c r="N28" s="459">
        <f t="shared" si="22"/>
        <v>63200</v>
      </c>
      <c r="O28" s="455">
        <f t="shared" si="22"/>
        <v>72100</v>
      </c>
      <c r="P28" s="456">
        <f t="shared" si="22"/>
        <v>80590</v>
      </c>
      <c r="Q28" s="457">
        <f t="shared" si="22"/>
        <v>90690</v>
      </c>
      <c r="R28" s="458">
        <f t="shared" si="22"/>
        <v>108800</v>
      </c>
      <c r="S28" s="456">
        <f t="shared" si="22"/>
        <v>114910</v>
      </c>
      <c r="T28" s="456">
        <f t="shared" si="22"/>
        <v>118530</v>
      </c>
      <c r="U28" s="456">
        <f t="shared" si="22"/>
        <v>120180</v>
      </c>
      <c r="V28" s="457">
        <f t="shared" si="22"/>
        <v>129150</v>
      </c>
    </row>
    <row r="29" spans="3:22" ht="15" customHeight="1" x14ac:dyDescent="0.25">
      <c r="C29" s="196">
        <v>24</v>
      </c>
      <c r="D29" s="455">
        <f>ROUNDUP(D28*3%+D28,-1)</f>
        <v>27870</v>
      </c>
      <c r="E29" s="456">
        <f>ROUNDUP(E28*3%+E28,-1)</f>
        <v>29390</v>
      </c>
      <c r="F29" s="456">
        <f t="shared" ref="F29:V29" si="23">ROUNDUP(F28*3%+F28,-1)</f>
        <v>30880</v>
      </c>
      <c r="G29" s="457">
        <f t="shared" si="23"/>
        <v>32580</v>
      </c>
      <c r="H29" s="458">
        <f t="shared" si="23"/>
        <v>34370</v>
      </c>
      <c r="I29" s="456">
        <f t="shared" si="23"/>
        <v>35990</v>
      </c>
      <c r="J29" s="456">
        <f t="shared" si="23"/>
        <v>37230</v>
      </c>
      <c r="K29" s="456">
        <f t="shared" si="23"/>
        <v>43840</v>
      </c>
      <c r="L29" s="456">
        <f t="shared" si="23"/>
        <v>47310</v>
      </c>
      <c r="M29" s="456">
        <f t="shared" si="23"/>
        <v>60140</v>
      </c>
      <c r="N29" s="459">
        <f t="shared" si="23"/>
        <v>65100</v>
      </c>
      <c r="O29" s="455">
        <f t="shared" si="23"/>
        <v>74270</v>
      </c>
      <c r="P29" s="456">
        <f t="shared" si="23"/>
        <v>83010</v>
      </c>
      <c r="Q29" s="457">
        <f t="shared" si="23"/>
        <v>93420</v>
      </c>
      <c r="R29" s="458">
        <f t="shared" si="23"/>
        <v>112070</v>
      </c>
      <c r="S29" s="456">
        <f t="shared" si="23"/>
        <v>118360</v>
      </c>
      <c r="T29" s="456">
        <f t="shared" si="23"/>
        <v>122090</v>
      </c>
      <c r="U29" s="456">
        <f t="shared" si="23"/>
        <v>123790</v>
      </c>
      <c r="V29" s="457">
        <f t="shared" si="23"/>
        <v>133030</v>
      </c>
    </row>
    <row r="30" spans="3:22" ht="15" customHeight="1" x14ac:dyDescent="0.25">
      <c r="C30" s="196">
        <v>25</v>
      </c>
      <c r="D30" s="455">
        <f t="shared" ref="D30:D45" si="24">ROUNDUP(D29*3%+D29,-1)</f>
        <v>28710</v>
      </c>
      <c r="E30" s="456">
        <f t="shared" ref="E30:T45" si="25">ROUNDUP(E29*3%+E29,-1)</f>
        <v>30280</v>
      </c>
      <c r="F30" s="456">
        <f t="shared" si="25"/>
        <v>31810</v>
      </c>
      <c r="G30" s="457">
        <f t="shared" si="25"/>
        <v>33560</v>
      </c>
      <c r="H30" s="458">
        <f t="shared" si="25"/>
        <v>35410</v>
      </c>
      <c r="I30" s="456">
        <f t="shared" si="25"/>
        <v>37070</v>
      </c>
      <c r="J30" s="456">
        <f t="shared" si="25"/>
        <v>38350</v>
      </c>
      <c r="K30" s="456">
        <f t="shared" si="25"/>
        <v>45160</v>
      </c>
      <c r="L30" s="456">
        <f t="shared" si="25"/>
        <v>48730</v>
      </c>
      <c r="M30" s="456">
        <f t="shared" si="25"/>
        <v>61950</v>
      </c>
      <c r="N30" s="459">
        <f t="shared" si="25"/>
        <v>67060</v>
      </c>
      <c r="O30" s="455">
        <f t="shared" si="25"/>
        <v>76500</v>
      </c>
      <c r="P30" s="456">
        <f t="shared" si="25"/>
        <v>85510</v>
      </c>
      <c r="Q30" s="457">
        <f t="shared" si="25"/>
        <v>96230</v>
      </c>
      <c r="R30" s="458">
        <f t="shared" si="25"/>
        <v>115440</v>
      </c>
      <c r="S30" s="456">
        <f t="shared" si="25"/>
        <v>121920</v>
      </c>
      <c r="T30" s="456">
        <f t="shared" si="25"/>
        <v>125760</v>
      </c>
      <c r="U30" s="456">
        <f t="shared" ref="U30:U45" si="26">ROUNDUP(U29*3%+U29,-1)</f>
        <v>127510</v>
      </c>
      <c r="V30" s="457">
        <f t="shared" ref="V30:V45" si="27">ROUNDUP(V29*3%+V29,-1)</f>
        <v>137030</v>
      </c>
    </row>
    <row r="31" spans="3:22" ht="15" customHeight="1" x14ac:dyDescent="0.25">
      <c r="C31" s="196">
        <v>26</v>
      </c>
      <c r="D31" s="455">
        <f t="shared" si="24"/>
        <v>29580</v>
      </c>
      <c r="E31" s="456">
        <f t="shared" si="25"/>
        <v>31190</v>
      </c>
      <c r="F31" s="456">
        <f t="shared" si="25"/>
        <v>32770</v>
      </c>
      <c r="G31" s="457">
        <f t="shared" si="25"/>
        <v>34570</v>
      </c>
      <c r="H31" s="458">
        <f t="shared" si="25"/>
        <v>36480</v>
      </c>
      <c r="I31" s="456">
        <f t="shared" si="25"/>
        <v>38190</v>
      </c>
      <c r="J31" s="456">
        <f t="shared" si="25"/>
        <v>39510</v>
      </c>
      <c r="K31" s="456">
        <f t="shared" si="25"/>
        <v>46520</v>
      </c>
      <c r="L31" s="456">
        <f t="shared" si="25"/>
        <v>50200</v>
      </c>
      <c r="M31" s="456">
        <f t="shared" si="25"/>
        <v>63810</v>
      </c>
      <c r="N31" s="459">
        <f t="shared" si="25"/>
        <v>69080</v>
      </c>
      <c r="O31" s="455">
        <f t="shared" si="25"/>
        <v>78800</v>
      </c>
      <c r="P31" s="456">
        <f t="shared" si="25"/>
        <v>88080</v>
      </c>
      <c r="Q31" s="457">
        <f t="shared" si="25"/>
        <v>99120</v>
      </c>
      <c r="R31" s="458">
        <f t="shared" si="25"/>
        <v>118910</v>
      </c>
      <c r="S31" s="456">
        <f t="shared" si="25"/>
        <v>125580</v>
      </c>
      <c r="T31" s="456">
        <f t="shared" si="25"/>
        <v>129540</v>
      </c>
      <c r="U31" s="456">
        <f t="shared" si="26"/>
        <v>131340</v>
      </c>
      <c r="V31" s="457">
        <f t="shared" si="27"/>
        <v>141150</v>
      </c>
    </row>
    <row r="32" spans="3:22" ht="15" customHeight="1" x14ac:dyDescent="0.25">
      <c r="C32" s="196">
        <v>27</v>
      </c>
      <c r="D32" s="455">
        <f t="shared" si="24"/>
        <v>30470</v>
      </c>
      <c r="E32" s="456">
        <f t="shared" si="25"/>
        <v>32130</v>
      </c>
      <c r="F32" s="456">
        <f t="shared" si="25"/>
        <v>33760</v>
      </c>
      <c r="G32" s="457">
        <f t="shared" si="25"/>
        <v>35610</v>
      </c>
      <c r="H32" s="458">
        <f t="shared" si="25"/>
        <v>37580</v>
      </c>
      <c r="I32" s="456">
        <f t="shared" si="25"/>
        <v>39340</v>
      </c>
      <c r="J32" s="456">
        <f t="shared" si="25"/>
        <v>40700</v>
      </c>
      <c r="K32" s="456">
        <f t="shared" si="25"/>
        <v>47920</v>
      </c>
      <c r="L32" s="456">
        <f t="shared" si="25"/>
        <v>51710</v>
      </c>
      <c r="M32" s="456">
        <f t="shared" si="25"/>
        <v>65730</v>
      </c>
      <c r="N32" s="459">
        <f t="shared" si="25"/>
        <v>71160</v>
      </c>
      <c r="O32" s="455">
        <f t="shared" si="25"/>
        <v>81170</v>
      </c>
      <c r="P32" s="456">
        <f t="shared" si="25"/>
        <v>90730</v>
      </c>
      <c r="Q32" s="457">
        <f t="shared" si="25"/>
        <v>102100</v>
      </c>
      <c r="R32" s="458">
        <f t="shared" si="25"/>
        <v>122480</v>
      </c>
      <c r="S32" s="456">
        <f t="shared" si="25"/>
        <v>129350</v>
      </c>
      <c r="T32" s="456">
        <f t="shared" si="25"/>
        <v>133430</v>
      </c>
      <c r="U32" s="456">
        <f t="shared" si="26"/>
        <v>135290</v>
      </c>
      <c r="V32" s="457">
        <f t="shared" si="27"/>
        <v>145390</v>
      </c>
    </row>
    <row r="33" spans="3:22" ht="15" customHeight="1" x14ac:dyDescent="0.25">
      <c r="C33" s="196">
        <v>28</v>
      </c>
      <c r="D33" s="455">
        <f t="shared" si="24"/>
        <v>31390</v>
      </c>
      <c r="E33" s="456">
        <f t="shared" si="25"/>
        <v>33100</v>
      </c>
      <c r="F33" s="456">
        <f t="shared" si="25"/>
        <v>34780</v>
      </c>
      <c r="G33" s="457">
        <f t="shared" si="25"/>
        <v>36680</v>
      </c>
      <c r="H33" s="458">
        <f t="shared" si="25"/>
        <v>38710</v>
      </c>
      <c r="I33" s="456">
        <f t="shared" si="25"/>
        <v>40530</v>
      </c>
      <c r="J33" s="456">
        <f t="shared" si="25"/>
        <v>41930</v>
      </c>
      <c r="K33" s="456">
        <f t="shared" si="25"/>
        <v>49360</v>
      </c>
      <c r="L33" s="456">
        <f t="shared" si="25"/>
        <v>53270</v>
      </c>
      <c r="M33" s="456">
        <f t="shared" si="25"/>
        <v>67710</v>
      </c>
      <c r="N33" s="459">
        <f t="shared" si="25"/>
        <v>73300</v>
      </c>
      <c r="O33" s="455">
        <f t="shared" si="25"/>
        <v>83610</v>
      </c>
      <c r="P33" s="456">
        <f t="shared" si="25"/>
        <v>93460</v>
      </c>
      <c r="Q33" s="457">
        <f t="shared" si="25"/>
        <v>105170</v>
      </c>
      <c r="R33" s="458">
        <f t="shared" si="25"/>
        <v>126160</v>
      </c>
      <c r="S33" s="456">
        <f t="shared" si="25"/>
        <v>133240</v>
      </c>
      <c r="T33" s="456">
        <f t="shared" si="25"/>
        <v>137440</v>
      </c>
      <c r="U33" s="456">
        <f t="shared" si="26"/>
        <v>139350</v>
      </c>
      <c r="V33" s="457">
        <f t="shared" si="27"/>
        <v>149760</v>
      </c>
    </row>
    <row r="34" spans="3:22" ht="15" customHeight="1" x14ac:dyDescent="0.25">
      <c r="C34" s="196">
        <v>29</v>
      </c>
      <c r="D34" s="455">
        <f t="shared" si="24"/>
        <v>32340</v>
      </c>
      <c r="E34" s="456">
        <f t="shared" si="25"/>
        <v>34100</v>
      </c>
      <c r="F34" s="456">
        <f t="shared" si="25"/>
        <v>35830</v>
      </c>
      <c r="G34" s="457">
        <f t="shared" si="25"/>
        <v>37790</v>
      </c>
      <c r="H34" s="458">
        <f t="shared" si="25"/>
        <v>39880</v>
      </c>
      <c r="I34" s="456">
        <f t="shared" si="25"/>
        <v>41750</v>
      </c>
      <c r="J34" s="456">
        <f t="shared" si="25"/>
        <v>43190</v>
      </c>
      <c r="K34" s="456">
        <f t="shared" si="25"/>
        <v>50850</v>
      </c>
      <c r="L34" s="456">
        <f t="shared" si="25"/>
        <v>54870</v>
      </c>
      <c r="M34" s="456">
        <f t="shared" si="25"/>
        <v>69750</v>
      </c>
      <c r="N34" s="459">
        <f t="shared" si="25"/>
        <v>75500</v>
      </c>
      <c r="O34" s="455">
        <f t="shared" si="25"/>
        <v>86120</v>
      </c>
      <c r="P34" s="456">
        <f t="shared" si="25"/>
        <v>96270</v>
      </c>
      <c r="Q34" s="457">
        <f t="shared" si="25"/>
        <v>108330</v>
      </c>
      <c r="R34" s="458">
        <f t="shared" si="25"/>
        <v>129950</v>
      </c>
      <c r="S34" s="456">
        <f t="shared" si="25"/>
        <v>137240</v>
      </c>
      <c r="T34" s="456">
        <f t="shared" si="25"/>
        <v>141570</v>
      </c>
      <c r="U34" s="456">
        <f t="shared" si="26"/>
        <v>143540</v>
      </c>
      <c r="V34" s="457">
        <f t="shared" si="27"/>
        <v>154260</v>
      </c>
    </row>
    <row r="35" spans="3:22" ht="15" customHeight="1" x14ac:dyDescent="0.25">
      <c r="C35" s="196">
        <v>30</v>
      </c>
      <c r="D35" s="455">
        <f t="shared" si="24"/>
        <v>33320</v>
      </c>
      <c r="E35" s="456">
        <f t="shared" si="25"/>
        <v>35130</v>
      </c>
      <c r="F35" s="456">
        <f t="shared" si="25"/>
        <v>36910</v>
      </c>
      <c r="G35" s="457">
        <f t="shared" si="25"/>
        <v>38930</v>
      </c>
      <c r="H35" s="458">
        <f t="shared" si="25"/>
        <v>41080</v>
      </c>
      <c r="I35" s="456">
        <f t="shared" si="25"/>
        <v>43010</v>
      </c>
      <c r="J35" s="456">
        <f t="shared" si="25"/>
        <v>44490</v>
      </c>
      <c r="K35" s="456">
        <f t="shared" si="25"/>
        <v>52380</v>
      </c>
      <c r="L35" s="456">
        <f t="shared" si="25"/>
        <v>56520</v>
      </c>
      <c r="M35" s="456">
        <f t="shared" si="25"/>
        <v>71850</v>
      </c>
      <c r="N35" s="459">
        <f t="shared" si="25"/>
        <v>77770</v>
      </c>
      <c r="O35" s="455">
        <f t="shared" si="25"/>
        <v>88710</v>
      </c>
      <c r="P35" s="456">
        <f t="shared" si="25"/>
        <v>99160</v>
      </c>
      <c r="Q35" s="457">
        <f t="shared" si="25"/>
        <v>111580</v>
      </c>
      <c r="R35" s="458">
        <f t="shared" si="25"/>
        <v>133850</v>
      </c>
      <c r="S35" s="456">
        <f t="shared" si="25"/>
        <v>141360</v>
      </c>
      <c r="T35" s="456">
        <f t="shared" si="25"/>
        <v>145820</v>
      </c>
      <c r="U35" s="456">
        <f t="shared" si="26"/>
        <v>147850</v>
      </c>
      <c r="V35" s="457">
        <f t="shared" si="27"/>
        <v>158890</v>
      </c>
    </row>
    <row r="36" spans="3:22" ht="15" customHeight="1" x14ac:dyDescent="0.25">
      <c r="C36" s="196">
        <v>31</v>
      </c>
      <c r="D36" s="455">
        <f t="shared" si="24"/>
        <v>34320</v>
      </c>
      <c r="E36" s="456">
        <f t="shared" si="25"/>
        <v>36190</v>
      </c>
      <c r="F36" s="456">
        <f t="shared" si="25"/>
        <v>38020</v>
      </c>
      <c r="G36" s="457">
        <f t="shared" si="25"/>
        <v>40100</v>
      </c>
      <c r="H36" s="458">
        <f t="shared" si="25"/>
        <v>42320</v>
      </c>
      <c r="I36" s="456">
        <f t="shared" si="25"/>
        <v>44310</v>
      </c>
      <c r="J36" s="456">
        <f t="shared" si="25"/>
        <v>45830</v>
      </c>
      <c r="K36" s="456">
        <f t="shared" si="25"/>
        <v>53960</v>
      </c>
      <c r="L36" s="456">
        <f t="shared" si="25"/>
        <v>58220</v>
      </c>
      <c r="M36" s="456">
        <f t="shared" si="25"/>
        <v>74010</v>
      </c>
      <c r="N36" s="459">
        <f t="shared" si="25"/>
        <v>80110</v>
      </c>
      <c r="O36" s="455">
        <f t="shared" si="25"/>
        <v>91380</v>
      </c>
      <c r="P36" s="456">
        <f t="shared" si="25"/>
        <v>102140</v>
      </c>
      <c r="Q36" s="457">
        <f t="shared" si="25"/>
        <v>114930</v>
      </c>
      <c r="R36" s="458">
        <f t="shared" si="25"/>
        <v>137870</v>
      </c>
      <c r="S36" s="456">
        <f t="shared" si="25"/>
        <v>145610</v>
      </c>
      <c r="T36" s="456">
        <f t="shared" si="25"/>
        <v>150200</v>
      </c>
      <c r="U36" s="456">
        <f t="shared" si="26"/>
        <v>152290</v>
      </c>
      <c r="V36" s="457">
        <f t="shared" si="27"/>
        <v>163660</v>
      </c>
    </row>
    <row r="37" spans="3:22" ht="15" customHeight="1" x14ac:dyDescent="0.25">
      <c r="C37" s="196">
        <v>32</v>
      </c>
      <c r="D37" s="455">
        <f t="shared" si="24"/>
        <v>35350</v>
      </c>
      <c r="E37" s="456">
        <f t="shared" si="25"/>
        <v>37280</v>
      </c>
      <c r="F37" s="456">
        <f t="shared" si="25"/>
        <v>39170</v>
      </c>
      <c r="G37" s="457">
        <f t="shared" si="25"/>
        <v>41310</v>
      </c>
      <c r="H37" s="458">
        <f t="shared" si="25"/>
        <v>43590</v>
      </c>
      <c r="I37" s="456">
        <f t="shared" si="25"/>
        <v>45640</v>
      </c>
      <c r="J37" s="456">
        <f t="shared" si="25"/>
        <v>47210</v>
      </c>
      <c r="K37" s="456">
        <f t="shared" si="25"/>
        <v>55580</v>
      </c>
      <c r="L37" s="456">
        <f t="shared" si="25"/>
        <v>59970</v>
      </c>
      <c r="M37" s="456">
        <f t="shared" si="25"/>
        <v>76240</v>
      </c>
      <c r="N37" s="459">
        <f t="shared" si="25"/>
        <v>82520</v>
      </c>
      <c r="O37" s="455">
        <f t="shared" si="25"/>
        <v>94130</v>
      </c>
      <c r="P37" s="456">
        <f t="shared" si="25"/>
        <v>105210</v>
      </c>
      <c r="Q37" s="457">
        <f t="shared" si="25"/>
        <v>118380</v>
      </c>
      <c r="R37" s="458">
        <f t="shared" si="25"/>
        <v>142010</v>
      </c>
      <c r="S37" s="456">
        <f t="shared" si="25"/>
        <v>149980</v>
      </c>
      <c r="T37" s="456">
        <f t="shared" si="25"/>
        <v>154710</v>
      </c>
      <c r="U37" s="456">
        <f t="shared" si="26"/>
        <v>156860</v>
      </c>
      <c r="V37" s="457">
        <f t="shared" si="27"/>
        <v>168570</v>
      </c>
    </row>
    <row r="38" spans="3:22" ht="15" customHeight="1" x14ac:dyDescent="0.25">
      <c r="C38" s="196">
        <v>33</v>
      </c>
      <c r="D38" s="455">
        <f t="shared" si="24"/>
        <v>36420</v>
      </c>
      <c r="E38" s="456">
        <f t="shared" si="25"/>
        <v>38400</v>
      </c>
      <c r="F38" s="456">
        <f t="shared" si="25"/>
        <v>40350</v>
      </c>
      <c r="G38" s="457">
        <f t="shared" si="25"/>
        <v>42550</v>
      </c>
      <c r="H38" s="458">
        <f t="shared" si="25"/>
        <v>44900</v>
      </c>
      <c r="I38" s="456">
        <f t="shared" si="25"/>
        <v>47010</v>
      </c>
      <c r="J38" s="456">
        <f t="shared" si="25"/>
        <v>48630</v>
      </c>
      <c r="K38" s="456">
        <f t="shared" si="25"/>
        <v>57250</v>
      </c>
      <c r="L38" s="456">
        <f t="shared" si="25"/>
        <v>61770</v>
      </c>
      <c r="M38" s="456">
        <f t="shared" si="25"/>
        <v>78530</v>
      </c>
      <c r="N38" s="459">
        <f t="shared" si="25"/>
        <v>85000</v>
      </c>
      <c r="O38" s="455">
        <f t="shared" si="25"/>
        <v>96960</v>
      </c>
      <c r="P38" s="456">
        <f t="shared" si="25"/>
        <v>108370</v>
      </c>
      <c r="Q38" s="457">
        <f t="shared" si="25"/>
        <v>121940</v>
      </c>
      <c r="R38" s="458">
        <f t="shared" si="25"/>
        <v>146280</v>
      </c>
      <c r="S38" s="456">
        <f t="shared" si="25"/>
        <v>154480</v>
      </c>
      <c r="T38" s="456">
        <f t="shared" si="25"/>
        <v>159360</v>
      </c>
      <c r="U38" s="456">
        <f t="shared" si="26"/>
        <v>161570</v>
      </c>
      <c r="V38" s="457">
        <f t="shared" si="27"/>
        <v>173630</v>
      </c>
    </row>
    <row r="39" spans="3:22" ht="15" customHeight="1" x14ac:dyDescent="0.25">
      <c r="C39" s="196">
        <v>34</v>
      </c>
      <c r="D39" s="455">
        <f t="shared" si="24"/>
        <v>37520</v>
      </c>
      <c r="E39" s="456">
        <f t="shared" si="25"/>
        <v>39560</v>
      </c>
      <c r="F39" s="456">
        <f t="shared" si="25"/>
        <v>41570</v>
      </c>
      <c r="G39" s="457">
        <f t="shared" si="25"/>
        <v>43830</v>
      </c>
      <c r="H39" s="458">
        <f t="shared" si="25"/>
        <v>46250</v>
      </c>
      <c r="I39" s="456">
        <f t="shared" si="25"/>
        <v>48430</v>
      </c>
      <c r="J39" s="456">
        <f t="shared" si="25"/>
        <v>50090</v>
      </c>
      <c r="K39" s="456">
        <f t="shared" si="25"/>
        <v>58970</v>
      </c>
      <c r="L39" s="456">
        <f t="shared" si="25"/>
        <v>63630</v>
      </c>
      <c r="M39" s="456">
        <f t="shared" si="25"/>
        <v>80890</v>
      </c>
      <c r="N39" s="459">
        <f t="shared" si="25"/>
        <v>87550</v>
      </c>
      <c r="O39" s="455">
        <f t="shared" si="25"/>
        <v>99870</v>
      </c>
      <c r="P39" s="456">
        <f t="shared" si="25"/>
        <v>111630</v>
      </c>
      <c r="Q39" s="457">
        <f t="shared" si="25"/>
        <v>125600</v>
      </c>
      <c r="R39" s="458">
        <f t="shared" si="25"/>
        <v>150670</v>
      </c>
      <c r="S39" s="456">
        <f t="shared" si="25"/>
        <v>159120</v>
      </c>
      <c r="T39" s="456">
        <f t="shared" si="25"/>
        <v>164150</v>
      </c>
      <c r="U39" s="456">
        <f t="shared" si="26"/>
        <v>166420</v>
      </c>
      <c r="V39" s="457">
        <f t="shared" si="27"/>
        <v>178840</v>
      </c>
    </row>
    <row r="40" spans="3:22" ht="15" customHeight="1" x14ac:dyDescent="0.25">
      <c r="C40" s="196">
        <v>35</v>
      </c>
      <c r="D40" s="455">
        <f t="shared" si="24"/>
        <v>38650</v>
      </c>
      <c r="E40" s="456">
        <f t="shared" si="25"/>
        <v>40750</v>
      </c>
      <c r="F40" s="456">
        <f t="shared" si="25"/>
        <v>42820</v>
      </c>
      <c r="G40" s="457">
        <f t="shared" si="25"/>
        <v>45150</v>
      </c>
      <c r="H40" s="458">
        <f t="shared" si="25"/>
        <v>47640</v>
      </c>
      <c r="I40" s="456">
        <f t="shared" si="25"/>
        <v>49890</v>
      </c>
      <c r="J40" s="456">
        <f t="shared" si="25"/>
        <v>51600</v>
      </c>
      <c r="K40" s="456">
        <f t="shared" si="25"/>
        <v>60740</v>
      </c>
      <c r="L40" s="456">
        <f t="shared" si="25"/>
        <v>65540</v>
      </c>
      <c r="M40" s="456">
        <f t="shared" si="25"/>
        <v>83320</v>
      </c>
      <c r="N40" s="459">
        <f t="shared" si="25"/>
        <v>90180</v>
      </c>
      <c r="O40" s="455">
        <f t="shared" si="25"/>
        <v>102870</v>
      </c>
      <c r="P40" s="456">
        <f t="shared" si="25"/>
        <v>114980</v>
      </c>
      <c r="Q40" s="457">
        <f t="shared" si="25"/>
        <v>129370</v>
      </c>
      <c r="R40" s="458">
        <f t="shared" si="25"/>
        <v>155200</v>
      </c>
      <c r="S40" s="456">
        <f t="shared" si="25"/>
        <v>163900</v>
      </c>
      <c r="T40" s="456">
        <f t="shared" si="25"/>
        <v>169080</v>
      </c>
      <c r="U40" s="456">
        <f t="shared" si="26"/>
        <v>171420</v>
      </c>
      <c r="V40" s="457">
        <f t="shared" si="27"/>
        <v>184210</v>
      </c>
    </row>
    <row r="41" spans="3:22" ht="15" customHeight="1" x14ac:dyDescent="0.25">
      <c r="C41" s="196">
        <v>36</v>
      </c>
      <c r="D41" s="455">
        <f t="shared" si="24"/>
        <v>39810</v>
      </c>
      <c r="E41" s="456">
        <f t="shared" si="25"/>
        <v>41980</v>
      </c>
      <c r="F41" s="456">
        <f t="shared" si="25"/>
        <v>44110</v>
      </c>
      <c r="G41" s="457">
        <f t="shared" si="25"/>
        <v>46510</v>
      </c>
      <c r="H41" s="458">
        <f t="shared" si="25"/>
        <v>49070</v>
      </c>
      <c r="I41" s="456">
        <f t="shared" si="25"/>
        <v>51390</v>
      </c>
      <c r="J41" s="456">
        <f t="shared" si="25"/>
        <v>53150</v>
      </c>
      <c r="K41" s="456">
        <f t="shared" si="25"/>
        <v>62570</v>
      </c>
      <c r="L41" s="456">
        <f t="shared" si="25"/>
        <v>67510</v>
      </c>
      <c r="M41" s="456">
        <f t="shared" si="25"/>
        <v>85820</v>
      </c>
      <c r="N41" s="459">
        <f t="shared" si="25"/>
        <v>92890</v>
      </c>
      <c r="O41" s="455">
        <f t="shared" si="25"/>
        <v>105960</v>
      </c>
      <c r="P41" s="456">
        <f t="shared" si="25"/>
        <v>118430</v>
      </c>
      <c r="Q41" s="457">
        <f t="shared" si="25"/>
        <v>133260</v>
      </c>
      <c r="R41" s="458">
        <f t="shared" si="25"/>
        <v>159860</v>
      </c>
      <c r="S41" s="456">
        <f t="shared" si="25"/>
        <v>168820</v>
      </c>
      <c r="T41" s="456">
        <f t="shared" si="25"/>
        <v>174160</v>
      </c>
      <c r="U41" s="456">
        <f t="shared" si="26"/>
        <v>176570</v>
      </c>
      <c r="V41" s="457">
        <f t="shared" si="27"/>
        <v>189740</v>
      </c>
    </row>
    <row r="42" spans="3:22" ht="15" customHeight="1" x14ac:dyDescent="0.25">
      <c r="C42" s="196">
        <v>37</v>
      </c>
      <c r="D42" s="455">
        <f t="shared" si="24"/>
        <v>41010</v>
      </c>
      <c r="E42" s="456">
        <f t="shared" si="25"/>
        <v>43240</v>
      </c>
      <c r="F42" s="456">
        <f t="shared" si="25"/>
        <v>45440</v>
      </c>
      <c r="G42" s="457">
        <f t="shared" si="25"/>
        <v>47910</v>
      </c>
      <c r="H42" s="458">
        <f t="shared" si="25"/>
        <v>50550</v>
      </c>
      <c r="I42" s="456">
        <f t="shared" si="25"/>
        <v>52940</v>
      </c>
      <c r="J42" s="456">
        <f t="shared" si="25"/>
        <v>54750</v>
      </c>
      <c r="K42" s="456">
        <f t="shared" si="25"/>
        <v>64450</v>
      </c>
      <c r="L42" s="456">
        <f t="shared" si="25"/>
        <v>69540</v>
      </c>
      <c r="M42" s="456">
        <f t="shared" si="25"/>
        <v>88400</v>
      </c>
      <c r="N42" s="459">
        <f t="shared" si="25"/>
        <v>95680</v>
      </c>
      <c r="O42" s="455">
        <f t="shared" si="25"/>
        <v>109140</v>
      </c>
      <c r="P42" s="456">
        <f t="shared" si="25"/>
        <v>121990</v>
      </c>
      <c r="Q42" s="457">
        <f t="shared" si="25"/>
        <v>137260</v>
      </c>
      <c r="R42" s="458">
        <f t="shared" si="25"/>
        <v>164660</v>
      </c>
      <c r="S42" s="456">
        <f t="shared" si="25"/>
        <v>173890</v>
      </c>
      <c r="T42" s="456">
        <f t="shared" si="25"/>
        <v>179390</v>
      </c>
      <c r="U42" s="456">
        <f t="shared" si="26"/>
        <v>181870</v>
      </c>
      <c r="V42" s="457">
        <f t="shared" si="27"/>
        <v>195440</v>
      </c>
    </row>
    <row r="43" spans="3:22" ht="15" customHeight="1" x14ac:dyDescent="0.25">
      <c r="C43" s="196">
        <v>38</v>
      </c>
      <c r="D43" s="455">
        <f t="shared" si="24"/>
        <v>42250</v>
      </c>
      <c r="E43" s="456">
        <f t="shared" si="25"/>
        <v>44540</v>
      </c>
      <c r="F43" s="456">
        <f t="shared" si="25"/>
        <v>46810</v>
      </c>
      <c r="G43" s="457">
        <f t="shared" si="25"/>
        <v>49350</v>
      </c>
      <c r="H43" s="458">
        <f t="shared" si="25"/>
        <v>52070</v>
      </c>
      <c r="I43" s="456">
        <f t="shared" si="25"/>
        <v>54530</v>
      </c>
      <c r="J43" s="456">
        <f t="shared" si="25"/>
        <v>56400</v>
      </c>
      <c r="K43" s="456">
        <f t="shared" si="25"/>
        <v>66390</v>
      </c>
      <c r="L43" s="456">
        <f t="shared" si="25"/>
        <v>71630</v>
      </c>
      <c r="M43" s="456">
        <f t="shared" si="25"/>
        <v>91060</v>
      </c>
      <c r="N43" s="459">
        <f t="shared" si="25"/>
        <v>98560</v>
      </c>
      <c r="O43" s="455">
        <f t="shared" si="25"/>
        <v>112420</v>
      </c>
      <c r="P43" s="456">
        <f t="shared" si="25"/>
        <v>125650</v>
      </c>
      <c r="Q43" s="457">
        <f t="shared" si="25"/>
        <v>141380</v>
      </c>
      <c r="R43" s="458">
        <f t="shared" si="25"/>
        <v>169600</v>
      </c>
      <c r="S43" s="456">
        <f t="shared" si="25"/>
        <v>179110</v>
      </c>
      <c r="T43" s="456">
        <f t="shared" si="25"/>
        <v>184780</v>
      </c>
      <c r="U43" s="456">
        <f t="shared" si="26"/>
        <v>187330</v>
      </c>
      <c r="V43" s="457">
        <f t="shared" si="27"/>
        <v>201310</v>
      </c>
    </row>
    <row r="44" spans="3:22" ht="15" customHeight="1" x14ac:dyDescent="0.25">
      <c r="C44" s="196">
        <v>39</v>
      </c>
      <c r="D44" s="455">
        <f t="shared" si="24"/>
        <v>43520</v>
      </c>
      <c r="E44" s="456">
        <f t="shared" si="25"/>
        <v>45880</v>
      </c>
      <c r="F44" s="456">
        <f t="shared" si="25"/>
        <v>48220</v>
      </c>
      <c r="G44" s="457">
        <f t="shared" si="25"/>
        <v>50840</v>
      </c>
      <c r="H44" s="458">
        <f t="shared" si="25"/>
        <v>53640</v>
      </c>
      <c r="I44" s="456">
        <f t="shared" si="25"/>
        <v>56170</v>
      </c>
      <c r="J44" s="456">
        <f t="shared" si="25"/>
        <v>58100</v>
      </c>
      <c r="K44" s="456">
        <f t="shared" si="25"/>
        <v>68390</v>
      </c>
      <c r="L44" s="456">
        <f t="shared" si="25"/>
        <v>73780</v>
      </c>
      <c r="M44" s="456">
        <f t="shared" si="25"/>
        <v>93800</v>
      </c>
      <c r="N44" s="459">
        <f t="shared" si="25"/>
        <v>101520</v>
      </c>
      <c r="O44" s="455">
        <f t="shared" si="25"/>
        <v>115800</v>
      </c>
      <c r="P44" s="456">
        <f t="shared" si="25"/>
        <v>129420</v>
      </c>
      <c r="Q44" s="457">
        <f t="shared" si="25"/>
        <v>145630</v>
      </c>
      <c r="R44" s="458">
        <f t="shared" si="25"/>
        <v>174690</v>
      </c>
      <c r="S44" s="456">
        <f t="shared" si="25"/>
        <v>184490</v>
      </c>
      <c r="T44" s="456">
        <f t="shared" si="25"/>
        <v>190330</v>
      </c>
      <c r="U44" s="456">
        <f t="shared" si="26"/>
        <v>192950</v>
      </c>
      <c r="V44" s="457">
        <f t="shared" si="27"/>
        <v>207350</v>
      </c>
    </row>
    <row r="45" spans="3:22" ht="15" customHeight="1" thickBot="1" x14ac:dyDescent="0.3">
      <c r="C45" s="203">
        <v>40</v>
      </c>
      <c r="D45" s="475">
        <f t="shared" si="24"/>
        <v>44830</v>
      </c>
      <c r="E45" s="476">
        <f t="shared" si="25"/>
        <v>47260</v>
      </c>
      <c r="F45" s="476">
        <f t="shared" si="25"/>
        <v>49670</v>
      </c>
      <c r="G45" s="477">
        <f t="shared" si="25"/>
        <v>52370</v>
      </c>
      <c r="H45" s="478">
        <f t="shared" si="25"/>
        <v>55250</v>
      </c>
      <c r="I45" s="476">
        <f t="shared" si="25"/>
        <v>57860</v>
      </c>
      <c r="J45" s="476">
        <f t="shared" si="25"/>
        <v>59850</v>
      </c>
      <c r="K45" s="476">
        <f t="shared" si="25"/>
        <v>70450</v>
      </c>
      <c r="L45" s="476">
        <f t="shared" si="25"/>
        <v>76000</v>
      </c>
      <c r="M45" s="476">
        <f t="shared" si="25"/>
        <v>96620</v>
      </c>
      <c r="N45" s="479">
        <f t="shared" si="25"/>
        <v>104570</v>
      </c>
      <c r="O45" s="475">
        <f t="shared" si="25"/>
        <v>119280</v>
      </c>
      <c r="P45" s="476">
        <f t="shared" si="25"/>
        <v>133310</v>
      </c>
      <c r="Q45" s="477">
        <f t="shared" si="25"/>
        <v>150000</v>
      </c>
      <c r="R45" s="478">
        <f t="shared" si="25"/>
        <v>179940</v>
      </c>
      <c r="S45" s="476">
        <f t="shared" si="25"/>
        <v>190030</v>
      </c>
      <c r="T45" s="476">
        <f>ROUNDUP(T44*3%+T44,-1)</f>
        <v>196040</v>
      </c>
      <c r="U45" s="476">
        <f t="shared" si="26"/>
        <v>198740</v>
      </c>
      <c r="V45" s="477">
        <f t="shared" si="27"/>
        <v>213580</v>
      </c>
    </row>
  </sheetData>
  <sheetProtection algorithmName="SHA-512" hashValue="8msgOkNu2pCbOQMZRF5Tv5E7punb0YcB1pIHIOjiChXMWwwS7XH54DtyCSjoo9p/6aH6bdbvf7RpLf38rZjvDQ==" saltValue="oNs4s0k79OVUmbk5+gvsFw==" spinCount="100000" sheet="1" objects="1" scenarios="1"/>
  <mergeCells count="5">
    <mergeCell ref="D2:G2"/>
    <mergeCell ref="H2:N2"/>
    <mergeCell ref="O2:Q2"/>
    <mergeCell ref="R2:V2"/>
    <mergeCell ref="G1:R1"/>
  </mergeCells>
  <pageMargins left="0.7" right="0.7" top="0.75" bottom="0.75" header="0.3" footer="0.3"/>
  <pageSetup paperSize="5" scale="6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7" tint="-0.249977111117893"/>
    <pageSetUpPr fitToPage="1"/>
  </sheetPr>
  <dimension ref="C1:AE45"/>
  <sheetViews>
    <sheetView workbookViewId="0">
      <selection activeCell="Y16" sqref="Y16"/>
    </sheetView>
  </sheetViews>
  <sheetFormatPr defaultColWidth="9.140625" defaultRowHeight="15" x14ac:dyDescent="0.25"/>
  <cols>
    <col min="1" max="2" width="9.140625" style="181"/>
    <col min="3" max="22" width="10.7109375" style="181" customWidth="1"/>
    <col min="23" max="16384" width="9.140625" style="181"/>
  </cols>
  <sheetData>
    <row r="1" spans="3:31" ht="19.5" customHeight="1" thickBot="1" x14ac:dyDescent="0.3">
      <c r="C1" s="192"/>
      <c r="D1" s="193"/>
      <c r="E1" s="193"/>
      <c r="F1" s="193"/>
      <c r="G1" s="972" t="s">
        <v>14</v>
      </c>
      <c r="H1" s="973"/>
      <c r="I1" s="973"/>
      <c r="J1" s="973"/>
      <c r="K1" s="973"/>
      <c r="L1" s="973"/>
      <c r="M1" s="973"/>
      <c r="N1" s="973"/>
      <c r="O1" s="973"/>
      <c r="P1" s="973"/>
      <c r="Q1" s="973"/>
      <c r="R1" s="974"/>
      <c r="S1" s="193"/>
      <c r="T1" s="193"/>
      <c r="U1" s="193"/>
      <c r="V1" s="193"/>
    </row>
    <row r="2" spans="3:31" ht="15.75" thickBot="1" x14ac:dyDescent="0.3">
      <c r="C2" s="679" t="s">
        <v>6</v>
      </c>
      <c r="D2" s="975" t="s">
        <v>7</v>
      </c>
      <c r="E2" s="976"/>
      <c r="F2" s="976"/>
      <c r="G2" s="977"/>
      <c r="H2" s="976" t="s">
        <v>8</v>
      </c>
      <c r="I2" s="976"/>
      <c r="J2" s="976"/>
      <c r="K2" s="976"/>
      <c r="L2" s="976"/>
      <c r="M2" s="976"/>
      <c r="N2" s="976"/>
      <c r="O2" s="975" t="s">
        <v>9</v>
      </c>
      <c r="P2" s="976"/>
      <c r="Q2" s="977"/>
      <c r="R2" s="976" t="s">
        <v>10</v>
      </c>
      <c r="S2" s="976"/>
      <c r="T2" s="976"/>
      <c r="U2" s="976"/>
      <c r="V2" s="977"/>
    </row>
    <row r="3" spans="3:31" ht="15.75" thickBot="1" x14ac:dyDescent="0.3">
      <c r="C3" s="679" t="s">
        <v>11</v>
      </c>
      <c r="D3" s="445">
        <v>1400</v>
      </c>
      <c r="E3" s="446">
        <v>1650</v>
      </c>
      <c r="F3" s="446">
        <v>1800</v>
      </c>
      <c r="G3" s="447">
        <v>1900</v>
      </c>
      <c r="H3" s="448">
        <v>2000</v>
      </c>
      <c r="I3" s="446">
        <v>2100</v>
      </c>
      <c r="J3" s="446">
        <v>2200</v>
      </c>
      <c r="K3" s="446">
        <v>2400</v>
      </c>
      <c r="L3" s="446">
        <v>2800</v>
      </c>
      <c r="M3" s="446">
        <v>4200</v>
      </c>
      <c r="N3" s="449">
        <v>4400</v>
      </c>
      <c r="O3" s="445">
        <v>4600</v>
      </c>
      <c r="P3" s="446">
        <v>4800</v>
      </c>
      <c r="Q3" s="447">
        <v>5400</v>
      </c>
      <c r="R3" s="448">
        <v>6600</v>
      </c>
      <c r="S3" s="446">
        <v>6800</v>
      </c>
      <c r="T3" s="446">
        <v>7000</v>
      </c>
      <c r="U3" s="446">
        <v>7100</v>
      </c>
      <c r="V3" s="447">
        <v>7600</v>
      </c>
    </row>
    <row r="4" spans="3:31" x14ac:dyDescent="0.25">
      <c r="C4" s="678" t="s">
        <v>12</v>
      </c>
      <c r="D4" s="205">
        <v>1</v>
      </c>
      <c r="E4" s="206">
        <v>2</v>
      </c>
      <c r="F4" s="206">
        <v>3</v>
      </c>
      <c r="G4" s="207">
        <v>4</v>
      </c>
      <c r="H4" s="208">
        <v>5</v>
      </c>
      <c r="I4" s="206">
        <v>6</v>
      </c>
      <c r="J4" s="206">
        <v>7</v>
      </c>
      <c r="K4" s="206">
        <v>8</v>
      </c>
      <c r="L4" s="206">
        <v>9</v>
      </c>
      <c r="M4" s="206">
        <v>10</v>
      </c>
      <c r="N4" s="209">
        <v>11</v>
      </c>
      <c r="O4" s="205">
        <v>12</v>
      </c>
      <c r="P4" s="206">
        <v>13</v>
      </c>
      <c r="Q4" s="207">
        <v>14</v>
      </c>
      <c r="R4" s="208">
        <v>15</v>
      </c>
      <c r="S4" s="206">
        <v>16</v>
      </c>
      <c r="T4" s="206">
        <v>17</v>
      </c>
      <c r="U4" s="206">
        <v>18</v>
      </c>
      <c r="V4" s="207">
        <v>19</v>
      </c>
    </row>
    <row r="5" spans="3:31" ht="15.75" thickBot="1" x14ac:dyDescent="0.3">
      <c r="C5" s="210" t="s">
        <v>13</v>
      </c>
      <c r="D5" s="211">
        <v>2.57</v>
      </c>
      <c r="E5" s="212">
        <v>2.5099999999999998</v>
      </c>
      <c r="F5" s="212">
        <v>2.4500000000000002</v>
      </c>
      <c r="G5" s="213">
        <v>2.4</v>
      </c>
      <c r="H5" s="214">
        <v>2.34</v>
      </c>
      <c r="I5" s="215">
        <v>2.57</v>
      </c>
      <c r="J5" s="215">
        <v>2.57</v>
      </c>
      <c r="K5" s="215">
        <v>2.57</v>
      </c>
      <c r="L5" s="215">
        <v>2.57</v>
      </c>
      <c r="M5" s="215">
        <v>2.57</v>
      </c>
      <c r="N5" s="216">
        <v>2.57</v>
      </c>
      <c r="O5" s="211">
        <v>2.57</v>
      </c>
      <c r="P5" s="217">
        <v>2.5499999999999998</v>
      </c>
      <c r="Q5" s="218">
        <v>2.57</v>
      </c>
      <c r="R5" s="219">
        <v>2.57</v>
      </c>
      <c r="S5" s="215">
        <v>2.57</v>
      </c>
      <c r="T5" s="215">
        <v>2.57</v>
      </c>
      <c r="U5" s="215">
        <v>2.57</v>
      </c>
      <c r="V5" s="218">
        <v>2.57</v>
      </c>
    </row>
    <row r="6" spans="3:31" x14ac:dyDescent="0.25">
      <c r="C6" s="678">
        <v>1</v>
      </c>
      <c r="D6" s="450">
        <v>16000</v>
      </c>
      <c r="E6" s="451">
        <v>16500</v>
      </c>
      <c r="F6" s="451">
        <v>17000</v>
      </c>
      <c r="G6" s="452">
        <v>17500</v>
      </c>
      <c r="H6" s="453">
        <v>18000</v>
      </c>
      <c r="I6" s="451">
        <v>20700</v>
      </c>
      <c r="J6" s="451">
        <v>21400</v>
      </c>
      <c r="K6" s="451">
        <v>25300</v>
      </c>
      <c r="L6" s="451">
        <v>27300</v>
      </c>
      <c r="M6" s="451">
        <v>34700</v>
      </c>
      <c r="N6" s="454">
        <v>37600</v>
      </c>
      <c r="O6" s="450">
        <v>42900</v>
      </c>
      <c r="P6" s="451">
        <v>47600</v>
      </c>
      <c r="Q6" s="452">
        <v>54000</v>
      </c>
      <c r="R6" s="453">
        <v>64800</v>
      </c>
      <c r="S6" s="451">
        <v>68400</v>
      </c>
      <c r="T6" s="451">
        <v>70600</v>
      </c>
      <c r="U6" s="451">
        <v>71900</v>
      </c>
      <c r="V6" s="452">
        <v>76900</v>
      </c>
    </row>
    <row r="7" spans="3:31" x14ac:dyDescent="0.25">
      <c r="C7" s="196">
        <v>2</v>
      </c>
      <c r="D7" s="455">
        <f t="shared" ref="D7:V20" si="0">MROUND(D6*3%+D6,100)</f>
        <v>16500</v>
      </c>
      <c r="E7" s="456">
        <f t="shared" si="0"/>
        <v>17000</v>
      </c>
      <c r="F7" s="456">
        <f t="shared" si="0"/>
        <v>17500</v>
      </c>
      <c r="G7" s="457">
        <f t="shared" si="0"/>
        <v>18000</v>
      </c>
      <c r="H7" s="458">
        <f t="shared" si="0"/>
        <v>18500</v>
      </c>
      <c r="I7" s="456">
        <f t="shared" si="0"/>
        <v>21300</v>
      </c>
      <c r="J7" s="456">
        <f t="shared" si="0"/>
        <v>22000</v>
      </c>
      <c r="K7" s="456">
        <f t="shared" si="0"/>
        <v>26100</v>
      </c>
      <c r="L7" s="456">
        <f t="shared" si="0"/>
        <v>28100</v>
      </c>
      <c r="M7" s="456">
        <f t="shared" si="0"/>
        <v>35700</v>
      </c>
      <c r="N7" s="459">
        <f t="shared" si="0"/>
        <v>38700</v>
      </c>
      <c r="O7" s="455">
        <f t="shared" si="0"/>
        <v>44200</v>
      </c>
      <c r="P7" s="456">
        <f t="shared" si="0"/>
        <v>49000</v>
      </c>
      <c r="Q7" s="457">
        <f t="shared" si="0"/>
        <v>55600</v>
      </c>
      <c r="R7" s="458">
        <f t="shared" si="0"/>
        <v>66700</v>
      </c>
      <c r="S7" s="456">
        <f t="shared" si="0"/>
        <v>70500</v>
      </c>
      <c r="T7" s="456">
        <f t="shared" si="0"/>
        <v>72700</v>
      </c>
      <c r="U7" s="456">
        <f t="shared" si="0"/>
        <v>74100</v>
      </c>
      <c r="V7" s="457">
        <f t="shared" si="0"/>
        <v>79200</v>
      </c>
    </row>
    <row r="8" spans="3:31" x14ac:dyDescent="0.25">
      <c r="C8" s="196">
        <v>3</v>
      </c>
      <c r="D8" s="455">
        <f t="shared" si="0"/>
        <v>17000</v>
      </c>
      <c r="E8" s="456">
        <f t="shared" si="0"/>
        <v>17500</v>
      </c>
      <c r="F8" s="456">
        <f t="shared" si="0"/>
        <v>18000</v>
      </c>
      <c r="G8" s="457">
        <f t="shared" si="0"/>
        <v>18500</v>
      </c>
      <c r="H8" s="458">
        <f t="shared" si="0"/>
        <v>19100</v>
      </c>
      <c r="I8" s="456">
        <f t="shared" si="0"/>
        <v>21900</v>
      </c>
      <c r="J8" s="456">
        <f t="shared" si="0"/>
        <v>22700</v>
      </c>
      <c r="K8" s="456">
        <f t="shared" si="0"/>
        <v>26900</v>
      </c>
      <c r="L8" s="456">
        <f t="shared" si="0"/>
        <v>28900</v>
      </c>
      <c r="M8" s="456">
        <f t="shared" si="0"/>
        <v>36800</v>
      </c>
      <c r="N8" s="459">
        <f t="shared" si="0"/>
        <v>39900</v>
      </c>
      <c r="O8" s="455">
        <f t="shared" si="0"/>
        <v>45500</v>
      </c>
      <c r="P8" s="456">
        <f t="shared" si="0"/>
        <v>50500</v>
      </c>
      <c r="Q8" s="457">
        <f t="shared" si="0"/>
        <v>57300</v>
      </c>
      <c r="R8" s="458">
        <f t="shared" si="0"/>
        <v>68700</v>
      </c>
      <c r="S8" s="456">
        <f t="shared" si="0"/>
        <v>72600</v>
      </c>
      <c r="T8" s="456">
        <f t="shared" si="0"/>
        <v>74900</v>
      </c>
      <c r="U8" s="456">
        <f t="shared" si="0"/>
        <v>76300</v>
      </c>
      <c r="V8" s="457">
        <f t="shared" si="0"/>
        <v>81600</v>
      </c>
    </row>
    <row r="9" spans="3:31" x14ac:dyDescent="0.25">
      <c r="C9" s="196">
        <v>4</v>
      </c>
      <c r="D9" s="455">
        <f t="shared" si="0"/>
        <v>17500</v>
      </c>
      <c r="E9" s="456">
        <f t="shared" si="0"/>
        <v>18000</v>
      </c>
      <c r="F9" s="456">
        <f t="shared" si="0"/>
        <v>18500</v>
      </c>
      <c r="G9" s="457">
        <f t="shared" si="0"/>
        <v>19100</v>
      </c>
      <c r="H9" s="458">
        <f t="shared" si="0"/>
        <v>19700</v>
      </c>
      <c r="I9" s="456">
        <f t="shared" si="0"/>
        <v>22600</v>
      </c>
      <c r="J9" s="456">
        <f t="shared" si="0"/>
        <v>23400</v>
      </c>
      <c r="K9" s="456">
        <f t="shared" si="0"/>
        <v>27700</v>
      </c>
      <c r="L9" s="456">
        <f t="shared" si="0"/>
        <v>29800</v>
      </c>
      <c r="M9" s="456">
        <f t="shared" si="0"/>
        <v>37900</v>
      </c>
      <c r="N9" s="459">
        <f t="shared" si="0"/>
        <v>41100</v>
      </c>
      <c r="O9" s="455">
        <f t="shared" si="0"/>
        <v>46900</v>
      </c>
      <c r="P9" s="456">
        <f t="shared" si="0"/>
        <v>52000</v>
      </c>
      <c r="Q9" s="457">
        <f t="shared" si="0"/>
        <v>59000</v>
      </c>
      <c r="R9" s="458">
        <f t="shared" si="0"/>
        <v>70800</v>
      </c>
      <c r="S9" s="456">
        <f t="shared" si="0"/>
        <v>74800</v>
      </c>
      <c r="T9" s="456">
        <f t="shared" si="0"/>
        <v>77100</v>
      </c>
      <c r="U9" s="456">
        <f t="shared" si="0"/>
        <v>78600</v>
      </c>
      <c r="V9" s="457">
        <f t="shared" si="0"/>
        <v>84000</v>
      </c>
    </row>
    <row r="10" spans="3:31" x14ac:dyDescent="0.25">
      <c r="C10" s="196">
        <v>5</v>
      </c>
      <c r="D10" s="455">
        <f t="shared" si="0"/>
        <v>18000</v>
      </c>
      <c r="E10" s="456">
        <f t="shared" si="0"/>
        <v>18500</v>
      </c>
      <c r="F10" s="456">
        <f t="shared" si="0"/>
        <v>19100</v>
      </c>
      <c r="G10" s="457">
        <f t="shared" si="0"/>
        <v>19700</v>
      </c>
      <c r="H10" s="458">
        <f t="shared" si="0"/>
        <v>20300</v>
      </c>
      <c r="I10" s="456">
        <f t="shared" si="0"/>
        <v>23300</v>
      </c>
      <c r="J10" s="456">
        <f t="shared" si="0"/>
        <v>24100</v>
      </c>
      <c r="K10" s="456">
        <f t="shared" si="0"/>
        <v>28500</v>
      </c>
      <c r="L10" s="456">
        <f t="shared" si="0"/>
        <v>30700</v>
      </c>
      <c r="M10" s="456">
        <f t="shared" si="0"/>
        <v>39000</v>
      </c>
      <c r="N10" s="459">
        <f t="shared" si="0"/>
        <v>42300</v>
      </c>
      <c r="O10" s="455">
        <f t="shared" si="0"/>
        <v>48300</v>
      </c>
      <c r="P10" s="456">
        <f t="shared" si="0"/>
        <v>53600</v>
      </c>
      <c r="Q10" s="457">
        <f t="shared" si="0"/>
        <v>60800</v>
      </c>
      <c r="R10" s="458">
        <f t="shared" si="0"/>
        <v>72900</v>
      </c>
      <c r="S10" s="456">
        <f t="shared" si="0"/>
        <v>77000</v>
      </c>
      <c r="T10" s="456">
        <f t="shared" si="0"/>
        <v>79400</v>
      </c>
      <c r="U10" s="456">
        <f t="shared" si="0"/>
        <v>81000</v>
      </c>
      <c r="V10" s="457">
        <f t="shared" si="0"/>
        <v>86500</v>
      </c>
      <c r="Y10" s="204"/>
      <c r="Z10" s="204"/>
      <c r="AA10" s="204"/>
      <c r="AB10" s="204"/>
      <c r="AC10" s="204"/>
      <c r="AD10" s="204"/>
      <c r="AE10" s="204"/>
    </row>
    <row r="11" spans="3:31" x14ac:dyDescent="0.25">
      <c r="C11" s="196">
        <v>6</v>
      </c>
      <c r="D11" s="455">
        <f t="shared" si="0"/>
        <v>18500</v>
      </c>
      <c r="E11" s="456">
        <f t="shared" si="0"/>
        <v>19100</v>
      </c>
      <c r="F11" s="456">
        <f t="shared" si="0"/>
        <v>19700</v>
      </c>
      <c r="G11" s="457">
        <f t="shared" si="0"/>
        <v>20300</v>
      </c>
      <c r="H11" s="458">
        <f t="shared" si="0"/>
        <v>20900</v>
      </c>
      <c r="I11" s="456">
        <f t="shared" si="0"/>
        <v>24000</v>
      </c>
      <c r="J11" s="456">
        <f t="shared" si="0"/>
        <v>24800</v>
      </c>
      <c r="K11" s="456">
        <f t="shared" si="0"/>
        <v>29400</v>
      </c>
      <c r="L11" s="456">
        <f t="shared" si="0"/>
        <v>31600</v>
      </c>
      <c r="M11" s="456">
        <f t="shared" si="0"/>
        <v>40200</v>
      </c>
      <c r="N11" s="459">
        <f t="shared" si="0"/>
        <v>43600</v>
      </c>
      <c r="O11" s="455">
        <f t="shared" si="0"/>
        <v>49700</v>
      </c>
      <c r="P11" s="456">
        <f t="shared" si="0"/>
        <v>55200</v>
      </c>
      <c r="Q11" s="457">
        <f t="shared" si="0"/>
        <v>62600</v>
      </c>
      <c r="R11" s="458">
        <f t="shared" si="0"/>
        <v>75100</v>
      </c>
      <c r="S11" s="456">
        <f t="shared" si="0"/>
        <v>79300</v>
      </c>
      <c r="T11" s="456">
        <f t="shared" si="0"/>
        <v>81800</v>
      </c>
      <c r="U11" s="456">
        <f t="shared" si="0"/>
        <v>83400</v>
      </c>
      <c r="V11" s="457">
        <f t="shared" si="0"/>
        <v>89100</v>
      </c>
      <c r="X11" s="204"/>
      <c r="Y11" s="204"/>
      <c r="Z11" s="204"/>
      <c r="AA11" s="204"/>
      <c r="AB11" s="204"/>
      <c r="AC11" s="204"/>
      <c r="AD11" s="204"/>
      <c r="AE11" s="204"/>
    </row>
    <row r="12" spans="3:31" x14ac:dyDescent="0.25">
      <c r="C12" s="196">
        <v>7</v>
      </c>
      <c r="D12" s="455">
        <f t="shared" si="0"/>
        <v>19100</v>
      </c>
      <c r="E12" s="456">
        <f t="shared" si="0"/>
        <v>19700</v>
      </c>
      <c r="F12" s="456">
        <f t="shared" si="0"/>
        <v>20300</v>
      </c>
      <c r="G12" s="457">
        <f t="shared" si="0"/>
        <v>20900</v>
      </c>
      <c r="H12" s="458">
        <f t="shared" si="0"/>
        <v>21500</v>
      </c>
      <c r="I12" s="456">
        <f t="shared" si="0"/>
        <v>24700</v>
      </c>
      <c r="J12" s="456">
        <f t="shared" si="0"/>
        <v>25500</v>
      </c>
      <c r="K12" s="456">
        <f t="shared" si="0"/>
        <v>30300</v>
      </c>
      <c r="L12" s="456">
        <f t="shared" si="0"/>
        <v>32500</v>
      </c>
      <c r="M12" s="456">
        <f t="shared" si="0"/>
        <v>41400</v>
      </c>
      <c r="N12" s="459">
        <f t="shared" si="0"/>
        <v>44900</v>
      </c>
      <c r="O12" s="455">
        <f t="shared" si="0"/>
        <v>51200</v>
      </c>
      <c r="P12" s="456">
        <f t="shared" si="0"/>
        <v>56900</v>
      </c>
      <c r="Q12" s="457">
        <f t="shared" si="0"/>
        <v>64500</v>
      </c>
      <c r="R12" s="458">
        <f t="shared" si="0"/>
        <v>77400</v>
      </c>
      <c r="S12" s="456">
        <f t="shared" si="0"/>
        <v>81700</v>
      </c>
      <c r="T12" s="456">
        <f t="shared" si="0"/>
        <v>84300</v>
      </c>
      <c r="U12" s="456">
        <f t="shared" si="0"/>
        <v>85900</v>
      </c>
      <c r="V12" s="457">
        <f t="shared" si="0"/>
        <v>91800</v>
      </c>
      <c r="X12" s="204"/>
    </row>
    <row r="13" spans="3:31" x14ac:dyDescent="0.25">
      <c r="C13" s="196">
        <v>8</v>
      </c>
      <c r="D13" s="455">
        <f t="shared" si="0"/>
        <v>19700</v>
      </c>
      <c r="E13" s="456">
        <f t="shared" si="0"/>
        <v>20300</v>
      </c>
      <c r="F13" s="456">
        <f t="shared" si="0"/>
        <v>20900</v>
      </c>
      <c r="G13" s="457">
        <f t="shared" si="0"/>
        <v>21500</v>
      </c>
      <c r="H13" s="458">
        <f t="shared" si="0"/>
        <v>22100</v>
      </c>
      <c r="I13" s="456">
        <f t="shared" si="0"/>
        <v>25400</v>
      </c>
      <c r="J13" s="456">
        <f t="shared" si="0"/>
        <v>26300</v>
      </c>
      <c r="K13" s="456">
        <f t="shared" si="0"/>
        <v>31200</v>
      </c>
      <c r="L13" s="456">
        <f t="shared" si="0"/>
        <v>33500</v>
      </c>
      <c r="M13" s="456">
        <f t="shared" si="0"/>
        <v>42600</v>
      </c>
      <c r="N13" s="459">
        <f t="shared" si="0"/>
        <v>46200</v>
      </c>
      <c r="O13" s="455">
        <f t="shared" si="0"/>
        <v>52700</v>
      </c>
      <c r="P13" s="456">
        <f t="shared" si="0"/>
        <v>58600</v>
      </c>
      <c r="Q13" s="457">
        <f t="shared" si="0"/>
        <v>66400</v>
      </c>
      <c r="R13" s="458">
        <f t="shared" si="0"/>
        <v>79700</v>
      </c>
      <c r="S13" s="456">
        <f t="shared" si="0"/>
        <v>84200</v>
      </c>
      <c r="T13" s="456">
        <f t="shared" si="0"/>
        <v>86800</v>
      </c>
      <c r="U13" s="456">
        <f t="shared" si="0"/>
        <v>88500</v>
      </c>
      <c r="V13" s="457">
        <f t="shared" si="0"/>
        <v>94600</v>
      </c>
    </row>
    <row r="14" spans="3:31" x14ac:dyDescent="0.25">
      <c r="C14" s="196">
        <v>9</v>
      </c>
      <c r="D14" s="455">
        <f t="shared" si="0"/>
        <v>20300</v>
      </c>
      <c r="E14" s="456">
        <f t="shared" si="0"/>
        <v>20900</v>
      </c>
      <c r="F14" s="456">
        <f t="shared" si="0"/>
        <v>21500</v>
      </c>
      <c r="G14" s="457">
        <f t="shared" si="0"/>
        <v>22100</v>
      </c>
      <c r="H14" s="458">
        <f t="shared" si="0"/>
        <v>22800</v>
      </c>
      <c r="I14" s="456">
        <f t="shared" si="0"/>
        <v>26200</v>
      </c>
      <c r="J14" s="456">
        <f t="shared" si="0"/>
        <v>27100</v>
      </c>
      <c r="K14" s="456">
        <f t="shared" si="0"/>
        <v>32100</v>
      </c>
      <c r="L14" s="456">
        <f t="shared" si="0"/>
        <v>34500</v>
      </c>
      <c r="M14" s="456">
        <f t="shared" si="0"/>
        <v>43900</v>
      </c>
      <c r="N14" s="459">
        <f t="shared" si="0"/>
        <v>47600</v>
      </c>
      <c r="O14" s="455">
        <f t="shared" si="0"/>
        <v>54300</v>
      </c>
      <c r="P14" s="456">
        <f t="shared" si="0"/>
        <v>60400</v>
      </c>
      <c r="Q14" s="457">
        <f t="shared" si="0"/>
        <v>68400</v>
      </c>
      <c r="R14" s="458">
        <f t="shared" si="0"/>
        <v>82100</v>
      </c>
      <c r="S14" s="456">
        <f t="shared" si="0"/>
        <v>86700</v>
      </c>
      <c r="T14" s="456">
        <f t="shared" si="0"/>
        <v>89400</v>
      </c>
      <c r="U14" s="456">
        <f t="shared" si="0"/>
        <v>91200</v>
      </c>
      <c r="V14" s="457">
        <f t="shared" si="0"/>
        <v>97400</v>
      </c>
    </row>
    <row r="15" spans="3:31" x14ac:dyDescent="0.25">
      <c r="C15" s="196">
        <v>10</v>
      </c>
      <c r="D15" s="455">
        <f t="shared" si="0"/>
        <v>20900</v>
      </c>
      <c r="E15" s="456">
        <f t="shared" si="0"/>
        <v>21500</v>
      </c>
      <c r="F15" s="456">
        <f t="shared" si="0"/>
        <v>22100</v>
      </c>
      <c r="G15" s="457">
        <f t="shared" si="0"/>
        <v>22800</v>
      </c>
      <c r="H15" s="458">
        <f t="shared" si="0"/>
        <v>23500</v>
      </c>
      <c r="I15" s="456">
        <f>MROUND(I14*3%+I14,100)</f>
        <v>27000</v>
      </c>
      <c r="J15" s="456">
        <f t="shared" si="0"/>
        <v>27900</v>
      </c>
      <c r="K15" s="456">
        <f t="shared" si="0"/>
        <v>33100</v>
      </c>
      <c r="L15" s="456">
        <f t="shared" si="0"/>
        <v>35500</v>
      </c>
      <c r="M15" s="456">
        <f t="shared" si="0"/>
        <v>45200</v>
      </c>
      <c r="N15" s="459">
        <f t="shared" si="0"/>
        <v>49000</v>
      </c>
      <c r="O15" s="455">
        <f t="shared" si="0"/>
        <v>55900</v>
      </c>
      <c r="P15" s="456">
        <f t="shared" si="0"/>
        <v>62200</v>
      </c>
      <c r="Q15" s="457">
        <f t="shared" si="0"/>
        <v>70500</v>
      </c>
      <c r="R15" s="458">
        <f t="shared" si="0"/>
        <v>84600</v>
      </c>
      <c r="S15" s="456">
        <f t="shared" si="0"/>
        <v>89300</v>
      </c>
      <c r="T15" s="456">
        <f t="shared" si="0"/>
        <v>92100</v>
      </c>
      <c r="U15" s="456">
        <f t="shared" si="0"/>
        <v>93900</v>
      </c>
      <c r="V15" s="457">
        <f t="shared" si="0"/>
        <v>100300</v>
      </c>
    </row>
    <row r="16" spans="3:31" x14ac:dyDescent="0.25">
      <c r="C16" s="196">
        <v>11</v>
      </c>
      <c r="D16" s="455">
        <f t="shared" si="0"/>
        <v>21500</v>
      </c>
      <c r="E16" s="456">
        <f t="shared" si="0"/>
        <v>22100</v>
      </c>
      <c r="F16" s="456">
        <f t="shared" si="0"/>
        <v>22800</v>
      </c>
      <c r="G16" s="457">
        <f t="shared" si="0"/>
        <v>23500</v>
      </c>
      <c r="H16" s="458">
        <f t="shared" si="0"/>
        <v>24200</v>
      </c>
      <c r="I16" s="456">
        <f t="shared" si="0"/>
        <v>27800</v>
      </c>
      <c r="J16" s="456">
        <f t="shared" si="0"/>
        <v>28700</v>
      </c>
      <c r="K16" s="456">
        <f t="shared" si="0"/>
        <v>34100</v>
      </c>
      <c r="L16" s="456">
        <f t="shared" si="0"/>
        <v>36600</v>
      </c>
      <c r="M16" s="456">
        <f t="shared" si="0"/>
        <v>46600</v>
      </c>
      <c r="N16" s="459">
        <f t="shared" si="0"/>
        <v>50500</v>
      </c>
      <c r="O16" s="455">
        <f t="shared" si="0"/>
        <v>57600</v>
      </c>
      <c r="P16" s="456">
        <f t="shared" si="0"/>
        <v>64100</v>
      </c>
      <c r="Q16" s="457">
        <f t="shared" si="0"/>
        <v>72600</v>
      </c>
      <c r="R16" s="458">
        <f t="shared" si="0"/>
        <v>87100</v>
      </c>
      <c r="S16" s="456">
        <f t="shared" si="0"/>
        <v>92000</v>
      </c>
      <c r="T16" s="456">
        <f t="shared" si="0"/>
        <v>94900</v>
      </c>
      <c r="U16" s="456">
        <f t="shared" si="0"/>
        <v>96700</v>
      </c>
      <c r="V16" s="457">
        <f t="shared" si="0"/>
        <v>103300</v>
      </c>
    </row>
    <row r="17" spans="3:22" x14ac:dyDescent="0.25">
      <c r="C17" s="196">
        <v>12</v>
      </c>
      <c r="D17" s="455">
        <f t="shared" si="0"/>
        <v>22100</v>
      </c>
      <c r="E17" s="456">
        <f t="shared" si="0"/>
        <v>22800</v>
      </c>
      <c r="F17" s="456">
        <f t="shared" si="0"/>
        <v>23500</v>
      </c>
      <c r="G17" s="457">
        <f t="shared" si="0"/>
        <v>24200</v>
      </c>
      <c r="H17" s="458">
        <f t="shared" si="0"/>
        <v>24900</v>
      </c>
      <c r="I17" s="456">
        <f t="shared" si="0"/>
        <v>28600</v>
      </c>
      <c r="J17" s="456">
        <f t="shared" si="0"/>
        <v>29600</v>
      </c>
      <c r="K17" s="456">
        <f t="shared" si="0"/>
        <v>35100</v>
      </c>
      <c r="L17" s="456">
        <f t="shared" si="0"/>
        <v>37700</v>
      </c>
      <c r="M17" s="456">
        <f t="shared" si="0"/>
        <v>48000</v>
      </c>
      <c r="N17" s="459">
        <f t="shared" si="0"/>
        <v>52000</v>
      </c>
      <c r="O17" s="455">
        <f t="shared" si="0"/>
        <v>59300</v>
      </c>
      <c r="P17" s="456">
        <f t="shared" si="0"/>
        <v>66000</v>
      </c>
      <c r="Q17" s="457">
        <f t="shared" si="0"/>
        <v>74800</v>
      </c>
      <c r="R17" s="458">
        <f t="shared" si="0"/>
        <v>89700</v>
      </c>
      <c r="S17" s="456">
        <f t="shared" si="0"/>
        <v>94800</v>
      </c>
      <c r="T17" s="456">
        <f t="shared" si="0"/>
        <v>97700</v>
      </c>
      <c r="U17" s="456">
        <f t="shared" si="0"/>
        <v>99600</v>
      </c>
      <c r="V17" s="457">
        <f t="shared" si="0"/>
        <v>106400</v>
      </c>
    </row>
    <row r="18" spans="3:22" x14ac:dyDescent="0.25">
      <c r="C18" s="196">
        <v>13</v>
      </c>
      <c r="D18" s="455">
        <f t="shared" si="0"/>
        <v>22800</v>
      </c>
      <c r="E18" s="456">
        <f t="shared" si="0"/>
        <v>23500</v>
      </c>
      <c r="F18" s="456">
        <f t="shared" si="0"/>
        <v>24200</v>
      </c>
      <c r="G18" s="457">
        <f t="shared" si="0"/>
        <v>24900</v>
      </c>
      <c r="H18" s="458">
        <f t="shared" si="0"/>
        <v>25600</v>
      </c>
      <c r="I18" s="456">
        <f t="shared" si="0"/>
        <v>29500</v>
      </c>
      <c r="J18" s="456">
        <f t="shared" si="0"/>
        <v>30500</v>
      </c>
      <c r="K18" s="456">
        <f t="shared" si="0"/>
        <v>36200</v>
      </c>
      <c r="L18" s="456">
        <f t="shared" si="0"/>
        <v>38800</v>
      </c>
      <c r="M18" s="456">
        <f t="shared" si="0"/>
        <v>49400</v>
      </c>
      <c r="N18" s="459">
        <f t="shared" si="0"/>
        <v>53600</v>
      </c>
      <c r="O18" s="455">
        <f t="shared" si="0"/>
        <v>61100</v>
      </c>
      <c r="P18" s="456">
        <f t="shared" si="0"/>
        <v>68000</v>
      </c>
      <c r="Q18" s="457">
        <f t="shared" si="0"/>
        <v>77000</v>
      </c>
      <c r="R18" s="458">
        <f t="shared" si="0"/>
        <v>92400</v>
      </c>
      <c r="S18" s="456">
        <f t="shared" si="0"/>
        <v>97600</v>
      </c>
      <c r="T18" s="456">
        <f t="shared" si="0"/>
        <v>100600</v>
      </c>
      <c r="U18" s="456">
        <f t="shared" si="0"/>
        <v>102600</v>
      </c>
      <c r="V18" s="457">
        <f t="shared" si="0"/>
        <v>109600</v>
      </c>
    </row>
    <row r="19" spans="3:22" x14ac:dyDescent="0.25">
      <c r="C19" s="196">
        <v>14</v>
      </c>
      <c r="D19" s="455">
        <f t="shared" si="0"/>
        <v>23500</v>
      </c>
      <c r="E19" s="456">
        <f t="shared" si="0"/>
        <v>24200</v>
      </c>
      <c r="F19" s="456">
        <f t="shared" si="0"/>
        <v>24900</v>
      </c>
      <c r="G19" s="457">
        <f t="shared" si="0"/>
        <v>25600</v>
      </c>
      <c r="H19" s="458">
        <f t="shared" si="0"/>
        <v>26400</v>
      </c>
      <c r="I19" s="456">
        <f t="shared" si="0"/>
        <v>30400</v>
      </c>
      <c r="J19" s="456">
        <f t="shared" si="0"/>
        <v>31400</v>
      </c>
      <c r="K19" s="456">
        <f t="shared" si="0"/>
        <v>37300</v>
      </c>
      <c r="L19" s="456">
        <f t="shared" si="0"/>
        <v>40000</v>
      </c>
      <c r="M19" s="456">
        <f t="shared" si="0"/>
        <v>50900</v>
      </c>
      <c r="N19" s="459">
        <f t="shared" si="0"/>
        <v>55200</v>
      </c>
      <c r="O19" s="455">
        <f t="shared" si="0"/>
        <v>62900</v>
      </c>
      <c r="P19" s="456">
        <f t="shared" si="0"/>
        <v>70000</v>
      </c>
      <c r="Q19" s="457">
        <f t="shared" si="0"/>
        <v>79300</v>
      </c>
      <c r="R19" s="458">
        <f t="shared" si="0"/>
        <v>95200</v>
      </c>
      <c r="S19" s="456">
        <f t="shared" si="0"/>
        <v>100500</v>
      </c>
      <c r="T19" s="456">
        <f t="shared" si="0"/>
        <v>103600</v>
      </c>
      <c r="U19" s="456">
        <f t="shared" si="0"/>
        <v>105700</v>
      </c>
      <c r="V19" s="457">
        <f t="shared" si="0"/>
        <v>112900</v>
      </c>
    </row>
    <row r="20" spans="3:22" x14ac:dyDescent="0.25">
      <c r="C20" s="196">
        <v>15</v>
      </c>
      <c r="D20" s="455">
        <f t="shared" si="0"/>
        <v>24200</v>
      </c>
      <c r="E20" s="456">
        <f t="shared" si="0"/>
        <v>24900</v>
      </c>
      <c r="F20" s="456">
        <f t="shared" si="0"/>
        <v>25600</v>
      </c>
      <c r="G20" s="457">
        <f t="shared" si="0"/>
        <v>26400</v>
      </c>
      <c r="H20" s="458">
        <f t="shared" si="0"/>
        <v>27200</v>
      </c>
      <c r="I20" s="456">
        <f t="shared" si="0"/>
        <v>31300</v>
      </c>
      <c r="J20" s="456">
        <f t="shared" si="0"/>
        <v>32300</v>
      </c>
      <c r="K20" s="456">
        <f t="shared" si="0"/>
        <v>38400</v>
      </c>
      <c r="L20" s="456">
        <f t="shared" ref="J20:V34" si="1">MROUND(L19*3%+L19,100)</f>
        <v>41200</v>
      </c>
      <c r="M20" s="456">
        <f t="shared" si="1"/>
        <v>52400</v>
      </c>
      <c r="N20" s="459">
        <f t="shared" si="1"/>
        <v>56900</v>
      </c>
      <c r="O20" s="455">
        <f t="shared" si="1"/>
        <v>64800</v>
      </c>
      <c r="P20" s="456">
        <f t="shared" si="1"/>
        <v>72100</v>
      </c>
      <c r="Q20" s="457">
        <f t="shared" si="1"/>
        <v>81700</v>
      </c>
      <c r="R20" s="458">
        <f t="shared" si="1"/>
        <v>98100</v>
      </c>
      <c r="S20" s="456">
        <f t="shared" si="1"/>
        <v>103500</v>
      </c>
      <c r="T20" s="456">
        <f t="shared" si="1"/>
        <v>106700</v>
      </c>
      <c r="U20" s="456">
        <f t="shared" si="1"/>
        <v>108900</v>
      </c>
      <c r="V20" s="457">
        <f t="shared" si="1"/>
        <v>116300</v>
      </c>
    </row>
    <row r="21" spans="3:22" x14ac:dyDescent="0.25">
      <c r="C21" s="196">
        <v>16</v>
      </c>
      <c r="D21" s="455">
        <f t="shared" ref="D21:S34" si="2">MROUND(D20*3%+D20,100)</f>
        <v>24900</v>
      </c>
      <c r="E21" s="456">
        <f t="shared" si="2"/>
        <v>25600</v>
      </c>
      <c r="F21" s="456">
        <f t="shared" si="2"/>
        <v>26400</v>
      </c>
      <c r="G21" s="457">
        <f t="shared" si="2"/>
        <v>27200</v>
      </c>
      <c r="H21" s="458">
        <f t="shared" si="2"/>
        <v>28000</v>
      </c>
      <c r="I21" s="456">
        <f t="shared" si="2"/>
        <v>32200</v>
      </c>
      <c r="J21" s="456">
        <f t="shared" si="1"/>
        <v>33300</v>
      </c>
      <c r="K21" s="456">
        <f t="shared" si="1"/>
        <v>39600</v>
      </c>
      <c r="L21" s="456">
        <f t="shared" si="1"/>
        <v>42400</v>
      </c>
      <c r="M21" s="456">
        <f t="shared" si="1"/>
        <v>54000</v>
      </c>
      <c r="N21" s="459">
        <f t="shared" si="1"/>
        <v>58600</v>
      </c>
      <c r="O21" s="455">
        <f t="shared" si="1"/>
        <v>66700</v>
      </c>
      <c r="P21" s="456">
        <f t="shared" si="1"/>
        <v>74300</v>
      </c>
      <c r="Q21" s="457">
        <f t="shared" si="1"/>
        <v>84200</v>
      </c>
      <c r="R21" s="458">
        <f t="shared" si="1"/>
        <v>101000</v>
      </c>
      <c r="S21" s="456">
        <f t="shared" si="1"/>
        <v>106600</v>
      </c>
      <c r="T21" s="456">
        <f t="shared" si="1"/>
        <v>109900</v>
      </c>
      <c r="U21" s="456">
        <f t="shared" si="1"/>
        <v>112200</v>
      </c>
      <c r="V21" s="457">
        <f t="shared" si="1"/>
        <v>119800</v>
      </c>
    </row>
    <row r="22" spans="3:22" x14ac:dyDescent="0.25">
      <c r="C22" s="196">
        <v>17</v>
      </c>
      <c r="D22" s="455">
        <f t="shared" si="2"/>
        <v>25600</v>
      </c>
      <c r="E22" s="456">
        <f t="shared" si="2"/>
        <v>26400</v>
      </c>
      <c r="F22" s="456">
        <f t="shared" si="2"/>
        <v>27200</v>
      </c>
      <c r="G22" s="457">
        <f t="shared" si="2"/>
        <v>28000</v>
      </c>
      <c r="H22" s="458">
        <f t="shared" si="2"/>
        <v>28800</v>
      </c>
      <c r="I22" s="456">
        <f t="shared" si="2"/>
        <v>33200</v>
      </c>
      <c r="J22" s="456">
        <f t="shared" si="1"/>
        <v>34300</v>
      </c>
      <c r="K22" s="456">
        <f t="shared" si="1"/>
        <v>40800</v>
      </c>
      <c r="L22" s="456">
        <f t="shared" si="1"/>
        <v>43700</v>
      </c>
      <c r="M22" s="456">
        <f t="shared" si="1"/>
        <v>55600</v>
      </c>
      <c r="N22" s="459">
        <f t="shared" si="1"/>
        <v>60400</v>
      </c>
      <c r="O22" s="455">
        <f t="shared" si="1"/>
        <v>68700</v>
      </c>
      <c r="P22" s="456">
        <f t="shared" si="1"/>
        <v>76500</v>
      </c>
      <c r="Q22" s="457">
        <f t="shared" si="1"/>
        <v>86700</v>
      </c>
      <c r="R22" s="458">
        <f t="shared" si="1"/>
        <v>104000</v>
      </c>
      <c r="S22" s="456">
        <f t="shared" si="1"/>
        <v>109800</v>
      </c>
      <c r="T22" s="456">
        <f t="shared" si="1"/>
        <v>113200</v>
      </c>
      <c r="U22" s="456">
        <f t="shared" si="1"/>
        <v>115600</v>
      </c>
      <c r="V22" s="457">
        <f t="shared" si="1"/>
        <v>123400</v>
      </c>
    </row>
    <row r="23" spans="3:22" x14ac:dyDescent="0.25">
      <c r="C23" s="196">
        <v>18</v>
      </c>
      <c r="D23" s="455">
        <f t="shared" si="2"/>
        <v>26400</v>
      </c>
      <c r="E23" s="456">
        <f t="shared" si="2"/>
        <v>27200</v>
      </c>
      <c r="F23" s="456">
        <f t="shared" si="2"/>
        <v>28000</v>
      </c>
      <c r="G23" s="457">
        <f t="shared" si="2"/>
        <v>28800</v>
      </c>
      <c r="H23" s="458">
        <f t="shared" si="2"/>
        <v>29700</v>
      </c>
      <c r="I23" s="456">
        <f t="shared" si="2"/>
        <v>34200</v>
      </c>
      <c r="J23" s="456">
        <f t="shared" si="1"/>
        <v>35300</v>
      </c>
      <c r="K23" s="456">
        <f t="shared" si="1"/>
        <v>42000</v>
      </c>
      <c r="L23" s="456">
        <f t="shared" si="1"/>
        <v>45000</v>
      </c>
      <c r="M23" s="456">
        <f t="shared" si="1"/>
        <v>57300</v>
      </c>
      <c r="N23" s="459">
        <f t="shared" si="1"/>
        <v>62200</v>
      </c>
      <c r="O23" s="455">
        <f t="shared" si="1"/>
        <v>70800</v>
      </c>
      <c r="P23" s="456">
        <f t="shared" si="1"/>
        <v>78800</v>
      </c>
      <c r="Q23" s="457">
        <f t="shared" si="1"/>
        <v>89300</v>
      </c>
      <c r="R23" s="458">
        <f t="shared" si="1"/>
        <v>107100</v>
      </c>
      <c r="S23" s="456">
        <f t="shared" si="1"/>
        <v>113100</v>
      </c>
      <c r="T23" s="456">
        <f t="shared" si="1"/>
        <v>116600</v>
      </c>
      <c r="U23" s="456">
        <f t="shared" si="1"/>
        <v>119100</v>
      </c>
      <c r="V23" s="457">
        <f t="shared" si="1"/>
        <v>127100</v>
      </c>
    </row>
    <row r="24" spans="3:22" x14ac:dyDescent="0.25">
      <c r="C24" s="196">
        <v>19</v>
      </c>
      <c r="D24" s="455">
        <f t="shared" si="2"/>
        <v>27200</v>
      </c>
      <c r="E24" s="456">
        <f t="shared" si="2"/>
        <v>28000</v>
      </c>
      <c r="F24" s="456">
        <f t="shared" si="2"/>
        <v>28800</v>
      </c>
      <c r="G24" s="457">
        <f t="shared" si="2"/>
        <v>29700</v>
      </c>
      <c r="H24" s="458">
        <f t="shared" si="2"/>
        <v>30600</v>
      </c>
      <c r="I24" s="456">
        <f t="shared" si="2"/>
        <v>35200</v>
      </c>
      <c r="J24" s="456">
        <f t="shared" si="1"/>
        <v>36400</v>
      </c>
      <c r="K24" s="456">
        <f t="shared" si="1"/>
        <v>43300</v>
      </c>
      <c r="L24" s="456">
        <f t="shared" si="1"/>
        <v>46400</v>
      </c>
      <c r="M24" s="456">
        <f t="shared" si="1"/>
        <v>59000</v>
      </c>
      <c r="N24" s="459">
        <f t="shared" si="1"/>
        <v>64100</v>
      </c>
      <c r="O24" s="455">
        <f t="shared" si="1"/>
        <v>72900</v>
      </c>
      <c r="P24" s="456">
        <f t="shared" si="1"/>
        <v>81200</v>
      </c>
      <c r="Q24" s="457">
        <f t="shared" si="1"/>
        <v>92000</v>
      </c>
      <c r="R24" s="458">
        <f t="shared" si="1"/>
        <v>110300</v>
      </c>
      <c r="S24" s="456">
        <f t="shared" si="1"/>
        <v>116500</v>
      </c>
      <c r="T24" s="456">
        <f t="shared" si="1"/>
        <v>120100</v>
      </c>
      <c r="U24" s="456">
        <f t="shared" si="1"/>
        <v>122700</v>
      </c>
      <c r="V24" s="457">
        <f t="shared" si="1"/>
        <v>130900</v>
      </c>
    </row>
    <row r="25" spans="3:22" x14ac:dyDescent="0.25">
      <c r="C25" s="196">
        <v>20</v>
      </c>
      <c r="D25" s="455">
        <f t="shared" si="2"/>
        <v>28000</v>
      </c>
      <c r="E25" s="456">
        <f t="shared" si="2"/>
        <v>28800</v>
      </c>
      <c r="F25" s="456">
        <f t="shared" si="2"/>
        <v>29700</v>
      </c>
      <c r="G25" s="457">
        <f t="shared" si="2"/>
        <v>30600</v>
      </c>
      <c r="H25" s="458">
        <f t="shared" si="2"/>
        <v>31500</v>
      </c>
      <c r="I25" s="456">
        <f t="shared" si="2"/>
        <v>36300</v>
      </c>
      <c r="J25" s="456">
        <f t="shared" si="2"/>
        <v>37500</v>
      </c>
      <c r="K25" s="456">
        <f t="shared" si="2"/>
        <v>44600</v>
      </c>
      <c r="L25" s="456">
        <f t="shared" si="2"/>
        <v>47800</v>
      </c>
      <c r="M25" s="456">
        <f t="shared" si="1"/>
        <v>60800</v>
      </c>
      <c r="N25" s="459">
        <f t="shared" si="1"/>
        <v>66000</v>
      </c>
      <c r="O25" s="455">
        <f t="shared" si="1"/>
        <v>75100</v>
      </c>
      <c r="P25" s="456">
        <f t="shared" si="1"/>
        <v>83600</v>
      </c>
      <c r="Q25" s="457">
        <f t="shared" si="1"/>
        <v>94800</v>
      </c>
      <c r="R25" s="458">
        <f t="shared" si="1"/>
        <v>113600</v>
      </c>
      <c r="S25" s="456">
        <f t="shared" si="1"/>
        <v>120000</v>
      </c>
      <c r="T25" s="456">
        <f t="shared" si="1"/>
        <v>123700</v>
      </c>
      <c r="U25" s="456">
        <f t="shared" si="1"/>
        <v>126400</v>
      </c>
      <c r="V25" s="457">
        <f t="shared" si="1"/>
        <v>134800</v>
      </c>
    </row>
    <row r="26" spans="3:22" x14ac:dyDescent="0.25">
      <c r="C26" s="196">
        <v>21</v>
      </c>
      <c r="D26" s="455">
        <f t="shared" si="2"/>
        <v>28800</v>
      </c>
      <c r="E26" s="456">
        <f t="shared" si="2"/>
        <v>29700</v>
      </c>
      <c r="F26" s="456">
        <f t="shared" si="2"/>
        <v>30600</v>
      </c>
      <c r="G26" s="457">
        <f t="shared" si="2"/>
        <v>31500</v>
      </c>
      <c r="H26" s="458">
        <f t="shared" si="2"/>
        <v>32400</v>
      </c>
      <c r="I26" s="456">
        <f t="shared" si="2"/>
        <v>37400</v>
      </c>
      <c r="J26" s="456">
        <f t="shared" si="2"/>
        <v>38600</v>
      </c>
      <c r="K26" s="456">
        <f t="shared" si="2"/>
        <v>45900</v>
      </c>
      <c r="L26" s="456">
        <f t="shared" si="2"/>
        <v>49200</v>
      </c>
      <c r="M26" s="456">
        <f t="shared" si="1"/>
        <v>62600</v>
      </c>
      <c r="N26" s="459">
        <f t="shared" si="1"/>
        <v>68000</v>
      </c>
      <c r="O26" s="455">
        <f t="shared" si="1"/>
        <v>77400</v>
      </c>
      <c r="P26" s="456">
        <f t="shared" si="1"/>
        <v>86100</v>
      </c>
      <c r="Q26" s="457">
        <f t="shared" si="1"/>
        <v>97600</v>
      </c>
      <c r="R26" s="458">
        <f t="shared" si="1"/>
        <v>117000</v>
      </c>
      <c r="S26" s="456">
        <f t="shared" si="1"/>
        <v>123600</v>
      </c>
      <c r="T26" s="456">
        <f t="shared" si="1"/>
        <v>127400</v>
      </c>
      <c r="U26" s="456">
        <f t="shared" si="1"/>
        <v>130200</v>
      </c>
      <c r="V26" s="457">
        <f t="shared" si="1"/>
        <v>138800</v>
      </c>
    </row>
    <row r="27" spans="3:22" x14ac:dyDescent="0.25">
      <c r="C27" s="196">
        <v>22</v>
      </c>
      <c r="D27" s="455">
        <f t="shared" si="2"/>
        <v>29700</v>
      </c>
      <c r="E27" s="456">
        <f t="shared" si="2"/>
        <v>30600</v>
      </c>
      <c r="F27" s="456">
        <f t="shared" si="2"/>
        <v>31500</v>
      </c>
      <c r="G27" s="457">
        <f t="shared" si="2"/>
        <v>32400</v>
      </c>
      <c r="H27" s="458">
        <f t="shared" si="2"/>
        <v>33400</v>
      </c>
      <c r="I27" s="456">
        <f t="shared" si="2"/>
        <v>38500</v>
      </c>
      <c r="J27" s="456">
        <f t="shared" si="2"/>
        <v>39800</v>
      </c>
      <c r="K27" s="456">
        <f t="shared" si="2"/>
        <v>47300</v>
      </c>
      <c r="L27" s="456">
        <f t="shared" si="2"/>
        <v>50700</v>
      </c>
      <c r="M27" s="456">
        <f t="shared" si="2"/>
        <v>64500</v>
      </c>
      <c r="N27" s="459">
        <f t="shared" si="2"/>
        <v>70000</v>
      </c>
      <c r="O27" s="455">
        <f t="shared" si="2"/>
        <v>79700</v>
      </c>
      <c r="P27" s="456">
        <f t="shared" si="2"/>
        <v>88700</v>
      </c>
      <c r="Q27" s="457">
        <f t="shared" si="2"/>
        <v>100500</v>
      </c>
      <c r="R27" s="458">
        <f t="shared" si="2"/>
        <v>120500</v>
      </c>
      <c r="S27" s="456">
        <f t="shared" si="2"/>
        <v>127300</v>
      </c>
      <c r="T27" s="456">
        <f t="shared" si="1"/>
        <v>131200</v>
      </c>
      <c r="U27" s="456">
        <f t="shared" si="1"/>
        <v>134100</v>
      </c>
      <c r="V27" s="457">
        <f t="shared" si="1"/>
        <v>143000</v>
      </c>
    </row>
    <row r="28" spans="3:22" x14ac:dyDescent="0.25">
      <c r="C28" s="196">
        <v>23</v>
      </c>
      <c r="D28" s="455">
        <f t="shared" si="2"/>
        <v>30600</v>
      </c>
      <c r="E28" s="456">
        <f t="shared" si="2"/>
        <v>31500</v>
      </c>
      <c r="F28" s="456">
        <f t="shared" si="2"/>
        <v>32400</v>
      </c>
      <c r="G28" s="457">
        <f t="shared" si="2"/>
        <v>33400</v>
      </c>
      <c r="H28" s="458">
        <f t="shared" si="2"/>
        <v>34400</v>
      </c>
      <c r="I28" s="456">
        <f t="shared" si="2"/>
        <v>39700</v>
      </c>
      <c r="J28" s="456">
        <f t="shared" si="2"/>
        <v>41000</v>
      </c>
      <c r="K28" s="456">
        <f t="shared" si="2"/>
        <v>48700</v>
      </c>
      <c r="L28" s="456">
        <f t="shared" si="2"/>
        <v>52200</v>
      </c>
      <c r="M28" s="456">
        <f t="shared" si="2"/>
        <v>66400</v>
      </c>
      <c r="N28" s="459">
        <f t="shared" si="2"/>
        <v>72100</v>
      </c>
      <c r="O28" s="455">
        <f t="shared" si="2"/>
        <v>82100</v>
      </c>
      <c r="P28" s="456">
        <f t="shared" si="2"/>
        <v>91400</v>
      </c>
      <c r="Q28" s="457">
        <f t="shared" si="2"/>
        <v>103500</v>
      </c>
      <c r="R28" s="458">
        <f t="shared" si="2"/>
        <v>124100</v>
      </c>
      <c r="S28" s="456">
        <f t="shared" si="2"/>
        <v>131100</v>
      </c>
      <c r="T28" s="456">
        <f t="shared" si="1"/>
        <v>135100</v>
      </c>
      <c r="U28" s="456">
        <f t="shared" si="1"/>
        <v>138100</v>
      </c>
      <c r="V28" s="457">
        <f t="shared" si="1"/>
        <v>147300</v>
      </c>
    </row>
    <row r="29" spans="3:22" x14ac:dyDescent="0.25">
      <c r="C29" s="196">
        <v>24</v>
      </c>
      <c r="D29" s="455">
        <f t="shared" si="2"/>
        <v>31500</v>
      </c>
      <c r="E29" s="456">
        <f t="shared" si="2"/>
        <v>32400</v>
      </c>
      <c r="F29" s="456">
        <f t="shared" si="2"/>
        <v>33400</v>
      </c>
      <c r="G29" s="457">
        <f t="shared" si="2"/>
        <v>34400</v>
      </c>
      <c r="H29" s="458">
        <f t="shared" si="2"/>
        <v>35400</v>
      </c>
      <c r="I29" s="456">
        <f t="shared" si="2"/>
        <v>40900</v>
      </c>
      <c r="J29" s="456">
        <f t="shared" si="2"/>
        <v>42200</v>
      </c>
      <c r="K29" s="456">
        <f t="shared" si="2"/>
        <v>50200</v>
      </c>
      <c r="L29" s="456">
        <f t="shared" si="2"/>
        <v>53800</v>
      </c>
      <c r="M29" s="456">
        <f t="shared" si="2"/>
        <v>68400</v>
      </c>
      <c r="N29" s="459">
        <f t="shared" si="2"/>
        <v>74300</v>
      </c>
      <c r="O29" s="455">
        <f t="shared" si="2"/>
        <v>84600</v>
      </c>
      <c r="P29" s="456">
        <f t="shared" si="2"/>
        <v>94100</v>
      </c>
      <c r="Q29" s="457">
        <f t="shared" si="2"/>
        <v>106600</v>
      </c>
      <c r="R29" s="458">
        <f t="shared" si="2"/>
        <v>127800</v>
      </c>
      <c r="S29" s="456">
        <f t="shared" si="2"/>
        <v>135000</v>
      </c>
      <c r="T29" s="456">
        <f t="shared" si="1"/>
        <v>139200</v>
      </c>
      <c r="U29" s="456">
        <f t="shared" si="1"/>
        <v>142200</v>
      </c>
      <c r="V29" s="457">
        <f t="shared" si="1"/>
        <v>151700</v>
      </c>
    </row>
    <row r="30" spans="3:22" x14ac:dyDescent="0.25">
      <c r="C30" s="196">
        <v>25</v>
      </c>
      <c r="D30" s="455">
        <f t="shared" si="2"/>
        <v>32400</v>
      </c>
      <c r="E30" s="456">
        <f t="shared" si="2"/>
        <v>33400</v>
      </c>
      <c r="F30" s="456">
        <f t="shared" si="2"/>
        <v>34400</v>
      </c>
      <c r="G30" s="457">
        <f t="shared" si="2"/>
        <v>35400</v>
      </c>
      <c r="H30" s="458">
        <f t="shared" si="2"/>
        <v>36500</v>
      </c>
      <c r="I30" s="456">
        <f t="shared" si="2"/>
        <v>42100</v>
      </c>
      <c r="J30" s="456">
        <f t="shared" si="2"/>
        <v>43500</v>
      </c>
      <c r="K30" s="456">
        <f t="shared" si="2"/>
        <v>51700</v>
      </c>
      <c r="L30" s="456">
        <f t="shared" si="2"/>
        <v>55400</v>
      </c>
      <c r="M30" s="456">
        <f t="shared" si="2"/>
        <v>70500</v>
      </c>
      <c r="N30" s="459">
        <f t="shared" si="2"/>
        <v>76500</v>
      </c>
      <c r="O30" s="455">
        <f t="shared" si="2"/>
        <v>87100</v>
      </c>
      <c r="P30" s="456">
        <f t="shared" si="2"/>
        <v>96900</v>
      </c>
      <c r="Q30" s="457">
        <f t="shared" si="2"/>
        <v>109800</v>
      </c>
      <c r="R30" s="458">
        <f t="shared" si="2"/>
        <v>131600</v>
      </c>
      <c r="S30" s="456">
        <f t="shared" si="2"/>
        <v>139100</v>
      </c>
      <c r="T30" s="456">
        <f t="shared" si="1"/>
        <v>143400</v>
      </c>
      <c r="U30" s="456">
        <f t="shared" si="1"/>
        <v>146500</v>
      </c>
      <c r="V30" s="457">
        <f t="shared" si="1"/>
        <v>156300</v>
      </c>
    </row>
    <row r="31" spans="3:22" x14ac:dyDescent="0.25">
      <c r="C31" s="196">
        <v>26</v>
      </c>
      <c r="D31" s="455">
        <f t="shared" si="2"/>
        <v>33400</v>
      </c>
      <c r="E31" s="456">
        <f t="shared" si="2"/>
        <v>34400</v>
      </c>
      <c r="F31" s="456">
        <f t="shared" si="2"/>
        <v>35400</v>
      </c>
      <c r="G31" s="457">
        <f t="shared" si="2"/>
        <v>36500</v>
      </c>
      <c r="H31" s="458">
        <f t="shared" si="2"/>
        <v>37600</v>
      </c>
      <c r="I31" s="456">
        <f t="shared" si="2"/>
        <v>43400</v>
      </c>
      <c r="J31" s="456">
        <f t="shared" si="2"/>
        <v>44800</v>
      </c>
      <c r="K31" s="456">
        <f t="shared" si="2"/>
        <v>53300</v>
      </c>
      <c r="L31" s="456">
        <f t="shared" si="2"/>
        <v>57100</v>
      </c>
      <c r="M31" s="456">
        <f t="shared" si="2"/>
        <v>72600</v>
      </c>
      <c r="N31" s="459">
        <f t="shared" si="2"/>
        <v>78800</v>
      </c>
      <c r="O31" s="455">
        <f t="shared" si="2"/>
        <v>89700</v>
      </c>
      <c r="P31" s="456">
        <f t="shared" si="2"/>
        <v>99800</v>
      </c>
      <c r="Q31" s="457">
        <f t="shared" si="2"/>
        <v>113100</v>
      </c>
      <c r="R31" s="458">
        <f t="shared" si="2"/>
        <v>135500</v>
      </c>
      <c r="S31" s="456">
        <f t="shared" si="2"/>
        <v>143300</v>
      </c>
      <c r="T31" s="456">
        <f t="shared" si="1"/>
        <v>147700</v>
      </c>
      <c r="U31" s="456">
        <f t="shared" si="1"/>
        <v>150900</v>
      </c>
      <c r="V31" s="457">
        <f t="shared" si="1"/>
        <v>161000</v>
      </c>
    </row>
    <row r="32" spans="3:22" x14ac:dyDescent="0.25">
      <c r="C32" s="196">
        <v>27</v>
      </c>
      <c r="D32" s="455">
        <f t="shared" si="2"/>
        <v>34400</v>
      </c>
      <c r="E32" s="456">
        <f t="shared" si="2"/>
        <v>35400</v>
      </c>
      <c r="F32" s="456">
        <f t="shared" si="2"/>
        <v>36500</v>
      </c>
      <c r="G32" s="457">
        <f t="shared" si="2"/>
        <v>37600</v>
      </c>
      <c r="H32" s="458">
        <f t="shared" si="2"/>
        <v>38700</v>
      </c>
      <c r="I32" s="456">
        <f t="shared" si="2"/>
        <v>44700</v>
      </c>
      <c r="J32" s="456">
        <f t="shared" si="2"/>
        <v>46100</v>
      </c>
      <c r="K32" s="456">
        <f t="shared" si="2"/>
        <v>54900</v>
      </c>
      <c r="L32" s="456">
        <f t="shared" si="2"/>
        <v>58800</v>
      </c>
      <c r="M32" s="456">
        <f t="shared" si="2"/>
        <v>74800</v>
      </c>
      <c r="N32" s="459">
        <f t="shared" si="2"/>
        <v>81200</v>
      </c>
      <c r="O32" s="455">
        <f t="shared" si="2"/>
        <v>92400</v>
      </c>
      <c r="P32" s="456">
        <f t="shared" si="2"/>
        <v>102800</v>
      </c>
      <c r="Q32" s="457">
        <f t="shared" si="2"/>
        <v>116500</v>
      </c>
      <c r="R32" s="458">
        <f t="shared" si="2"/>
        <v>139600</v>
      </c>
      <c r="S32" s="456">
        <f t="shared" si="2"/>
        <v>147600</v>
      </c>
      <c r="T32" s="456">
        <f t="shared" si="1"/>
        <v>152100</v>
      </c>
      <c r="U32" s="456">
        <f t="shared" si="1"/>
        <v>155400</v>
      </c>
      <c r="V32" s="457">
        <f t="shared" si="1"/>
        <v>165800</v>
      </c>
    </row>
    <row r="33" spans="3:22" x14ac:dyDescent="0.25">
      <c r="C33" s="196">
        <v>28</v>
      </c>
      <c r="D33" s="455">
        <f t="shared" si="2"/>
        <v>35400</v>
      </c>
      <c r="E33" s="456">
        <f t="shared" si="2"/>
        <v>36500</v>
      </c>
      <c r="F33" s="456">
        <f t="shared" si="2"/>
        <v>37600</v>
      </c>
      <c r="G33" s="457">
        <f t="shared" si="2"/>
        <v>38700</v>
      </c>
      <c r="H33" s="458">
        <f t="shared" si="2"/>
        <v>39900</v>
      </c>
      <c r="I33" s="456">
        <f t="shared" si="2"/>
        <v>46000</v>
      </c>
      <c r="J33" s="456">
        <f t="shared" si="2"/>
        <v>47500</v>
      </c>
      <c r="K33" s="456">
        <f t="shared" si="2"/>
        <v>56500</v>
      </c>
      <c r="L33" s="456">
        <f t="shared" si="2"/>
        <v>60600</v>
      </c>
      <c r="M33" s="456">
        <f t="shared" si="2"/>
        <v>77000</v>
      </c>
      <c r="N33" s="459">
        <f t="shared" si="2"/>
        <v>83600</v>
      </c>
      <c r="O33" s="455">
        <f t="shared" si="2"/>
        <v>95200</v>
      </c>
      <c r="P33" s="456">
        <f t="shared" si="2"/>
        <v>105900</v>
      </c>
      <c r="Q33" s="457">
        <f t="shared" si="2"/>
        <v>120000</v>
      </c>
      <c r="R33" s="458">
        <f t="shared" si="2"/>
        <v>143800</v>
      </c>
      <c r="S33" s="456">
        <f t="shared" si="2"/>
        <v>152000</v>
      </c>
      <c r="T33" s="456">
        <f t="shared" si="1"/>
        <v>156700</v>
      </c>
      <c r="U33" s="456">
        <f t="shared" si="1"/>
        <v>160100</v>
      </c>
      <c r="V33" s="457">
        <f t="shared" si="1"/>
        <v>170800</v>
      </c>
    </row>
    <row r="34" spans="3:22" x14ac:dyDescent="0.25">
      <c r="C34" s="196">
        <v>29</v>
      </c>
      <c r="D34" s="455">
        <f t="shared" si="2"/>
        <v>36500</v>
      </c>
      <c r="E34" s="456">
        <f t="shared" si="2"/>
        <v>37600</v>
      </c>
      <c r="F34" s="456">
        <f t="shared" si="2"/>
        <v>38700</v>
      </c>
      <c r="G34" s="457">
        <f t="shared" si="2"/>
        <v>39900</v>
      </c>
      <c r="H34" s="458">
        <f t="shared" si="2"/>
        <v>41100</v>
      </c>
      <c r="I34" s="456">
        <f t="shared" si="2"/>
        <v>47400</v>
      </c>
      <c r="J34" s="456">
        <f t="shared" si="2"/>
        <v>48900</v>
      </c>
      <c r="K34" s="456">
        <f t="shared" si="2"/>
        <v>58200</v>
      </c>
      <c r="L34" s="456">
        <f t="shared" si="2"/>
        <v>62400</v>
      </c>
      <c r="M34" s="456">
        <f t="shared" si="2"/>
        <v>79300</v>
      </c>
      <c r="N34" s="459">
        <f t="shared" si="2"/>
        <v>86100</v>
      </c>
      <c r="O34" s="455">
        <f t="shared" si="2"/>
        <v>98100</v>
      </c>
      <c r="P34" s="456">
        <f t="shared" si="2"/>
        <v>109100</v>
      </c>
      <c r="Q34" s="457">
        <f t="shared" si="2"/>
        <v>123600</v>
      </c>
      <c r="R34" s="458">
        <f t="shared" si="2"/>
        <v>148100</v>
      </c>
      <c r="S34" s="456">
        <f t="shared" si="2"/>
        <v>156600</v>
      </c>
      <c r="T34" s="456">
        <f t="shared" si="1"/>
        <v>161400</v>
      </c>
      <c r="U34" s="456">
        <f t="shared" si="1"/>
        <v>164900</v>
      </c>
      <c r="V34" s="457">
        <f t="shared" si="1"/>
        <v>175900</v>
      </c>
    </row>
    <row r="35" spans="3:22" x14ac:dyDescent="0.25">
      <c r="C35" s="196">
        <v>30</v>
      </c>
      <c r="D35" s="455">
        <f t="shared" ref="D35:V35" si="3">MROUND(D34*3%+D34,100)</f>
        <v>37600</v>
      </c>
      <c r="E35" s="456">
        <f t="shared" si="3"/>
        <v>38700</v>
      </c>
      <c r="F35" s="456">
        <f t="shared" si="3"/>
        <v>39900</v>
      </c>
      <c r="G35" s="457">
        <f t="shared" si="3"/>
        <v>41100</v>
      </c>
      <c r="H35" s="458">
        <f t="shared" si="3"/>
        <v>42300</v>
      </c>
      <c r="I35" s="456">
        <f t="shared" si="3"/>
        <v>48800</v>
      </c>
      <c r="J35" s="456">
        <f t="shared" si="3"/>
        <v>50400</v>
      </c>
      <c r="K35" s="456">
        <f t="shared" si="3"/>
        <v>59900</v>
      </c>
      <c r="L35" s="456">
        <f t="shared" si="3"/>
        <v>64300</v>
      </c>
      <c r="M35" s="456">
        <f t="shared" si="3"/>
        <v>81700</v>
      </c>
      <c r="N35" s="459">
        <f t="shared" si="3"/>
        <v>88700</v>
      </c>
      <c r="O35" s="455">
        <f t="shared" si="3"/>
        <v>101000</v>
      </c>
      <c r="P35" s="456">
        <f t="shared" si="3"/>
        <v>112400</v>
      </c>
      <c r="Q35" s="457">
        <f t="shared" si="3"/>
        <v>127300</v>
      </c>
      <c r="R35" s="458">
        <f t="shared" si="3"/>
        <v>152500</v>
      </c>
      <c r="S35" s="456">
        <f t="shared" si="3"/>
        <v>161300</v>
      </c>
      <c r="T35" s="456">
        <f t="shared" si="3"/>
        <v>166200</v>
      </c>
      <c r="U35" s="456">
        <f t="shared" si="3"/>
        <v>169800</v>
      </c>
      <c r="V35" s="457">
        <f t="shared" si="3"/>
        <v>181200</v>
      </c>
    </row>
    <row r="36" spans="3:22" x14ac:dyDescent="0.25">
      <c r="C36" s="196">
        <v>31</v>
      </c>
      <c r="D36" s="455">
        <f t="shared" ref="D36:V36" si="4">MROUND(D35*3%+D35,100)</f>
        <v>38700</v>
      </c>
      <c r="E36" s="456">
        <f t="shared" si="4"/>
        <v>39900</v>
      </c>
      <c r="F36" s="456">
        <f t="shared" si="4"/>
        <v>41100</v>
      </c>
      <c r="G36" s="457">
        <f t="shared" si="4"/>
        <v>42300</v>
      </c>
      <c r="H36" s="458">
        <f t="shared" si="4"/>
        <v>43600</v>
      </c>
      <c r="I36" s="456">
        <f t="shared" si="4"/>
        <v>50300</v>
      </c>
      <c r="J36" s="456">
        <f t="shared" si="4"/>
        <v>51900</v>
      </c>
      <c r="K36" s="456">
        <f t="shared" si="4"/>
        <v>61700</v>
      </c>
      <c r="L36" s="456">
        <f t="shared" si="4"/>
        <v>66200</v>
      </c>
      <c r="M36" s="456">
        <f t="shared" si="4"/>
        <v>84200</v>
      </c>
      <c r="N36" s="459">
        <f t="shared" si="4"/>
        <v>91400</v>
      </c>
      <c r="O36" s="455">
        <f t="shared" si="4"/>
        <v>104000</v>
      </c>
      <c r="P36" s="456">
        <f t="shared" si="4"/>
        <v>115800</v>
      </c>
      <c r="Q36" s="457">
        <f t="shared" si="4"/>
        <v>131100</v>
      </c>
      <c r="R36" s="458">
        <f t="shared" si="4"/>
        <v>157100</v>
      </c>
      <c r="S36" s="456">
        <f t="shared" si="4"/>
        <v>166100</v>
      </c>
      <c r="T36" s="456">
        <f t="shared" si="4"/>
        <v>171200</v>
      </c>
      <c r="U36" s="456">
        <f t="shared" si="4"/>
        <v>174900</v>
      </c>
      <c r="V36" s="457">
        <f t="shared" si="4"/>
        <v>186600</v>
      </c>
    </row>
    <row r="37" spans="3:22" x14ac:dyDescent="0.25">
      <c r="C37" s="196">
        <v>32</v>
      </c>
      <c r="D37" s="455">
        <f t="shared" ref="D37:V37" si="5">MROUND(D36*3%+D36,100)</f>
        <v>39900</v>
      </c>
      <c r="E37" s="456">
        <f t="shared" si="5"/>
        <v>41100</v>
      </c>
      <c r="F37" s="456">
        <f t="shared" si="5"/>
        <v>42300</v>
      </c>
      <c r="G37" s="457">
        <f t="shared" si="5"/>
        <v>43600</v>
      </c>
      <c r="H37" s="458">
        <f t="shared" si="5"/>
        <v>44900</v>
      </c>
      <c r="I37" s="456">
        <f t="shared" si="5"/>
        <v>51800</v>
      </c>
      <c r="J37" s="456">
        <f t="shared" si="5"/>
        <v>53500</v>
      </c>
      <c r="K37" s="456">
        <f t="shared" si="5"/>
        <v>63600</v>
      </c>
      <c r="L37" s="456">
        <f t="shared" si="5"/>
        <v>68200</v>
      </c>
      <c r="M37" s="456">
        <f t="shared" si="5"/>
        <v>86700</v>
      </c>
      <c r="N37" s="459">
        <f t="shared" si="5"/>
        <v>94100</v>
      </c>
      <c r="O37" s="455">
        <f t="shared" si="5"/>
        <v>107100</v>
      </c>
      <c r="P37" s="456">
        <f t="shared" si="5"/>
        <v>119300</v>
      </c>
      <c r="Q37" s="457">
        <f t="shared" si="5"/>
        <v>135000</v>
      </c>
      <c r="R37" s="458">
        <f t="shared" si="5"/>
        <v>161800</v>
      </c>
      <c r="S37" s="456">
        <f t="shared" si="5"/>
        <v>171100</v>
      </c>
      <c r="T37" s="456">
        <f t="shared" si="5"/>
        <v>176300</v>
      </c>
      <c r="U37" s="456">
        <f t="shared" si="5"/>
        <v>180100</v>
      </c>
      <c r="V37" s="457">
        <f t="shared" si="5"/>
        <v>192200</v>
      </c>
    </row>
    <row r="38" spans="3:22" x14ac:dyDescent="0.25">
      <c r="C38" s="196">
        <v>33</v>
      </c>
      <c r="D38" s="455">
        <f t="shared" ref="D38:V38" si="6">MROUND(D37*3%+D37,100)</f>
        <v>41100</v>
      </c>
      <c r="E38" s="456">
        <f t="shared" si="6"/>
        <v>42300</v>
      </c>
      <c r="F38" s="456">
        <f t="shared" si="6"/>
        <v>43600</v>
      </c>
      <c r="G38" s="457">
        <f t="shared" si="6"/>
        <v>44900</v>
      </c>
      <c r="H38" s="458">
        <f t="shared" si="6"/>
        <v>46200</v>
      </c>
      <c r="I38" s="456">
        <f t="shared" si="6"/>
        <v>53400</v>
      </c>
      <c r="J38" s="456">
        <f t="shared" si="6"/>
        <v>55100</v>
      </c>
      <c r="K38" s="456">
        <f t="shared" si="6"/>
        <v>65500</v>
      </c>
      <c r="L38" s="456">
        <f t="shared" si="6"/>
        <v>70200</v>
      </c>
      <c r="M38" s="456">
        <f t="shared" si="6"/>
        <v>89300</v>
      </c>
      <c r="N38" s="459">
        <f t="shared" si="6"/>
        <v>96900</v>
      </c>
      <c r="O38" s="455">
        <f t="shared" si="6"/>
        <v>110300</v>
      </c>
      <c r="P38" s="456">
        <f t="shared" si="6"/>
        <v>122900</v>
      </c>
      <c r="Q38" s="457">
        <f t="shared" si="6"/>
        <v>139100</v>
      </c>
      <c r="R38" s="458">
        <f t="shared" si="6"/>
        <v>166700</v>
      </c>
      <c r="S38" s="456">
        <f t="shared" si="6"/>
        <v>176200</v>
      </c>
      <c r="T38" s="456">
        <f t="shared" si="6"/>
        <v>181600</v>
      </c>
      <c r="U38" s="456">
        <f t="shared" si="6"/>
        <v>185500</v>
      </c>
      <c r="V38" s="457">
        <f t="shared" si="6"/>
        <v>198000</v>
      </c>
    </row>
    <row r="39" spans="3:22" x14ac:dyDescent="0.25">
      <c r="C39" s="196">
        <v>34</v>
      </c>
      <c r="D39" s="455">
        <f t="shared" ref="D39:V39" si="7">MROUND(D38*3%+D38,100)</f>
        <v>42300</v>
      </c>
      <c r="E39" s="456">
        <f t="shared" si="7"/>
        <v>43600</v>
      </c>
      <c r="F39" s="456">
        <f t="shared" si="7"/>
        <v>44900</v>
      </c>
      <c r="G39" s="457">
        <f t="shared" si="7"/>
        <v>46200</v>
      </c>
      <c r="H39" s="458">
        <f t="shared" si="7"/>
        <v>47600</v>
      </c>
      <c r="I39" s="456">
        <f t="shared" si="7"/>
        <v>55000</v>
      </c>
      <c r="J39" s="456">
        <f t="shared" si="7"/>
        <v>56800</v>
      </c>
      <c r="K39" s="456">
        <f t="shared" si="7"/>
        <v>67500</v>
      </c>
      <c r="L39" s="456">
        <f t="shared" si="7"/>
        <v>72300</v>
      </c>
      <c r="M39" s="456">
        <f t="shared" si="7"/>
        <v>92000</v>
      </c>
      <c r="N39" s="459">
        <f t="shared" si="7"/>
        <v>99800</v>
      </c>
      <c r="O39" s="455">
        <f t="shared" si="7"/>
        <v>113600</v>
      </c>
      <c r="P39" s="456">
        <f t="shared" si="7"/>
        <v>126600</v>
      </c>
      <c r="Q39" s="457">
        <f t="shared" si="7"/>
        <v>143300</v>
      </c>
      <c r="R39" s="458">
        <f t="shared" si="7"/>
        <v>171700</v>
      </c>
      <c r="S39" s="456">
        <f t="shared" si="7"/>
        <v>181500</v>
      </c>
      <c r="T39" s="456">
        <f t="shared" si="7"/>
        <v>187000</v>
      </c>
      <c r="U39" s="456">
        <f t="shared" si="7"/>
        <v>191100</v>
      </c>
      <c r="V39" s="457">
        <f t="shared" si="7"/>
        <v>203900</v>
      </c>
    </row>
    <row r="40" spans="3:22" x14ac:dyDescent="0.25">
      <c r="C40" s="196">
        <v>35</v>
      </c>
      <c r="D40" s="455">
        <f t="shared" ref="D40:V40" si="8">MROUND(D39*3%+D39,100)</f>
        <v>43600</v>
      </c>
      <c r="E40" s="456">
        <f t="shared" si="8"/>
        <v>44900</v>
      </c>
      <c r="F40" s="456">
        <f t="shared" si="8"/>
        <v>46200</v>
      </c>
      <c r="G40" s="457">
        <f t="shared" si="8"/>
        <v>47600</v>
      </c>
      <c r="H40" s="458">
        <f t="shared" si="8"/>
        <v>49000</v>
      </c>
      <c r="I40" s="456">
        <f t="shared" si="8"/>
        <v>56700</v>
      </c>
      <c r="J40" s="456">
        <f t="shared" si="8"/>
        <v>58500</v>
      </c>
      <c r="K40" s="456">
        <f t="shared" si="8"/>
        <v>69500</v>
      </c>
      <c r="L40" s="456">
        <f t="shared" si="8"/>
        <v>74500</v>
      </c>
      <c r="M40" s="456">
        <f t="shared" si="8"/>
        <v>94800</v>
      </c>
      <c r="N40" s="459">
        <f t="shared" si="8"/>
        <v>102800</v>
      </c>
      <c r="O40" s="455">
        <f t="shared" si="8"/>
        <v>117000</v>
      </c>
      <c r="P40" s="456">
        <f t="shared" si="8"/>
        <v>130400</v>
      </c>
      <c r="Q40" s="457">
        <f t="shared" si="8"/>
        <v>147600</v>
      </c>
      <c r="R40" s="458">
        <f t="shared" si="8"/>
        <v>176900</v>
      </c>
      <c r="S40" s="456">
        <f t="shared" si="8"/>
        <v>186900</v>
      </c>
      <c r="T40" s="456">
        <f t="shared" si="8"/>
        <v>192600</v>
      </c>
      <c r="U40" s="456">
        <f t="shared" si="8"/>
        <v>196800</v>
      </c>
      <c r="V40" s="457">
        <f t="shared" si="8"/>
        <v>210000</v>
      </c>
    </row>
    <row r="41" spans="3:22" x14ac:dyDescent="0.25">
      <c r="C41" s="196">
        <v>36</v>
      </c>
      <c r="D41" s="455">
        <f t="shared" ref="D41:V41" si="9">MROUND(D40*3%+D40,100)</f>
        <v>44900</v>
      </c>
      <c r="E41" s="456">
        <f t="shared" si="9"/>
        <v>46200</v>
      </c>
      <c r="F41" s="456">
        <f t="shared" si="9"/>
        <v>47600</v>
      </c>
      <c r="G41" s="457">
        <f t="shared" si="9"/>
        <v>49000</v>
      </c>
      <c r="H41" s="458">
        <f t="shared" si="9"/>
        <v>50500</v>
      </c>
      <c r="I41" s="456">
        <f t="shared" si="9"/>
        <v>58400</v>
      </c>
      <c r="J41" s="456">
        <f t="shared" si="9"/>
        <v>60300</v>
      </c>
      <c r="K41" s="456">
        <f t="shared" si="9"/>
        <v>71600</v>
      </c>
      <c r="L41" s="456">
        <f t="shared" si="9"/>
        <v>76700</v>
      </c>
      <c r="M41" s="456">
        <f t="shared" si="9"/>
        <v>97600</v>
      </c>
      <c r="N41" s="459">
        <f t="shared" si="9"/>
        <v>105900</v>
      </c>
      <c r="O41" s="455">
        <f t="shared" si="9"/>
        <v>120500</v>
      </c>
      <c r="P41" s="456">
        <f t="shared" si="9"/>
        <v>134300</v>
      </c>
      <c r="Q41" s="457">
        <f t="shared" si="9"/>
        <v>152000</v>
      </c>
      <c r="R41" s="458">
        <f t="shared" si="9"/>
        <v>182200</v>
      </c>
      <c r="S41" s="456">
        <f t="shared" si="9"/>
        <v>192500</v>
      </c>
      <c r="T41" s="456">
        <f t="shared" si="9"/>
        <v>198400</v>
      </c>
      <c r="U41" s="456">
        <f t="shared" si="9"/>
        <v>202700</v>
      </c>
      <c r="V41" s="457">
        <f t="shared" si="9"/>
        <v>216300</v>
      </c>
    </row>
    <row r="42" spans="3:22" x14ac:dyDescent="0.25">
      <c r="C42" s="196">
        <v>37</v>
      </c>
      <c r="D42" s="455">
        <f t="shared" ref="D42:V42" si="10">MROUND(D41*3%+D41,100)</f>
        <v>46200</v>
      </c>
      <c r="E42" s="456">
        <f t="shared" si="10"/>
        <v>47600</v>
      </c>
      <c r="F42" s="456">
        <f t="shared" si="10"/>
        <v>49000</v>
      </c>
      <c r="G42" s="457">
        <f t="shared" si="10"/>
        <v>50500</v>
      </c>
      <c r="H42" s="458">
        <f t="shared" si="10"/>
        <v>52000</v>
      </c>
      <c r="I42" s="456">
        <f t="shared" si="10"/>
        <v>60200</v>
      </c>
      <c r="J42" s="456">
        <f t="shared" si="10"/>
        <v>62100</v>
      </c>
      <c r="K42" s="456">
        <f t="shared" si="10"/>
        <v>73700</v>
      </c>
      <c r="L42" s="456">
        <f t="shared" si="10"/>
        <v>79000</v>
      </c>
      <c r="M42" s="456">
        <f t="shared" si="10"/>
        <v>100500</v>
      </c>
      <c r="N42" s="459">
        <f t="shared" si="10"/>
        <v>109100</v>
      </c>
      <c r="O42" s="455">
        <f t="shared" si="10"/>
        <v>124100</v>
      </c>
      <c r="P42" s="456">
        <f t="shared" si="10"/>
        <v>138300</v>
      </c>
      <c r="Q42" s="457">
        <f t="shared" si="10"/>
        <v>156600</v>
      </c>
      <c r="R42" s="458">
        <f t="shared" si="10"/>
        <v>187700</v>
      </c>
      <c r="S42" s="456">
        <f t="shared" si="10"/>
        <v>198300</v>
      </c>
      <c r="T42" s="456">
        <f t="shared" si="10"/>
        <v>204400</v>
      </c>
      <c r="U42" s="456">
        <f t="shared" si="10"/>
        <v>208800</v>
      </c>
      <c r="V42" s="457">
        <f t="shared" si="10"/>
        <v>222800</v>
      </c>
    </row>
    <row r="43" spans="3:22" x14ac:dyDescent="0.25">
      <c r="C43" s="196">
        <v>38</v>
      </c>
      <c r="D43" s="455">
        <f t="shared" ref="D43:V43" si="11">MROUND(D42*3%+D42,100)</f>
        <v>47600</v>
      </c>
      <c r="E43" s="456">
        <f t="shared" si="11"/>
        <v>49000</v>
      </c>
      <c r="F43" s="456">
        <f t="shared" si="11"/>
        <v>50500</v>
      </c>
      <c r="G43" s="457">
        <f t="shared" si="11"/>
        <v>52000</v>
      </c>
      <c r="H43" s="458">
        <f t="shared" si="11"/>
        <v>53600</v>
      </c>
      <c r="I43" s="456">
        <f t="shared" si="11"/>
        <v>62000</v>
      </c>
      <c r="J43" s="456">
        <f t="shared" si="11"/>
        <v>64000</v>
      </c>
      <c r="K43" s="456">
        <f t="shared" si="11"/>
        <v>75900</v>
      </c>
      <c r="L43" s="456">
        <f t="shared" si="11"/>
        <v>81400</v>
      </c>
      <c r="M43" s="456">
        <f t="shared" si="11"/>
        <v>103500</v>
      </c>
      <c r="N43" s="459">
        <f t="shared" si="11"/>
        <v>112400</v>
      </c>
      <c r="O43" s="455">
        <f t="shared" si="11"/>
        <v>127800</v>
      </c>
      <c r="P43" s="456">
        <f t="shared" si="11"/>
        <v>142400</v>
      </c>
      <c r="Q43" s="457">
        <f t="shared" si="11"/>
        <v>161300</v>
      </c>
      <c r="R43" s="458">
        <f t="shared" si="11"/>
        <v>193300</v>
      </c>
      <c r="S43" s="456">
        <f t="shared" si="11"/>
        <v>204200</v>
      </c>
      <c r="T43" s="456">
        <f t="shared" si="11"/>
        <v>210500</v>
      </c>
      <c r="U43" s="456">
        <f t="shared" si="11"/>
        <v>215100</v>
      </c>
      <c r="V43" s="457">
        <f t="shared" si="11"/>
        <v>229500</v>
      </c>
    </row>
    <row r="44" spans="3:22" x14ac:dyDescent="0.25">
      <c r="C44" s="196">
        <v>39</v>
      </c>
      <c r="D44" s="455">
        <f t="shared" ref="D44:V44" si="12">MROUND(D43*3%+D43,100)</f>
        <v>49000</v>
      </c>
      <c r="E44" s="456">
        <f t="shared" si="12"/>
        <v>50500</v>
      </c>
      <c r="F44" s="456">
        <f t="shared" si="12"/>
        <v>52000</v>
      </c>
      <c r="G44" s="457">
        <f t="shared" si="12"/>
        <v>53600</v>
      </c>
      <c r="H44" s="458">
        <f t="shared" si="12"/>
        <v>55200</v>
      </c>
      <c r="I44" s="456">
        <f t="shared" si="12"/>
        <v>63900</v>
      </c>
      <c r="J44" s="456">
        <f t="shared" si="12"/>
        <v>65900</v>
      </c>
      <c r="K44" s="456">
        <f t="shared" si="12"/>
        <v>78200</v>
      </c>
      <c r="L44" s="456">
        <f t="shared" si="12"/>
        <v>83800</v>
      </c>
      <c r="M44" s="456">
        <f t="shared" si="12"/>
        <v>106600</v>
      </c>
      <c r="N44" s="459">
        <f t="shared" si="12"/>
        <v>115800</v>
      </c>
      <c r="O44" s="455">
        <f t="shared" si="12"/>
        <v>131600</v>
      </c>
      <c r="P44" s="456">
        <f t="shared" si="12"/>
        <v>146700</v>
      </c>
      <c r="Q44" s="457">
        <f t="shared" si="12"/>
        <v>166100</v>
      </c>
      <c r="R44" s="458">
        <f t="shared" si="12"/>
        <v>199100</v>
      </c>
      <c r="S44" s="456">
        <f t="shared" si="12"/>
        <v>210300</v>
      </c>
      <c r="T44" s="456">
        <f t="shared" si="12"/>
        <v>216800</v>
      </c>
      <c r="U44" s="456">
        <f t="shared" si="12"/>
        <v>221600</v>
      </c>
      <c r="V44" s="457">
        <f t="shared" si="12"/>
        <v>236400</v>
      </c>
    </row>
    <row r="45" spans="3:22" ht="15.75" thickBot="1" x14ac:dyDescent="0.3">
      <c r="C45" s="210">
        <v>40</v>
      </c>
      <c r="D45" s="460">
        <f t="shared" ref="D45:V45" si="13">MROUND(D44*3%+D44,100)</f>
        <v>50500</v>
      </c>
      <c r="E45" s="461">
        <f t="shared" si="13"/>
        <v>52000</v>
      </c>
      <c r="F45" s="461">
        <f t="shared" si="13"/>
        <v>53600</v>
      </c>
      <c r="G45" s="462">
        <f t="shared" si="13"/>
        <v>55200</v>
      </c>
      <c r="H45" s="463">
        <f t="shared" si="13"/>
        <v>56900</v>
      </c>
      <c r="I45" s="461">
        <f t="shared" si="13"/>
        <v>65800</v>
      </c>
      <c r="J45" s="461">
        <f t="shared" si="13"/>
        <v>67900</v>
      </c>
      <c r="K45" s="461">
        <f t="shared" si="13"/>
        <v>80500</v>
      </c>
      <c r="L45" s="461">
        <f t="shared" si="13"/>
        <v>86300</v>
      </c>
      <c r="M45" s="461">
        <f t="shared" si="13"/>
        <v>109800</v>
      </c>
      <c r="N45" s="464">
        <f t="shared" si="13"/>
        <v>119300</v>
      </c>
      <c r="O45" s="460">
        <f t="shared" si="13"/>
        <v>135500</v>
      </c>
      <c r="P45" s="461">
        <f t="shared" si="13"/>
        <v>151100</v>
      </c>
      <c r="Q45" s="462">
        <f t="shared" si="13"/>
        <v>171100</v>
      </c>
      <c r="R45" s="463">
        <f t="shared" si="13"/>
        <v>205100</v>
      </c>
      <c r="S45" s="461">
        <f t="shared" si="13"/>
        <v>216600</v>
      </c>
      <c r="T45" s="461">
        <f t="shared" si="13"/>
        <v>223300</v>
      </c>
      <c r="U45" s="461">
        <f t="shared" si="13"/>
        <v>228200</v>
      </c>
      <c r="V45" s="462">
        <f t="shared" si="13"/>
        <v>243500</v>
      </c>
    </row>
  </sheetData>
  <sheetProtection algorithmName="SHA-512" hashValue="8NZjrLssS/5WTFShzG8Mlk26BwDlI2kkewt7qR5RrfJ9h6uk424QHB/poy/sQvxAIwD1Rw98aJj5CAvPjb4d6A==" saltValue="aEQ9iRslJCr29F4egwuK6w==" spinCount="100000" sheet="1" objects="1" scenarios="1"/>
  <mergeCells count="5">
    <mergeCell ref="D2:G2"/>
    <mergeCell ref="H2:N2"/>
    <mergeCell ref="O2:Q2"/>
    <mergeCell ref="R2:V2"/>
    <mergeCell ref="G1:R1"/>
  </mergeCells>
  <pageMargins left="0.70866141732283472" right="0.70866141732283472" top="0.74803149606299213" bottom="0.74803149606299213" header="0.31496062992125984" footer="0.31496062992125984"/>
  <pageSetup paperSize="5" scale="6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9" tint="-0.249977111117893"/>
  </sheetPr>
  <dimension ref="A1:T171"/>
  <sheetViews>
    <sheetView topLeftCell="A92" zoomScaleNormal="100" workbookViewId="0">
      <selection activeCell="B102" sqref="B102:C102"/>
    </sheetView>
  </sheetViews>
  <sheetFormatPr defaultColWidth="9.140625" defaultRowHeight="15" x14ac:dyDescent="0.25"/>
  <cols>
    <col min="1" max="1" width="2.140625" style="173" customWidth="1"/>
    <col min="2" max="2" width="19.85546875" style="173" bestFit="1" customWidth="1"/>
    <col min="3" max="3" width="11.85546875" style="173" bestFit="1" customWidth="1"/>
    <col min="4" max="4" width="11.5703125" style="173" bestFit="1" customWidth="1"/>
    <col min="5" max="5" width="19.5703125" style="173" customWidth="1"/>
    <col min="6" max="6" width="33.140625" style="173" customWidth="1"/>
    <col min="7" max="7" width="1.140625" style="173" customWidth="1"/>
    <col min="8" max="8" width="26" style="173" customWidth="1"/>
    <col min="9" max="9" width="11.5703125" style="173" bestFit="1" customWidth="1"/>
    <col min="10" max="10" width="13.140625" style="173" customWidth="1"/>
    <col min="11" max="11" width="14.28515625" style="173" bestFit="1" customWidth="1"/>
    <col min="12" max="12" width="14.42578125" style="173" customWidth="1"/>
    <col min="13" max="13" width="14.28515625" style="173" bestFit="1" customWidth="1"/>
    <col min="14" max="14" width="11.7109375" style="173" customWidth="1"/>
    <col min="15" max="15" width="11.5703125" style="173" bestFit="1" customWidth="1"/>
    <col min="16" max="16" width="10.42578125" style="173" bestFit="1" customWidth="1"/>
    <col min="17" max="18" width="11.5703125" style="173" bestFit="1" customWidth="1"/>
    <col min="19" max="19" width="14" style="173" customWidth="1"/>
    <col min="20" max="20" width="7.85546875" style="173" bestFit="1" customWidth="1"/>
    <col min="21" max="16384" width="9.140625" style="173"/>
  </cols>
  <sheetData>
    <row r="1" spans="2:20" ht="25.5" customHeight="1" x14ac:dyDescent="0.25">
      <c r="B1" s="863" t="s">
        <v>15</v>
      </c>
      <c r="C1" s="864"/>
      <c r="D1" s="864"/>
      <c r="E1" s="864"/>
      <c r="F1" s="865"/>
      <c r="G1" s="332"/>
    </row>
    <row r="2" spans="2:20" ht="17.25" customHeight="1" x14ac:dyDescent="0.25">
      <c r="B2" s="866" t="s">
        <v>16</v>
      </c>
      <c r="C2" s="867"/>
      <c r="D2" s="867"/>
      <c r="E2" s="867"/>
      <c r="F2" s="868"/>
      <c r="G2" s="332"/>
      <c r="H2" s="180"/>
    </row>
    <row r="3" spans="2:20" ht="17.25" customHeight="1" x14ac:dyDescent="0.25">
      <c r="B3" s="220" t="s">
        <v>17</v>
      </c>
      <c r="C3" s="221" t="s">
        <v>18</v>
      </c>
      <c r="D3" s="869"/>
      <c r="E3" s="870"/>
      <c r="F3" s="871"/>
      <c r="H3" s="180"/>
    </row>
    <row r="4" spans="2:20" ht="17.25" customHeight="1" x14ac:dyDescent="0.25">
      <c r="B4" s="294" t="s">
        <v>19</v>
      </c>
      <c r="C4" s="873"/>
      <c r="D4" s="874"/>
      <c r="E4" s="294" t="s">
        <v>20</v>
      </c>
      <c r="F4" s="294" t="str" cm="1">
        <f t="array" ref="F4">IF(C4="","",IF(ISNUMBER(MATCH(TRUE,EXACT('Pay Scales'!$D$83:$D$92,IPS!$C$4),0)),'Pay Scales'!$M$12,IF(ISNUMBER(MATCH(TRUE,EXACT('Pay Scales'!D93:D117,IPS!$C$4),0)),'Pay Scales'!M11,IF(ISNUMBER(MATCH(TRUE,EXACT('Pay Scales'!D118:D124,IPS!$C$4),0)),'Pay Scales'!M10,IF(ISNUMBER(MATCH(TRUE,EXACT('Pay Scales'!D125:D130,IPS!$C$4),0)),'Pay Scales'!M9)))))</f>
        <v/>
      </c>
      <c r="I4" s="339"/>
      <c r="J4" s="174"/>
      <c r="N4" s="180"/>
      <c r="O4" s="180"/>
      <c r="P4" s="180"/>
    </row>
    <row r="5" spans="2:20" ht="17.25" customHeight="1" x14ac:dyDescent="0.25">
      <c r="B5" s="294" t="s">
        <v>21</v>
      </c>
      <c r="C5" s="875"/>
      <c r="D5" s="875"/>
      <c r="E5" s="314" t="str">
        <f ca="1">IF(F5&lt;35065,"Gradation-1",IF(AND(F5&gt;=35065,F5&lt;38718),"CAS-1",IF(AND(F5&gt;=38718,F5&lt;42826),"ACP-1",IF(AND(F5&gt;=42826,F5&lt;TODAY()),"MACP-1","MACP-1"))))</f>
        <v>CAS-1</v>
      </c>
      <c r="F5" s="574">
        <f>IF(OR(D111&lt;IF(AND(C4="Jr. Engineer(Elect.)(Depl.)",EDATE(C9,12*4)&lt;36161),EDATE(C9,12*4),IF(AND(C4="Jr. Engineer(Elect.)(Depl.)",EDATE(C9,12*4)&gt;36161),EDATE(C9,12*8),EDATE(C9,12*10))),C111&lt;IF(AND(C4="Jr. Engineer(Elect.)(Depl.)",EDATE(C9,12*4)&lt;36161),EDATE(C9,12*4),IF(AND(C4="Jr. Engineer(Elect.)(Depl.)",EDATE(C9,12*4)&gt;36161),EDATE(C9,12*8),EDATE(C9,12*10)))),IF(AND(C4="Jr. Engineer(Elect.)(Depl.)",EDATE(C9,12*4)&lt;36161),EDATE(C9,12*4),IF(AND(C4="Jr. Engineer(Elect.)(Depl.)",EDATE(C9,12*4)&gt;36161),EDATE(C9,12*8),EDATE(C9,12*10)))+E124,IF(AND(C4="Jr. Engineer(Elect.)(Depl.)",EDATE(C9,12*4)&lt;36161),EDATE(C9,12*4),IF(AND(C4="Jr. Engineer(Elect.)(Depl.)",EDATE(C9,12*4)&gt;36161),EDATE(C9,12*8),EDATE(C9,12*10))))</f>
        <v>35494</v>
      </c>
      <c r="M5" s="180"/>
      <c r="N5" s="180"/>
      <c r="O5" s="180"/>
      <c r="P5" s="180"/>
    </row>
    <row r="6" spans="2:20" ht="17.25" customHeight="1" x14ac:dyDescent="0.25">
      <c r="B6" s="294" t="s">
        <v>22</v>
      </c>
      <c r="C6" s="222"/>
      <c r="D6" s="223" t="str">
        <f ca="1">"of "&amp;'Pay Scales'!F34</f>
        <v>of 2026-27</v>
      </c>
      <c r="E6" s="314" t="str">
        <f ca="1">IF($F$6="","",IF(F6&lt;35065,"Gradation-2",IF(AND(F6&gt;=35065,F6&lt;38718),"CAS-2",IF(AND(F6&gt;=38718,F6&lt;42826),"ACP-2",IF(AND(F6&gt;=42826,F6&lt;TODAY()),"MACP-2","MACP-2")))))</f>
        <v>CAS-2</v>
      </c>
      <c r="F6" s="574">
        <f>IF(IF(AND(C111&gt;F5,C111&lt;IF(C4="Jr. Engineer(Elect.)(Depl.)",EDATE(F5,12*17),IF(C4="Sr. Helper","",IF(EDATE(F5,12*8)&lt;36161,EDATE(F5,12*8),EDATE(F5,12*7))))),IF(C4="Jr. Engineer(Elect.)(Depl.)",EDATE(F5,12*17),IF(C4="Sr. Helper","",IF(EDATE(F5,12*8)&lt;36161,EDATE(F5,12*8),EDATE(F5,12*7))))+E124,IF(C4="Jr. Engineer(Elect.)(Depl.)",EDATE(F5,12*17),IF(C4="Sr. Helper","",IF(EDATE(F5,12*8)&lt;36161,EDATE(F5,12*8),EDATE(F5,12*7)))))&gt;$C$10,"",IF(AND(C111&gt;F5,C111&lt;IF(C4="Jr. Engineer(Elect.)(Depl.)",EDATE(F5,12*17),IF(C4="Sr. Helper","",IF(EDATE(F5,12*8)&lt;36161,EDATE(F5,12*8),EDATE(F5,12*7))))),IF(C4="Jr. Engineer(Elect.)(Depl.)",EDATE(F5,12*17),IF(C4="Sr. Helper","",IF(EDATE(F5,12*8)&lt;36161,EDATE(F5,12*8),EDATE(F5,12*7))))+E124,IF(C4="Jr. Engineer(Elect.)(Depl.)",EDATE(F5,12*17),IF(C4="Sr. Helper","",IF(EDATE(F5,12*8)&lt;36161,EDATE(F5,12*8),EDATE(F5,12*7))))))</f>
        <v>38051</v>
      </c>
      <c r="O6" s="180"/>
      <c r="P6" s="180"/>
    </row>
    <row r="7" spans="2:20" ht="17.25" customHeight="1" x14ac:dyDescent="0.25">
      <c r="B7" s="294" t="s">
        <v>23</v>
      </c>
      <c r="C7" s="872">
        <v>23935</v>
      </c>
      <c r="D7" s="872"/>
      <c r="E7" s="314" t="str">
        <f>IF($F$7="","",IF(F7&lt;38718,"CAS-3",IF(AND(F7&gt;=38718,F7&lt;42826),"ACP-3",IF(AND(F7&gt;=42826,F7&lt;C10),"MACP-3","MACP-3"))))</f>
        <v>ACP-3</v>
      </c>
      <c r="F7" s="574">
        <f>IF(F6="","",IF(AND(C111&gt;F6,C111&lt;IF(C4="Jr. Engineer(Elect.)(Depl.)",EDATE(C9,12*25),IF(OR(C4="Sr. Helper",C4="Helper"),"",MAX(IF(EDATE(C9,12*29)&lt;38718,EDATE(C9,12*29),EDATE(C9,12*25)),EDATE(F6,12*8))))),IF(C4="Jr. Engineer(Elect.)(Depl.)",EDATE(C9,12*25),IF(OR(C4="Sr. Helper",C4="Helper"),"",MAX(IF(EDATE(C9,12*29)&lt;38718,EDATE(C9,12*29),EDATE(C9,12*25)),EDATE(F6,12*8))))+E124,IF(C4="Jr. Engineer(Elect.)(Depl.)",EDATE(C9,12*25),IF(OR(C4="Sr. Helper",C4="Helper"),"",MAX(IF(EDATE(C9,12*29)&lt;38718,EDATE(C9,12*29),EDATE(C9,12*25)),EDATE(F6,12*8))))))</f>
        <v>40973</v>
      </c>
      <c r="N7" s="180"/>
      <c r="O7" s="180"/>
      <c r="P7" s="180"/>
    </row>
    <row r="8" spans="2:20" ht="17.25" customHeight="1" x14ac:dyDescent="0.25">
      <c r="B8" s="294" t="s">
        <v>24</v>
      </c>
      <c r="C8" s="872">
        <v>31841</v>
      </c>
      <c r="D8" s="872"/>
      <c r="E8" s="314"/>
      <c r="F8" s="575"/>
      <c r="I8" s="174"/>
    </row>
    <row r="9" spans="2:20" ht="17.25" customHeight="1" x14ac:dyDescent="0.25">
      <c r="B9" s="294" t="s">
        <v>25</v>
      </c>
      <c r="C9" s="872">
        <f>C8</f>
        <v>31841</v>
      </c>
      <c r="D9" s="872"/>
      <c r="E9" s="314"/>
      <c r="F9" s="574"/>
    </row>
    <row r="10" spans="2:20" ht="17.25" customHeight="1" thickBot="1" x14ac:dyDescent="0.3">
      <c r="B10" s="294" t="str">
        <f>IF(OR(B1="Family Pension Case",B1="DRW Family Pension Case",),"","Date of Retirement")</f>
        <v>Date of Retirement</v>
      </c>
      <c r="C10" s="872">
        <f>IF(OR(B1="Family Pension Case",B1="DRW Family Pension Case"),"",IF(C7=C7-DAY(C7)+1,IF(F4="Group-D",EOMONTH(C7,12*60+3),EOMONTH(C7,12*60))-DAY(IF(F4="Group-D",EOMONTH(C7,12*60+3),EOMONTH(C7,12*60))),IF(F4="Group-D",EOMONTH(C7,12*60+3),EOMONTH(C7,12*60))))</f>
        <v>45869</v>
      </c>
      <c r="D10" s="872"/>
      <c r="E10" s="314"/>
      <c r="F10" s="574"/>
      <c r="Q10" s="552"/>
      <c r="R10" s="552"/>
      <c r="S10" s="552"/>
    </row>
    <row r="11" spans="2:20" ht="17.25" customHeight="1" thickBot="1" x14ac:dyDescent="0.3">
      <c r="B11" s="337" t="str">
        <f>IF(OR(B1="Family Pension Case",B1="DRW Family Pension Case",B1="LTA Pension",C12=TRUE,),"Date of Death","")</f>
        <v/>
      </c>
      <c r="C11" s="872"/>
      <c r="D11" s="872"/>
      <c r="E11" s="314"/>
      <c r="F11" s="576"/>
      <c r="H11" s="855" t="s">
        <v>26</v>
      </c>
      <c r="I11" s="856"/>
      <c r="J11" s="856"/>
      <c r="K11" s="856"/>
      <c r="L11" s="856"/>
      <c r="M11" s="856"/>
      <c r="N11" s="856"/>
      <c r="O11" s="857"/>
      <c r="P11" s="791" t="str">
        <f>IF(Q11=330,"1",IF(Q11=340,"2",IF(Q11=370,"3",IF(Q11=400,"4",IF(Q11=430,"5",IF(Q11=470,"6",IF(Q11=590,"7",IF(Q11=550,"8",IF(Q11=560,"9",IF(Q11=600,"10",IF(Q11=650,"11",IF(Q11="750","12",IF(Q11="780","13",IF(Q11=800,"14",IF(Q11=900,"15",IF(Q11=1200,"16",IF(Q11=1600,"17",IF(Q11=1700,"18",IF(Q11=1800,"19",IF(Q11=2100,"20"))))))))))))))))))))</f>
        <v>2</v>
      </c>
      <c r="Q11" s="553">
        <f>IF(D14=330,340,IF(D14=340,370,IF(D14=370,400,IF(D14=400,430,IF(D14=430,470,IF(D14=590,550,IF(D14=550,560,IF(D14=560,600,IF(D14=600,650,IF(D14=650,750,IF(D14=750,780,IF(D14=780,800,IF(D14=800,900,IF(D14=900,1200,IF(D14=1200,1600,IF(D14=1600,1700,IF(D14=1700,1800,IF(D14=1800,2100,0))))))))))))))))))</f>
        <v>340</v>
      </c>
      <c r="R11" s="836" t="s">
        <v>27</v>
      </c>
      <c r="S11" s="837"/>
    </row>
    <row r="12" spans="2:20" ht="17.25" customHeight="1" thickBot="1" x14ac:dyDescent="0.3">
      <c r="B12" s="338" t="s">
        <v>28</v>
      </c>
      <c r="C12" s="876" t="b">
        <v>0</v>
      </c>
      <c r="D12" s="877"/>
      <c r="E12" s="314"/>
      <c r="F12" s="574"/>
      <c r="H12" s="422" t="s">
        <v>29</v>
      </c>
      <c r="I12" s="420" t="s">
        <v>30</v>
      </c>
      <c r="J12" s="438" t="s">
        <v>31</v>
      </c>
      <c r="K12" s="440" t="s">
        <v>32</v>
      </c>
      <c r="L12" s="443" t="s">
        <v>31</v>
      </c>
      <c r="M12" s="440" t="s">
        <v>32</v>
      </c>
      <c r="N12" s="406" t="s">
        <v>33</v>
      </c>
      <c r="O12" s="407" t="s">
        <v>31</v>
      </c>
      <c r="P12" s="795" t="str">
        <f>IF(Q12=775,"1",IF(AND(Q12=800),"2",IF(AND(Q12=850),"3",IF(AND(Q12=950),"4",IF(AND(Q12=970),"5",IF(AND(Q12=1020),"6",IF(AND(Q12=1250),"7",IF(AND(Q12=1300),"8",IF(AND(Q12=1450),"9",IF(AND(Q12=1700),"10",IF(AND(Q12=2000),"11",IF(AND(Q12=2100),"12",IF(AND(Q12=2150),"13",IF(AND(Q12=3000),"14",IF(AND(Q12=3200),"15",IF(AND(Q12=3300),"16",IF(AND(Q12=3500),"17",IF(AND(Q12=3600),"18",IF(AND(Q12=4000),"19",IF(AND(Q12=5900),"20"))))))))))))))))))))</f>
        <v>1</v>
      </c>
      <c r="Q12" s="675">
        <f>IF(C4="Agri. Asstt.",1020,IF(OR(Q11=330,Q11=340),775,IF(Q11=370,800,IF(Q11=400,850,IF(Q11=430,950,IF(Q11=470,970,IF(OR(Q11=590,Q11=550),1020,IF(Q11=560,1250,IF(Q11=600,1300,IF(Q11=650,1450,IF(OR(Q11=750,Q11=780),1700,IF(Q11=800,2000,IF(Q11=900,2100,IF(Q11=1200,3000,IF(Q11=1600,3200,IF(Q11=1700,3300,IF(Q11=1800,3500,IF(Q11=2100,3600,Q11))))))))))))))))))</f>
        <v>775</v>
      </c>
      <c r="R12" s="676" t="str">
        <f>IF(Q12=775,"Pay Scale (₹775-₹1130)",IF(Q12=800,"Pay Scale (₹800-₹1520)",IF(Q12=850,"Pay Scale (₹850-₹2130)",IF(Q12=950,"Pay Scale (₹950-₹2170)",IF(Q12=970,"Pay Scale (₹970-₹2400)",IF(Q12=1020,"Pay Scale (₹1020-₹2620)",IF(Q12=1250,"Pay Scale (₹1250-₹2890)",IF(Q12=1300,"Pay Scale (₹1300-₹3220)",IF(Q12=1450,"Pay Scale (₹1450-₹3710)",IF(Q12=1700,"Pay Scale (₹1700-₹3980)",IF(Q12=2000,"Pay Scale (₹2000-₹4410)",IF(Q12=2100,"Pay Scale (₹2100-₹4530)",IF(Q12=2150,"Pay Scale (₹2100-₹5000)",IF(Q12=3000,"Pay Scale (₹3000-₹5000)",IF(Q12=3200,"Pay Scale (₹3200-₹5600)",IF(Q12=3300,"Pay Scale (₹3300-₹5700)",IF(Q12=3500,"Pay Scale (₹3500-₹5700)",IF(Q12=3600,"Pay Scale (₹3600-₹5800)",IF(Q12=4000,"Pay Scale (₹4000-₹5900)",IF(Q12=5900,"Pay Scale (₹5900-₹6300)"))))))))))))))))))))</f>
        <v>Pay Scale (₹775-₹1130)</v>
      </c>
      <c r="S12" s="677"/>
    </row>
    <row r="13" spans="2:20" ht="17.25" customHeight="1" x14ac:dyDescent="0.25">
      <c r="B13" s="817" t="str">
        <f>"I.P.S. of "&amp;IF(OR(B1="Family Pension Case",B1="DRW Family Pension Case"),C3&amp;" "&amp;D3&amp;"Ex."&amp;C4,C3&amp;" "&amp;D3&amp;"Retd."&amp;C4)&amp;" w.e.f. ROP'1988"</f>
        <v>I.P.S. of Shri Retd. w.e.f. ROP'1988</v>
      </c>
      <c r="C13" s="817"/>
      <c r="D13" s="817"/>
      <c r="E13" s="817"/>
      <c r="F13" s="817"/>
      <c r="H13" s="421" t="str">
        <f>IF($I$13="","",IF(OR(ISNUMBER(SEARCH("CAS",$E$5)),ISNUMBER(SEARCH("ACP",$E$5))),"Gradation-1",$E$5))</f>
        <v/>
      </c>
      <c r="I13" s="577" t="str">
        <f>IF(AND(F5&gt;$C$27,F5&lt;35065),F5,"")</f>
        <v/>
      </c>
      <c r="J13" s="625" t="str" cm="1">
        <f t="array" ref="J13">IF(I13&gt;$C$37,"",IF(DAY(I13)=1,IF(OR(O13&lt;Q13,O13=Q13),Q13,INDEX('1988'!$C$4:$V$39,IF(Q13=775,MATCH(O13,'1988'!$C$4:$C$24,1)+1,IF(Q13=800,MATCH(O13,'1988'!$D$4:$D$32,1)+1,IF(Q13=850,MATCH(O13,'1988'!$E$4:$E$39,1)+1,IF(Q13=950,MATCH(O13,'1988'!$F$4:$F$34,1)+1,IF(Q13=970,MATCH(O13,'1988'!$G$4:$G$35,1)+1,IF(Q13=1020,MATCH(O13,'1988'!$H$4:$H$38,1)+1,IF(Q13=1250,MATCH(O13,'1988'!$I$4:$I$36,1)+1,IF(Q13=1300,MATCH(O13,'1988'!$J$4:$J$38,1)+1,IF(Q13=1450,MATCH(O13,'1988'!$K$4:$K$38,1)+1,IF(Q13=1700,MATCH(O13,'1988'!$L$4:$L$36,1)+1,IF(Q13=2000,MATCH(O13,'1988'!$M$4:$M$34,1)+1,IF(Q13=2100,MATCH(O13,'1988'!$N$4:$N$34,1)+1,IF(Q13=2150,MATCH(O13,'1988'!$O$4:$O$36,1)+1,IF(Q13=3000,MATCH(O13,'1988'!$P$4:$P$25,1)+1,IF(Q13=3200,MATCH(O13,'1988'!$Q$4:$Q$28,1)+1,IF(Q13=3300,MATCH(O13,'1988'!$R$4:$R$26,1)+1,IF(Q13=3500,MATCH(O13,'1988'!$S$4:$S$24,1)+1,))))))))))))))))),P13)),IF(OR(VLOOKUP(I13-1,$C$27:$D$37,2,TRUE)&lt;Q13,VLOOKUP(I13-1,$C$27:$D$37,2,TRUE)=Q13),Q13,INDEX('1988'!$C$4:$V$39,IF(Q13=775,MATCH(VLOOKUP(I13-1,$C$27:$D$37,2,TRUE),'1988'!$C$4:$C$24,1)+1,IF(Q13=800,MATCH(VLOOKUP(I13-1,$C$27:$D$37,2,TRUE),'1988'!$D$4:$D$32,1)+1,IF(Q13=850,MATCH(VLOOKUP(I13-1,$C$27:$D$37,2,TRUE),'1988'!$E$4:$E$39,1)+1,IF(Q13=950,MATCH(VLOOKUP(I13-1,$C$27:$D$37,2,TRUE),'1988'!$F$4:$F$34,1)+1,IF(Q13=970,MATCH(VLOOKUP(I13-1,$C$27:$D$37,2,TRUE),'1988'!$G$4:$G$35,1)+1,IF(Q13=1020,MATCH(VLOOKUP(I13-1,$C$27:$D$37,2,TRUE),'1988'!$H$4:$H$38,1)+1,IF(Q13=1250,MATCH(VLOOKUP(I13-1,$C$27:$D$37,2,TRUE),'1988'!$I$4:$I$36,1)+1,IF(Q13=1300,MATCH(VLOOKUP(I13-1,$C$27:$D$37,2,TRUE),'1988'!$J$4:$J$38,1)+1,IF(Q13=1450,MATCH(VLOOKUP(I13-1,$C$27:$D$37,2,TRUE),'1988'!$K$4:$K$38,1)+1,IF(Q13=1700,MATCH(VLOOKUP(I13-1,$C$27:$D$37,2,TRUE),'1988'!$L$4:$L$36,1)+1,IF(Q13=2000,MATCH(VLOOKUP(I13-1,$C$27:$D$37,2,TRUE),'1988'!$M$4:$M$34,1)+1,IF(Q13=2100,MATCH(VLOOKUP(I13-1,$C$27:$D$37,2,TRUE),'1988'!$N$4:$N$34,1)+1,IF(Q13=2150,MATCH(VLOOKUP(I13-1,$C$27:$D$37,2,TRUE),'1988'!$O$4:$O$36,1)+1,IF(Q13=3000,MATCH(VLOOKUP(I13-1,$C$27:$D$37,2,TRUE),'1988'!$P$4:$P$25,1)+1,IF(Q13=3200,MATCH(VLOOKUP(I13-1,$C$27:$D$37,2,TRUE),'1988'!$Q$4:$Q$28,1)+1,IF(Q13=3300,MATCH(VLOOKUP(I13-1,$C$27:$D$37,2,TRUE),'1988'!$R$4:$R$26,1)+1,IF(Q13=3500,MATCH(VLOOKUP(I13-1,$C$27:$D$37,2,TRUE),'1988'!$S$4:$S$24,1)+1,))))))))))))))))),P13))))</f>
        <v/>
      </c>
      <c r="K13" s="602" t="s">
        <v>34</v>
      </c>
      <c r="L13" s="628" t="str" cm="1">
        <f t="array" ref="L13">IF(I13&gt;$C$37,"",IF(DAY(I13)=1,IF(OR(O13&lt;Q13,O13=Q13),Q13,INDEX('1988'!$C$4:$V$39,IF(Q13=775,MATCH(O13,'1988'!$C$4:$C$24,1)+2,IF(Q13=800,MATCH(O13,'1988'!$D$4:$D$32,1)+2,IF(Q13=850,MATCH(O13,'1988'!$E$4:$E$39,1)+2,IF(Q13=950,MATCH(O13,'1988'!$F$4:$F$34,1)+2,IF(Q13=970,MATCH(O13,'1988'!$G$4:$G$35,1)+2,IF(Q13=1020,MATCH(O13,'1988'!$H$4:$H$38,1)+2,IF(Q13=1250,MATCH(O13,'1988'!$I$4:$I$36,1)+2,IF(Q13=1300,MATCH(O13,'1988'!$J$4:$J$38,1)+2,IF(Q13=1450,MATCH(O13,'1988'!$K$4:$K$38,1)+2,IF(Q13=1700,MATCH(O13,'1988'!$L$4:$L$36,1)+2,IF(Q13=2000,MATCH(O13,'1988'!$M$4:$M$34,1)+2,IF(Q13=2100,MATCH(O13,'1988'!$N$4:$N$34,1)+2,IF(Q13=2150,MATCH(O13,'1988'!$O$4:$O$36,1)+2,IF(Q13=3000,MATCH(O13,'1988'!$P$4:$P$25,1)+2,IF(Q13=3200,MATCH(O13,'1988'!$Q$4:$Q$28,1)+2,IF(Q13=3300,MATCH(O13,'1988'!$R$4:$R$26,1)+2,IF(Q13=3500,MATCH(O13,'1988'!$S$4:$S$24,1)+2,))))))))))))))))),P13)),IF(OR(O13&lt;Q13,O13=Q13),Q13,INDEX('1988'!$C$4:$V$39,IF(Q13=775,MATCH(O13,'1988'!$C$4:$C$24,1)+1,IF(Q13=800,MATCH(O13,'1988'!$D$4:$D$32,1)+1,IF(Q13=850,MATCH(O13,'1988'!$E$4:$E$39,1)+1,IF(Q13=950,MATCH(O13,'1988'!$F$4:$F$34,1)+1,IF(Q13=970,MATCH(O13,'1988'!$G$4:$G$35,1)+1,IF(Q13=1020,MATCH(O13,'1988'!$H$4:$H$38,1)+1,IF(Q13=1250,MATCH(O13,'1988'!$I$4:$I$36,1)+1,IF(Q13=1300,MATCH(O13,'1988'!$J$4:$J$38,1)+1,IF(Q13=1450,MATCH(O13,'1988'!$K$4:$K$38,1)+1,IF(Q13=1700,MATCH(O13,'1988'!$L$4:$L$36,1)+1,IF(Q13=2000,MATCH(O13,'1988'!$M$4:$M$34,1)+1,IF(Q13=2100,MATCH(O13,'1988'!$N$4:$N$34,1)+1,IF(Q13=2150,MATCH(O13,'1988'!$O$4:$O$36,1)+1,IF(Q13=3000,MATCH(O13,'1988'!$P$4:$P$25,1)+1,IF(Q13=3200,MATCH(O13,'1988'!$Q$4:$Q$28,1)+1,IF(Q13=3300,MATCH(O13,'1988'!$R$4:$R$26,1)+1,IF(Q13=3500,MATCH(O13,'1988'!$S$4:$S$24,1)+1,))))))))))))))))),P13))))</f>
        <v/>
      </c>
      <c r="M13" s="602" t="s">
        <v>35</v>
      </c>
      <c r="N13" s="631" t="str">
        <f>IF(I13="","",MATCH(VLOOKUP(I13-1,$C$27:$D$37,2,TRUE),(IF(Q12=775,'1988'!$C$4:$C$24,IF(Q12=800,'1988'!$D$4:$D$32,IF(Q12=850,'1988'!$E$4:$E$39,IF(Q12=950,'1988'!$F$4:$F$34,IF(Q12=970,'1988'!$G$4:$G$35,IF(Q12=1020,'1988'!$H$4:$H$38,IF(Q12=1250,'1988'!$I$4:$I$36,IF(Q12=1300,'1988'!$J$4:$J$38,IF(Q12=1450,'1988'!$K$4:$K$38,IF(Q12=1700,'1988'!$L$4:$L$36,IF(Q12=2000,'1988'!$M$4:$M$34,IF(Q12=2100,'1988'!$N$4:$N$34,IF(Q12=2150,'1988'!$O$4:$O$36,IF(Q12=3000,'1988'!$P$4:$P$25,IF(Q12=3200,'1988'!$Q$4:$Q$28,IF(Q12=3300,'1988'!$R$4:$R$26,IF(Q12=3500,'1988'!$S$4:$S$24,IF(Q12=3600,'1988'!$T$4:$T$20,IF(Q12=4000,'1988'!$U$4:$U$17,IF(Q12=5900,'1988'!$V$4:$V$8))))))))))))))))))))))+1)</f>
        <v/>
      </c>
      <c r="O13" s="632" t="str" cm="1">
        <f t="array" ref="O13">IF(I13="","",INDEX('1988'!$C$4:$V$39,N13,$P$12))</f>
        <v/>
      </c>
      <c r="P13" s="787" t="str">
        <f>IF(Q13=775,"1",IF(AND(Q13=800),"2",IF(AND(Q13=850),"3",IF(AND(Q13=950),"4",IF(AND(Q13=970),"5",IF(AND(Q13=1020),"6",IF(AND(Q13=1250),"7",IF(AND(Q13=1300),"8",IF(AND(Q13=1450),"9",IF(AND(Q13=1700),"10",IF(AND(Q13=2000),"11",IF(AND(Q13=2100),"12",IF(AND(Q13=2150),"13",IF(AND(Q13=3000),"14",IF(AND(Q13=3200),"15",IF(AND(Q13=3300),"16",IF(AND(Q13=3500),"17",IF(AND(Q13=3600),"18",IF(AND(Q13=4000),"19",IF(AND(Q13=5900),"20"))))))))))))))))))))</f>
        <v>1</v>
      </c>
      <c r="Q13" s="902" cm="1">
        <f t="array" ref="Q13">IF(I13="",Q12,IF(AND(OR($C$4="Jr. Physical Instructor",$C$4="Physical Instructor"),$Q$12=970),1250,IF($C$4="Jr. Engineer(Elect.)(Depl.)",2000,IF(I13&gt;36160,Q12,INDEX('Pay Scales'!$E$134:$E$153,MATCH(Q12,'Pay Scales'!$E$134:$E$153,0)+1,1)))))</f>
        <v>775</v>
      </c>
      <c r="R13" s="838" t="str">
        <f>IF(Q13=775,"Pay Scale (₹775-₹1130)",IF(Q13=800,"Pay Scale (₹800-₹1520)",IF(Q13=850,"Pay Scale (₹850-₹2130)",IF(Q13=950,"Pay Scale (₹950-₹2170)",IF(Q13=970,"Pay Scale (₹970-₹2400)",IF(Q13=1020,"Pay Scale (₹1020-₹2620)",IF(Q13=1250,"Pay Scale (₹1250-₹2890)",IF(Q13=1300,"Pay Scale (₹1300-₹3220)",IF(Q13=1450,"Pay Scale (₹1450-₹3710)",IF(Q13=1700,"Pay Scale (₹1700-₹3980)",IF(Q13=2000,"Pay Scale (₹2000-₹4410)",IF(Q13=2100,"Pay Scale (₹2100-₹4530)",IF(Q13=2150,"Pay Scale (₹2100-₹5000)",IF(Q13=3000,"Pay Scale (₹3000-₹5000)",IF(Q13=3200,"Pay Scale (₹3200-₹5600)",IF(Q13=3300,"Pay Scale (₹3300-₹5700)",IF(Q13=3500,"Pay Scale (₹3500-₹5700)",IF(Q13=3600,"Pay Scale (₹3600-₹5800)",IF(Q13=4000,"Pay Scale (₹4000-₹5900)",IF(Q13=5900,"Pay Scale (₹5900-₹6300)"))))))))))))))))))))</f>
        <v>Pay Scale (₹775-₹1130)</v>
      </c>
      <c r="S13" s="839"/>
    </row>
    <row r="14" spans="2:20" ht="17.850000000000001" customHeight="1" thickBot="1" x14ac:dyDescent="0.3">
      <c r="B14" s="668" t="str">
        <f>IF(C8&gt;=C14,"Joining Date","Option Date")</f>
        <v>Joining Date</v>
      </c>
      <c r="C14" s="581">
        <f>C9</f>
        <v>31841</v>
      </c>
      <c r="D14" s="363">
        <v>330</v>
      </c>
      <c r="E14" s="817" t="s">
        <v>36</v>
      </c>
      <c r="F14" s="817"/>
      <c r="G14" s="313"/>
      <c r="H14" s="408"/>
      <c r="I14" s="578" t="str" cm="1">
        <f t="array" ref="I14">IF(I13&lt;C37,INDEX('Pay Scales'!F5:F15,(MATCH(I13,'Pay Scales'!$F$5:$F$15,1)+1)),"")</f>
        <v/>
      </c>
      <c r="J14" s="626" t="str" cm="1">
        <f t="array" ref="J14">IF(I13&lt;C37,INDEX('1988'!$C$4:$V$39,IF(Q13=775,MATCH(J13,'1988'!$C$4:$C$24,1)+1,IF(Q13=800,MATCH(J13,'1988'!$D$4:$D$32,1)+1,IF(Q13=850,MATCH(J13,'1988'!$E$4:$E$39,1)+1,IF(Q13=950,MATCH(J13,'1988'!$F$4:$F$34,1)+1,IF(Q13=970,MATCH(J13,'1988'!$G$4:$G$35,1)+1,IF(Q13=1020,MATCH(J13,'1988'!$H$4:$H$38,1)+1,IF(Q13=1250,MATCH(J13,'1988'!$I$4:$I$36,1)+1,IF(Q13=1300,MATCH(J13,'1988'!$J$4:$J$38,1)+1,IF(Q13=1450,MATCH(J13,'1988'!$K$4:$K$38,1)+1,IF(Q13=1700,MATCH(J13,'1988'!$L$4:$L$36,1)+1,IF(Q13=2000,MATCH(J13,'1988'!$M$4:$M$34,1)+1,IF(Q13=2100,MATCH(J13,'1988'!$N$4:$N$34,1)+1,IF(Q13=2150,MATCH(J13,'1988'!$O$4:$O$36,1)+1,IF(Q13=3000,MATCH(J13,'1988'!$P$4:$P$25,1)+1,IF(Q13=3200,MATCH(J13,'1988'!$Q$4:$Q$28,1)+1,IF(Q13=3300,MATCH(J13,'1988'!$R$4:$R$26,1)+1,IF(Q13=3500,MATCH(J13,'1988'!$S$4:$S$24,1)+1,))))))))))))))))),P13),"")</f>
        <v/>
      </c>
      <c r="K14" s="603"/>
      <c r="L14" s="629" t="str" cm="1">
        <f t="array" ref="L14">IF(I13&lt;C37,INDEX('1988'!$C$4:$V$39,IF(Q13=775,MATCH(L13,'1988'!$C$4:$C$24,1)+1,IF(Q13=800,MATCH(L13,'1988'!$D$4:$D$32,1)+1,IF(Q13=850,MATCH(L13,'1988'!$E$4:$E$39,1)+1,IF(Q13=950,MATCH(L13,'1988'!$F$4:$F$34,1)+1,IF(Q13=970,MATCH(L13,'1988'!$G$4:$G$35,1)+1,IF(Q13=1020,MATCH(L13,'1988'!$H$4:$H$38,1)+1,IF(Q13=1250,MATCH(L13,'1988'!$I$4:$I$36,1)+1,IF(Q13=1300,MATCH(L13,'1988'!$J$4:$J$38,1)+1,IF(Q13=1450,MATCH(L13,'1988'!$K$4:$K$38,1)+1,IF(Q13=1700,MATCH(L13,'1988'!$L$4:$L$36,1)+1,IF(Q13=2000,MATCH(L13,'1988'!$M$4:$M$34,1)+1,IF(Q13=2100,MATCH(L13,'1988'!$N$4:$N$34,1)+1,IF(Q13=2150,MATCH(L13,'1988'!$O$4:$O$36,1)+1,IF(Q13=3000,MATCH(L13,'1988'!$P$4:$P$25,1)+1,IF(Q13=3200,MATCH(L13,'1988'!$Q$4:$Q$28,1)+1,IF(Q13=3300,MATCH(L13,'1988'!$R$4:$R$26,1)+1,IF(Q13=3500,MATCH(L13,'1988'!$S$4:$S$24,1)+1,))))))))))))))))),P13),"")</f>
        <v/>
      </c>
      <c r="M14" s="603"/>
      <c r="N14" s="633" t="str">
        <f>IF(I13="","",N13+1)</f>
        <v/>
      </c>
      <c r="O14" s="634" t="str" cm="1">
        <f t="array" ref="O14">IF(I13="","",INDEX('1988'!$C$4:$V$39,N14,$P$12))</f>
        <v/>
      </c>
      <c r="P14" s="792"/>
      <c r="Q14" s="903"/>
      <c r="R14" s="840"/>
      <c r="S14" s="841"/>
      <c r="T14" s="313"/>
    </row>
    <row r="15" spans="2:20" ht="17.850000000000001" customHeight="1" x14ac:dyDescent="0.25">
      <c r="B15" s="819" t="s">
        <v>37</v>
      </c>
      <c r="C15" s="819"/>
      <c r="D15" s="364">
        <f>IF(C9=C14,0,INDEX('1982'!C2:V26,DATEDIF(C8,C14,"y")+1,IPS!P11))</f>
        <v>0</v>
      </c>
      <c r="E15" s="817" t="str">
        <f t="shared" ref="E15:E21" si="0">E64</f>
        <v>Joining on 05-03-1987</v>
      </c>
      <c r="F15" s="817"/>
      <c r="H15" s="436" t="str">
        <f>IF($I$15="","",IF(OR(ISNUMBER(SEARCH("CAS",$E$6)),ISNUMBER(SEARCH("ACP",$E$6))),"Gradation-2",$E$6))</f>
        <v/>
      </c>
      <c r="I15" s="577" t="str">
        <f>IF(AND(F6&gt;$C$27,F6&lt;35065),F6,"")</f>
        <v/>
      </c>
      <c r="J15" s="625" t="str" cm="1">
        <f t="array" ref="J15">IF(I15&gt;$C$37,"",IF(DAY(I15)=1,IF(OR(O15&lt;Q15,O15=Q15),Q15,INDEX('1988'!$C$4:$V$39,IF(Q15=775,MATCH(O15,'1988'!$C$4:$C$24,1)+1,IF(Q15=800,MATCH(O15,'1988'!$D$4:$D$32,1)+1,IF(Q15=850,MATCH(O15,'1988'!$E$4:$E$39,1)+1,IF(Q15=950,MATCH(O15,'1988'!$F$4:$F$34,1)+1,IF(Q15=970,MATCH(O15,'1988'!$G$4:$G$35,1)+1,IF(Q15=1020,MATCH(O15,'1988'!$H$4:$H$38,1)+1,IF(Q15=1250,MATCH(O15,'1988'!$I$4:$I$36,1)+1,IF(Q15=1300,MATCH(O15,'1988'!$J$4:$J$38,1)+1,IF(Q15=1450,MATCH(O15,'1988'!$K$4:$K$38,1)+1,IF(Q15=1700,MATCH(O15,'1988'!$L$4:$L$36,1)+1,IF(Q15=2000,MATCH(O15,'1988'!$M$4:$M$34,1)+1,IF(Q15=2100,MATCH(O15,'1988'!$N$4:$N$34,1)+1,IF(Q15=2150,MATCH(O15,'1988'!$O$4:$O$36,1)+1,IF(Q15=3000,MATCH(O15,'1988'!$P$4:$P$25,1)+1,IF(Q15=3200,MATCH(O15,'1988'!$Q$4:$Q$28,1)+1,IF(Q15=3300,MATCH(O15,'1988'!$R$4:$R$26,1)+1,IF(Q15=3500,MATCH(O15,'1988'!$S$4:$S$24,1)+1,))))))))))))))))),P15)),IF(OR(VLOOKUP(I15-1,$C$27:$D$37,2,TRUE)&lt;Q15,VLOOKUP(I15-1,$C$27:$D$37,2,TRUE)=Q15),Q15,INDEX('1988'!$C$4:$V$39,IF(Q15=775,MATCH(VLOOKUP(I15-1,$C$27:$D$37,2,TRUE),'1988'!$C$4:$C$24,1)+1,IF(Q15=800,MATCH(VLOOKUP(I15-1,$C$27:$D$37,2,TRUE),'1988'!$D$4:$D$32,1)+1,IF(Q15=850,MATCH(VLOOKUP(I15-1,$C$27:$D$37,2,TRUE),'1988'!$E$4:$E$39,1)+1,IF(Q15=950,MATCH(VLOOKUP(I15-1,$C$27:$D$37,2,TRUE),'1988'!$F$4:$F$34,1)+1,IF(Q15=970,MATCH(VLOOKUP(I15-1,$C$27:$D$37,2,TRUE),'1988'!$G$4:$G$35,1)+1,IF(Q15=1020,MATCH(VLOOKUP(I15-1,$C$27:$D$37,2,TRUE),'1988'!$H$4:$H$38,1)+1,IF(Q15=1250,MATCH(VLOOKUP(I15-1,$C$27:$D$37,2,TRUE),'1988'!$I$4:$I$36,1)+1,IF(Q15=1300,MATCH(VLOOKUP(I15-1,$C$27:$D$37,2,TRUE),'1988'!$J$4:$J$38,1)+1,IF(Q15=1450,MATCH(VLOOKUP(I15-1,$C$27:$D$37,2,TRUE),'1988'!$K$4:$K$38,1)+1,IF(Q15=1700,MATCH(VLOOKUP(I15-1,$C$27:$D$37,2,TRUE),'1988'!$L$4:$L$36,1)+1,IF(Q15=2000,MATCH(VLOOKUP(I15-1,$C$27:$D$37,2,TRUE),'1988'!$M$4:$M$34,1)+1,IF(Q15=2100,MATCH(VLOOKUP(I15-1,$C$27:$D$37,2,TRUE),'1988'!$N$4:$N$34,1)+1,IF(Q15=2150,MATCH(VLOOKUP(I15-1,$C$27:$D$37,2,TRUE),'1988'!$O$4:$O$36,1)+1,IF(Q15=3000,MATCH(VLOOKUP(I15-1,$C$27:$D$37,2,TRUE),'1988'!$P$4:$P$25,1)+1,IF(Q15=3200,MATCH(VLOOKUP(I15-1,$C$27:$D$37,2,TRUE),'1988'!$Q$4:$Q$28,1)+1,IF(Q15=3300,MATCH(VLOOKUP(I15-1,$C$27:$D$37,2,TRUE),'1988'!$R$4:$R$26,1)+1,IF(Q15=3500,MATCH(VLOOKUP(I15-1,$C$27:$D$37,2,TRUE),'1988'!$S$4:$S$24,1)+1,))))))))))))))))),P15))))</f>
        <v/>
      </c>
      <c r="K15" s="602" t="str">
        <f>K13</f>
        <v>FR-22(a)(i)</v>
      </c>
      <c r="L15" s="628" t="str" cm="1">
        <f t="array" ref="L15">IF(I15&gt;$C$37,"",IF(DAY(I15)=1,IF(OR(O15&lt;Q15,O15=Q15),Q15,INDEX('1988'!$C$4:$V$39,IF(Q15=775,MATCH(O15,'1988'!$C$4:$C$24,1)+2,IF(Q15=800,MATCH(O15,'1988'!$D$4:$D$32,1)+2,IF(Q15=850,MATCH(O15,'1988'!$E$4:$E$39,1)+2,IF(Q15=950,MATCH(O15,'1988'!$F$4:$F$34,1)+2,IF(Q15=970,MATCH(O15,'1988'!$G$4:$G$35,1)+2,IF(Q15=1020,MATCH(O15,'1988'!$H$4:$H$38,1)+2,IF(Q15=1250,MATCH(O15,'1988'!$I$4:$I$36,1)+2,IF(Q15=1300,MATCH(O15,'1988'!$J$4:$J$38,1)+2,IF(Q15=1450,MATCH(O15,'1988'!$K$4:$K$38,1)+2,IF(Q15=1700,MATCH(O15,'1988'!$L$4:$L$36,1)+2,IF(Q15=2000,MATCH(O15,'1988'!$M$4:$M$34,1)+2,IF(Q15=2100,MATCH(O15,'1988'!$N$4:$N$34,1)+2,IF(Q15=2150,MATCH(O15,'1988'!$O$4:$O$36,1)+2,IF(Q15=3000,MATCH(O15,'1988'!$P$4:$P$25,1)+2,IF(Q15=3200,MATCH(O15,'1988'!$Q$4:$Q$28,1)+2,IF(Q15=3300,MATCH(O15,'1988'!$R$4:$R$26,1)+2,IF(Q15=3500,MATCH(O15,'1988'!$S$4:$S$24,1)+2,))))))))))))))))),P15)),IF(OR(O15&lt;Q15,O15=Q15),Q15,INDEX('1988'!$C$4:$V$39,IF(Q15=775,MATCH(O15,'1988'!$C$4:$C$24,1)+1,IF(Q15=800,MATCH(O15,'1988'!$D$4:$D$32,1)+1,IF(Q15=850,MATCH(O15,'1988'!$E$4:$E$39,1)+1,IF(Q15=950,MATCH(O15,'1988'!$F$4:$F$34,1)+1,IF(Q15=970,MATCH(O15,'1988'!$G$4:$G$35,1)+1,IF(Q15=1020,MATCH(O15,'1988'!$H$4:$H$38,1)+1,IF(Q15=1250,MATCH(O15,'1988'!$I$4:$I$36,1)+1,IF(Q15=1300,MATCH(O15,'1988'!$J$4:$J$38,1)+1,IF(Q15=1450,MATCH(O15,'1988'!$K$4:$K$38,1)+1,IF(Q15=1700,MATCH(O15,'1988'!$L$4:$L$36,1)+1,IF(Q15=2000,MATCH(O15,'1988'!$M$4:$M$34,1)+1,IF(Q15=2100,MATCH(O15,'1988'!$N$4:$N$34,1)+1,IF(Q15=2150,MATCH(O15,'1988'!$O$4:$O$36,1)+1,IF(Q15=3000,MATCH(O15,'1988'!$P$4:$P$25,1)+1,IF(Q15=3200,MATCH(O15,'1988'!$Q$4:$Q$28,1)+1,IF(Q15=3300,MATCH(O15,'1988'!$R$4:$R$26,1)+1,IF(Q15=3500,MATCH(O15,'1988'!$S$4:$S$24,1)+1,))))))))))))))))),P15))))</f>
        <v/>
      </c>
      <c r="M15" s="602" t="str">
        <f>M13</f>
        <v>FR-22(C)</v>
      </c>
      <c r="N15" s="635" t="str">
        <f>IF(I15="","",MATCH(VLOOKUP(I15-1,$C$27:$D$37,2,TRUE),(IF(Q13=775,'1988'!$C$4:$C$24,IF(Q13=800,'1988'!$D$4:$D$32,IF(Q13=850,'1988'!$E$4:$E$39,IF(Q13=950,'1988'!$F$4:$F$34,IF(Q13=970,'1988'!$G$4:$G$35,IF(Q13=1020,'1988'!$H$4:$H$38,IF(Q13=1250,'1988'!$I$4:$I$36,IF(Q13=1300,'1988'!$J$4:$J$38,IF(Q13=1450,'1988'!$K$4:$K$38,IF(Q13=1700,'1988'!$L$4:$L$36,IF(Q13=2000,'1988'!$M$4:$M$34,IF(Q13=2100,'1988'!$N$4:$N$34,IF(Q13=2150,'1988'!$O$4:$O$36,IF(Q13=3000,'1988'!$P$4:$P$25,IF(Q13=3200,'1988'!$Q$4:$Q$28,IF(Q13=3300,'1988'!$R$4:$R$26,IF(Q13=3500,'1988'!$S$4:$S$24,IF(Q13=3600,'1988'!$T$4:$T$20,IF(Q13=4000,'1988'!$U$4:$U$17,IF(Q13=5900,'1988'!$V$4:$V$8))))))))))))))))))))))+1)</f>
        <v/>
      </c>
      <c r="O15" s="636" t="str" cm="1">
        <f t="array" ref="O15">IF(I15="","",INDEX('1988'!$C$4:$V$39,N15,$P$13))</f>
        <v/>
      </c>
      <c r="P15" s="789" t="str">
        <f>IF(Q15=775,"1",IF(AND(Q15=800),"2",IF(AND(Q15=850),"3",IF(AND(Q15=950),"4",IF(AND(Q15=970),"5",IF(AND(Q15=1020),"6",IF(AND(Q15=1250),"7",IF(AND(Q15=1300),"8",IF(AND(Q15=1450),"9",IF(AND(Q15=1700),"10",IF(AND(Q15=2000),"11",IF(AND(Q15=2100),"12",IF(AND(Q15=2150),"13",IF(AND(Q15=3000),"14",IF(AND(Q15=3200),"15",IF(AND(Q15=3300),"16",IF(AND(Q15=3500),"17",IF(AND(Q15=3600),"18",IF(AND(Q15=4000),"19",IF(AND(Q15=5900),"20"))))))))))))))))))))</f>
        <v>1</v>
      </c>
      <c r="Q15" s="902" cm="1">
        <f t="array" ref="Q15">IF(I15="",Q13,IF(AND(OR($C$4="Jr. Physical Instructor",$C$4="Physical Instructor"),$Q$13=1250),1450,IF(I15&gt;36160,Q13,INDEX('Pay Scales'!$E$134:$E$153,MATCH(Q13,'Pay Scales'!$E$134:$E$153,0)+1,1))))</f>
        <v>775</v>
      </c>
      <c r="R15" s="838" t="str">
        <f>IF(Q15=775,"Pay Scale (₹775-₹1130)",IF(Q15=800,"Pay Scale (₹800-₹1520)",IF(Q15=850,"Pay Scale (₹850-₹2130)",IF(Q15=950,"Pay Scale (₹950-₹2170)",IF(Q15=970,"Pay Scale (₹970-₹2400)",IF(Q15=1020,"Pay Scale (₹1020-₹2620)",IF(Q15=1250,"Pay Scale (₹1250-₹2890)",IF(Q15=1300,"Pay Scale (₹1300-₹3220)",IF(Q15=1450,"Pay Scale (₹1450-₹3710)",IF(Q15=1700,"Pay Scale (₹1700-₹3980)",IF(Q15=2000,"Pay Scale (₹2000-₹4410)",IF(Q15=2100,"Pay Scale (₹2100-₹4530)",IF(Q15=2150,"Pay Scale (₹2100-₹5000)",IF(Q15=3000,"Pay Scale (₹3000-₹5000)",IF(Q15=3200,"Pay Scale (₹3200-₹5600)",IF(Q15=3300,"Pay Scale (₹3300-₹5700)",IF(Q15=3500,"Pay Scale (₹3500-₹5700)",IF(Q15=3600,"Pay Scale (₹3600-₹5800)",IF(Q15=4000,"Pay Scale (₹4000-₹5900)",IF(Q15=5900,"Pay Scale (₹5900-₹6300)"))))))))))))))))))))</f>
        <v>Pay Scale (₹775-₹1130)</v>
      </c>
      <c r="S15" s="839"/>
    </row>
    <row r="16" spans="2:20" ht="17.850000000000001" customHeight="1" thickBot="1" x14ac:dyDescent="0.3">
      <c r="B16" s="819" t="str">
        <f>IF(D15&lt;=640,"65% Dearness Pay","52% Dearness Pay")</f>
        <v>65% Dearness Pay</v>
      </c>
      <c r="C16" s="819"/>
      <c r="D16" s="365">
        <f>IF(D15&lt;=640,D15*65%,MIN(MAX((D15*52%),416),780))</f>
        <v>0</v>
      </c>
      <c r="E16" s="817" t="str">
        <f t="shared" si="0"/>
        <v>Regular on 05-03-1987</v>
      </c>
      <c r="F16" s="817"/>
      <c r="H16" s="435"/>
      <c r="I16" s="579" t="str" cm="1">
        <f t="array" ref="I16">IF(I15&lt;C37,INDEX('Pay Scales'!F5:F15,(MATCH(I15,'Pay Scales'!$F$5:$F$15,1)+1)),"")</f>
        <v/>
      </c>
      <c r="J16" s="627" t="str" cm="1">
        <f t="array" ref="J16">IF(I15&lt;C37,INDEX('1988'!C4:V39,IF(Q15=775,MATCH(J15,'1988'!C4:C24,1)+1,IF(Q15=800,MATCH(J15,'1988'!D4:D32,1)+1,IF(Q15=850,MATCH(J15,'1988'!E4:E39,1)+1,IF(Q15=950,MATCH(J15,'1988'!F4:F34,1)+1,IF(Q15=970,MATCH(J15,'1988'!G4:G35,1)+1,IF(Q15=1020,MATCH(J15,'1988'!H4:H38,1)+1,IF(Q15=1250,MATCH(J15,'1988'!I4:I36,1)+1,IF(Q15=1300,MATCH(J15,'1988'!J4:J38,1)+1,IF(Q15=1450,MATCH(J15,'1988'!K4:K38,1)+1,IF(Q15=1700,MATCH(J15,'1988'!L4:L36,1)+1,IF(Q15=2000,MATCH(J15,'1988'!M4:M34,1)+1,IF(Q15=2100,MATCH(J15,'1988'!N4:N34,1)+1,IF(Q15=2150,MATCH(J15,'1988'!O4:O36,1)+1,IF(Q15=3000,MATCH(J15,'1988'!P4:P25,1)+1,IF(Q15=3200,MATCH(J15,'1988'!Q4:Q28,1)+1,IF(Q15=3300,MATCH(J15,'1988'!R4:R26,1)+1,IF(Q15=3500,MATCH(J15,'1988'!S4:S24,1)+1,))))))))))))))))),P15),"")</f>
        <v/>
      </c>
      <c r="K16" s="603"/>
      <c r="L16" s="630" t="str" cm="1">
        <f t="array" ref="L16">IF(I15&lt;C37,INDEX('1988'!$C$4:$V$39,IF(Q15=775,MATCH(L15,'1988'!$C$4:$C$24,1)+1,IF(Q15=800,MATCH(L15,'1988'!$D$4:$D$32,1)+1,IF(Q15=850,MATCH(L15,'1988'!$E$4:$E$39,1)+1,IF(Q15=950,MATCH(L15,'1988'!$F$4:$F$34,1)+1,IF(Q15=970,MATCH(L15,'1988'!$G$4:$G$35,1)+1,IF(Q15=1020,MATCH(L15,'1988'!$H$4:$H$38,1)+1,IF(Q15=1250,MATCH(L15,'1988'!$I$4:$I$36,1)+1,IF(Q15=1300,MATCH(L15,'1988'!$J$4:$J$38,1)+1,IF(Q15=1450,MATCH(L15,'1988'!$K$4:$K$38,1)+1,IF(Q15=1700,MATCH(L15,'1988'!$L$4:$L$36,1)+1,IF(Q15=2000,MATCH(L15,'1988'!$M$4:$M$34,1)+1,IF(Q15=2100,MATCH(L15,'1988'!$N$4:$N$34,1)+1,IF(Q15=2150,MATCH(L15,'1988'!$O$4:$O$36,1)+1,IF(Q15=3000,MATCH(L15,'1988'!$P$4:$P$25,1)+1,IF(Q15=3200,MATCH(L15,'1988'!$Q$4:$Q$28,1)+1,IF(Q15=3300,MATCH(L15,'1988'!$R$4:$R$26,1)+1,IF(Q15=3500,MATCH(L15,'1988'!$S$4:$S$24,1)+1,))))))))))))))))),P15),"")</f>
        <v/>
      </c>
      <c r="M16" s="603"/>
      <c r="N16" s="637" t="str">
        <f>IF(I15="","",N15+1)</f>
        <v/>
      </c>
      <c r="O16" s="638" t="str" cm="1">
        <f t="array" ref="O16">IF(I15="","",INDEX('1988'!$C$4:$V$39,N16,$P$13))</f>
        <v/>
      </c>
      <c r="P16" s="793"/>
      <c r="Q16" s="903"/>
      <c r="R16" s="840"/>
      <c r="S16" s="841"/>
    </row>
    <row r="17" spans="1:20" ht="17.850000000000001" customHeight="1" x14ac:dyDescent="0.25">
      <c r="B17" s="819" t="s">
        <v>38</v>
      </c>
      <c r="C17" s="819"/>
      <c r="D17" s="365">
        <f>SUM(D15:D16)</f>
        <v>0</v>
      </c>
      <c r="E17" s="817" t="str">
        <f t="shared" ca="1" si="0"/>
        <v>CAS-1 on 05-03-1997 (after 10 years)</v>
      </c>
      <c r="F17" s="817"/>
      <c r="H17" s="421" t="str">
        <f>IF($I$17="","",IF(OR(ISNUMBER(SEARCH("CAS",$E$7)),ISNUMBER(SEARCH("ACP",$E$7))),"Gradation-1",$E$7))</f>
        <v/>
      </c>
      <c r="I17" s="577" t="str">
        <f>IF(AND(F7&gt;$C$27,F7&lt;35065),F7,"")</f>
        <v/>
      </c>
      <c r="J17" s="625" t="str" cm="1">
        <f t="array" ref="J17">IF(I17&gt;$C$37,"",IF(DAY(I17)=1,IF(OR(O17&lt;Q17,O17=Q17),Q17,INDEX('1988'!$C$4:$V$39,IF(Q17=775,MATCH(O17,'1988'!$C$4:$C$24,1)+1,IF(Q17=800,MATCH(O17,'1988'!$D$4:$D$32,1)+1,IF(Q17=850,MATCH(O17,'1988'!$E$4:$E$39,1)+1,IF(Q17=950,MATCH(O17,'1988'!$F$4:$F$34,1)+1,IF(Q17=970,MATCH(O17,'1988'!$G$4:$G$35,1)+1,IF(Q17=1020,MATCH(O17,'1988'!$H$4:$H$38,1)+1,IF(Q17=1250,MATCH(O17,'1988'!$I$4:$I$36,1)+1,IF(Q17=1300,MATCH(O17,'1988'!$J$4:$J$38,1)+1,IF(Q17=1450,MATCH(O17,'1988'!$K$4:$K$38,1)+1,IF(Q17=1700,MATCH(O17,'1988'!$L$4:$L$36,1)+1,IF(Q17=2000,MATCH(O17,'1988'!$M$4:$M$34,1)+1,IF(Q17=2100,MATCH(O17,'1988'!$N$4:$N$34,1)+1,IF(Q17=2150,MATCH(O17,'1988'!$O$4:$O$36,1)+1,IF(Q17=3000,MATCH(O17,'1988'!$P$4:$P$25,1)+1,IF(Q17=3200,MATCH(O17,'1988'!$Q$4:$Q$28,1)+1,IF(Q17=3300,MATCH(O17,'1988'!$R$4:$R$26,1)+1,IF(Q17=3500,MATCH(O17,'1988'!$S$4:$S$24,1)+1,))))))))))))))))),P17)),IF(OR(VLOOKUP(I17-1,$C$27:$D$37,2,TRUE)&lt;Q17,VLOOKUP(I17-1,$C$27:$D$37,2,TRUE)=Q17),Q17,INDEX('1988'!$C$4:$V$39,IF(Q17=775,MATCH(VLOOKUP(I17-1,$C$27:$D$37,2,TRUE),'1988'!$C$4:$C$24,1)+1,IF(Q17=800,MATCH(VLOOKUP(I17-1,$C$27:$D$37,2,TRUE),'1988'!$D$4:$D$32,1)+1,IF(Q17=850,MATCH(VLOOKUP(I17-1,$C$27:$D$37,2,TRUE),'1988'!$E$4:$E$39,1)+1,IF(Q17=950,MATCH(VLOOKUP(I17-1,$C$27:$D$37,2,TRUE),'1988'!$F$4:$F$34,1)+1,IF(Q17=970,MATCH(VLOOKUP(I17-1,$C$27:$D$37,2,TRUE),'1988'!$G$4:$G$35,1)+1,IF(Q17=1020,MATCH(VLOOKUP(I17-1,$C$27:$D$37,2,TRUE),'1988'!$H$4:$H$38,1)+1,IF(Q17=1250,MATCH(VLOOKUP(I17-1,$C$27:$D$37,2,TRUE),'1988'!$I$4:$I$36,1)+1,IF(Q17=1300,MATCH(VLOOKUP(I17-1,$C$27:$D$37,2,TRUE),'1988'!$J$4:$J$38,1)+1,IF(Q17=1450,MATCH(VLOOKUP(I17-1,$C$27:$D$37,2,TRUE),'1988'!$K$4:$K$38,1)+1,IF(Q17=1700,MATCH(VLOOKUP(I17-1,$C$27:$D$37,2,TRUE),'1988'!$L$4:$L$36,1)+1,IF(Q17=2000,MATCH(VLOOKUP(I17-1,$C$27:$D$37,2,TRUE),'1988'!$M$4:$M$34,1)+1,IF(Q17=2100,MATCH(VLOOKUP(I17-1,$C$27:$D$37,2,TRUE),'1988'!$N$4:$N$34,1)+1,IF(Q17=2150,MATCH(VLOOKUP(I17-1,$C$27:$D$37,2,TRUE),'1988'!$O$4:$O$36,1)+1,IF(Q17=3000,MATCH(VLOOKUP(I17-1,$C$27:$D$37,2,TRUE),'1988'!$P$4:$P$25,1)+1,IF(Q17=3200,MATCH(VLOOKUP(I17-1,$C$27:$D$37,2,TRUE),'1988'!$Q$4:$Q$28,1)+1,IF(Q17=3300,MATCH(VLOOKUP(I17-1,$C$27:$D$37,2,TRUE),'1988'!$R$4:$R$26,1)+1,IF(Q17=3500,MATCH(VLOOKUP(I17-1,$C$27:$D$37,2,TRUE),'1988'!$S$4:$S$24,1)+1,))))))))))))))))),P17))))</f>
        <v/>
      </c>
      <c r="K17" s="602" t="str">
        <f>K15</f>
        <v>FR-22(a)(i)</v>
      </c>
      <c r="L17" s="628" t="str" cm="1">
        <f t="array" ref="L17">IF(I17&gt;$C$37,"",IF(DAY(I17)=1,IF(OR(O17&lt;Q17,O17=Q17),Q17,INDEX('1988'!$C$4:$V$39,IF(Q17=775,MATCH(O17,'1988'!$C$4:$C$24,1)+2,IF(Q17=800,MATCH(O17,'1988'!$D$4:$D$32,1)+2,IF(Q17=850,MATCH(O17,'1988'!$E$4:$E$39,1)+2,IF(Q17=950,MATCH(O17,'1988'!$F$4:$F$34,1)+2,IF(Q17=970,MATCH(O17,'1988'!$G$4:$G$35,1)+2,IF(Q17=1020,MATCH(O17,'1988'!$H$4:$H$38,1)+2,IF(Q17=1250,MATCH(O17,'1988'!$I$4:$I$36,1)+2,IF(Q17=1300,MATCH(O17,'1988'!$J$4:$J$38,1)+2,IF(Q17=1450,MATCH(O17,'1988'!$K$4:$K$38,1)+2,IF(Q17=1700,MATCH(O17,'1988'!$L$4:$L$36,1)+2,IF(Q17=2000,MATCH(O17,'1988'!$M$4:$M$34,1)+2,IF(Q17=2100,MATCH(O17,'1988'!$N$4:$N$34,1)+2,IF(Q17=2150,MATCH(O17,'1988'!$O$4:$O$36,1)+2,IF(Q17=3000,MATCH(O17,'1988'!$P$4:$P$25,1)+2,IF(Q17=3200,MATCH(O17,'1988'!$Q$4:$Q$28,1)+2,IF(Q17=3300,MATCH(O17,'1988'!$R$4:$R$26,1)+2,IF(Q17=3500,MATCH(O17,'1988'!$S$4:$S$24,1)+2,))))))))))))))))),P17)),IF(OR(O17&lt;Q17,O17=Q17),Q17,INDEX('1988'!$C$4:$V$39,IF(Q17=775,MATCH(O17,'1988'!$C$4:$C$24,1)+1,IF(Q17=800,MATCH(O17,'1988'!$D$4:$D$32,1)+1,IF(Q17=850,MATCH(O17,'1988'!$E$4:$E$39,1)+1,IF(Q17=950,MATCH(O17,'1988'!$F$4:$F$34,1)+1,IF(Q17=970,MATCH(O17,'1988'!$G$4:$G$35,1)+1,IF(Q17=1020,MATCH(O17,'1988'!$H$4:$H$38,1)+1,IF(Q17=1250,MATCH(O17,'1988'!$I$4:$I$36,1)+1,IF(Q17=1300,MATCH(O17,'1988'!$J$4:$J$38,1)+1,IF(Q17=1450,MATCH(O17,'1988'!$K$4:$K$38,1)+1,IF(Q17=1700,MATCH(O17,'1988'!$L$4:$L$36,1)+1,IF(Q17=2000,MATCH(O17,'1988'!$M$4:$M$34,1)+1,IF(Q17=2100,MATCH(O17,'1988'!$N$4:$N$34,1)+1,IF(Q17=2150,MATCH(O17,'1988'!$O$4:$O$36,1)+1,IF(Q17=3000,MATCH(O17,'1988'!$P$4:$P$25,1)+1,IF(Q17=3200,MATCH(O17,'1988'!$Q$4:$Q$28,1)+1,IF(Q17=3300,MATCH(O17,'1988'!$R$4:$R$26,1)+1,IF(Q17=3500,MATCH(O17,'1988'!$S$4:$S$24,1)+1,))))))))))))))))),P17))))</f>
        <v/>
      </c>
      <c r="M17" s="602" t="str">
        <f>M15</f>
        <v>FR-22(C)</v>
      </c>
      <c r="N17" s="639" t="str">
        <f>IF(I17="","",MATCH(VLOOKUP(I17-1,$C$27:$D$37,2,TRUE),(IF(Q15=775,'1988'!$C$4:$C$24,IF(Q15=800,'1988'!$D$4:$D$32,IF(Q15=850,'1988'!$E$4:$E$39,IF(Q15=950,'1988'!$F$4:$F$34,IF(Q15=970,'1988'!$G$4:$G$35,IF(Q15=1020,'1988'!$H$4:$H$38,IF(Q15=1250,'1988'!$I$4:$I$36,IF(Q15=1300,'1988'!$J$4:$J$38,IF(Q15=1450,'1988'!$K$4:$K$38,IF(Q15=1700,'1988'!$L$4:$L$36,IF(Q15=2000,'1988'!$M$4:$M$34,IF(Q15=2100,'1988'!$N$4:$N$34,IF(Q15=2150,'1988'!$O$4:$O$36,IF(Q15=3000,'1988'!$P$4:$P$25,IF(Q15=3200,'1988'!$Q$4:$Q$28,IF(Q15=3300,'1988'!$R$4:$R$26,IF(Q15=3500,'1988'!$S$4:$S$24,IF(Q15=3600,'1988'!$T$4:$T$20,IF(Q15=4000,'1988'!$U$4:$U$17,IF(Q15=5900,'1988'!$V$4:$V$8))))))))))))))))))))))+1)</f>
        <v/>
      </c>
      <c r="O17" s="632" t="str" cm="1">
        <f t="array" ref="O17">IF(I17="","",INDEX('1988'!$C$4:$V$39,N17,$P$15))</f>
        <v/>
      </c>
      <c r="P17" s="787" t="str">
        <f>IF(Q17=775,"1",IF(AND(Q17=800),"2",IF(AND(Q17=850),"3",IF(AND(Q17=950),"4",IF(AND(Q17=970),"5",IF(AND(Q17=1020),"6",IF(AND(Q17=1250),"7",IF(AND(Q17=1300),"8",IF(AND(Q17=1450),"9",IF(AND(Q17=1700),"10",IF(AND(Q17=2000),"11",IF(AND(Q17=2100),"12",IF(AND(Q17=2150),"13",IF(AND(Q17=3000),"14",IF(AND(Q17=3200),"15",IF(AND(Q17=3300),"16",IF(AND(Q17=3500),"17",IF(AND(Q17=3600),"18",IF(AND(Q17=4000),"19",IF(AND(Q17=5900),"20"))))))))))))))))))))</f>
        <v>1</v>
      </c>
      <c r="Q17" s="902" cm="1">
        <f t="array" ref="Q17">IF(I17&gt;36160,Q15,INDEX('Pay Scales'!$E$134:$E$153,MATCH(Q15,'Pay Scales'!$E$134:$E$153,0)+1,1))</f>
        <v>775</v>
      </c>
      <c r="R17" s="838" t="str">
        <f>IF(Q17=775,"Pay Scale (₹775-₹1130)",IF(Q17=800,"Pay Scale (₹800-₹1520)",IF(Q17=850,"Pay Scale (₹850-₹2130)",IF(Q17=950,"Pay Scale (₹950-₹2170)",IF(Q17=970,"Pay Scale (₹970-₹2400)",IF(Q17=1020,"Pay Scale (₹1020-₹2620)",IF(Q17=1250,"Pay Scale (₹1250-₹2890)",IF(Q17=1300,"Pay Scale (₹1300-₹3220)",IF(Q17=1450,"Pay Scale (₹1450-₹3710)",IF(Q17=1700,"Pay Scale (₹1700-₹3980)",IF(Q17=2000,"Pay Scale (₹2000-₹4410)",IF(Q17=2100,"Pay Scale (₹2100-₹4530)",IF(Q17=2150,"Pay Scale (₹2100-₹5000)",IF(Q17=3000,"Pay Scale (₹3000-₹5000)",IF(Q17=3200,"Pay Scale (₹3200-₹5600)",IF(Q17=3300,"Pay Scale (₹3300-₹5700)",IF(Q17=3500,"Pay Scale (₹3500-₹5700)",IF(Q17=3600,"Pay Scale (₹3600-₹5800)",IF(Q17=4000,"Pay Scale (₹4000-₹5900)",IF(Q17=5900,"Pay Scale (₹5900-₹6300)"))))))))))))))))))))</f>
        <v>Pay Scale (₹775-₹1130)</v>
      </c>
      <c r="S17" s="839"/>
      <c r="T17" s="313"/>
    </row>
    <row r="18" spans="1:20" ht="17.850000000000001" customHeight="1" thickBot="1" x14ac:dyDescent="0.3">
      <c r="B18" s="819" t="s">
        <v>39</v>
      </c>
      <c r="C18" s="819"/>
      <c r="D18" s="365">
        <f>MIN(MAX((D17*15%),100),300)</f>
        <v>100</v>
      </c>
      <c r="E18" s="817" t="str">
        <f t="shared" ca="1" si="0"/>
        <v>CAS-2 on 05-03-2004 (after 17 years)</v>
      </c>
      <c r="F18" s="817"/>
      <c r="H18" s="408"/>
      <c r="I18" s="578" t="str" cm="1">
        <f t="array" ref="I18">IF(I17&lt;C37,INDEX('Pay Scales'!F5:F15,(MATCH(I17,'Pay Scales'!$F$5:$F$15,1)+1)),"")</f>
        <v/>
      </c>
      <c r="J18" s="626" t="str" cm="1">
        <f t="array" ref="J18">IF(I17&lt;C37,INDEX('1988'!C4:V39,IF(Q17=775,MATCH(J17,'1988'!C4:C24,1)+1,IF(Q17=800,MATCH(J17,'1988'!D4:D32,1)+1,IF(Q17=850,MATCH(J17,'1988'!E4:E39,1)+1,IF(Q17=950,MATCH(J17,'1988'!F4:F34,1)+1,IF(Q17=970,MATCH(J17,'1988'!G4:G35,1)+1,IF(Q17=1020,MATCH(J17,'1988'!H4:H38,1)+1,IF(Q17=1250,MATCH(J17,'1988'!I4:I36,1)+1,IF(Q17=1300,MATCH(J17,'1988'!J4:J38,1)+1,IF(Q17=1450,MATCH(J17,'1988'!K4:K38,1)+1,IF(Q17=1700,MATCH(J17,'1988'!L4:L36,1)+1,IF(Q17=2000,MATCH(J17,'1988'!M4:M34,1)+1,IF(Q17=2100,MATCH(J17,'1988'!N4:N34,1)+1,IF(Q17=2150,MATCH(J17,'1988'!O4:O36,1)+1,IF(Q17=3000,MATCH(J17,'1988'!P4:P25,1)+1,IF(Q17=3200,MATCH(J17,'1988'!Q4:Q28,1)+1,IF(Q17=3300,MATCH(J17,'1988'!R4:R26,1)+1,IF(Q17=3500,MATCH(J17,'1988'!S4:S24,1)+1,))))))))))))))))),P17),"")</f>
        <v/>
      </c>
      <c r="K18" s="603"/>
      <c r="L18" s="629" t="str" cm="1">
        <f t="array" ref="L18">IF(I17&lt;C37,INDEX('1988'!$C$4:$V$39,IF(Q17=775,MATCH(L17,'1988'!$C$4:$C$24,1)+1,IF(Q17=800,MATCH(L17,'1988'!$D$4:$D$32,1)+1,IF(Q17=850,MATCH(L17,'1988'!$E$4:$E$39,1)+1,IF(Q17=950,MATCH(L17,'1988'!$F$4:$F$34,1)+1,IF(Q17=970,MATCH(L17,'1988'!$G$4:$G$35,1)+1,IF(Q17=1020,MATCH(L17,'1988'!$H$4:$H$38,1)+1,IF(Q17=1250,MATCH(L17,'1988'!$I$4:$I$36,1)+1,IF(Q17=1300,MATCH(L17,'1988'!$J$4:$J$38,1)+1,IF(Q17=1450,MATCH(L17,'1988'!$K$4:$K$38,1)+1,IF(Q17=1700,MATCH(L17,'1988'!$L$4:$L$36,1)+1,IF(Q17=2000,MATCH(L17,'1988'!$M$4:$M$34,1)+1,IF(Q17=2100,MATCH(L17,'1988'!$N$4:$N$34,1)+1,IF(Q17=2150,MATCH(L17,'1988'!$O$4:$O$36,1)+1,IF(Q17=3000,MATCH(L17,'1988'!$P$4:$P$25,1)+1,IF(Q17=3200,MATCH(L17,'1988'!$Q$4:$Q$28,1)+1,IF(Q17=3300,MATCH(L17,'1988'!$R$4:$R$26,1)+1,IF(Q17=3500,MATCH(L17,'1988'!$S$4:$S$24,1)+1,))))))))))))))))),P17),"")</f>
        <v/>
      </c>
      <c r="M18" s="603"/>
      <c r="N18" s="640" t="str">
        <f>IF(I17="","",N17+1)</f>
        <v/>
      </c>
      <c r="O18" s="634" t="str" cm="1">
        <f t="array" ref="O18">IF(I17="","",INDEX('1988'!$C$4:$V$39,N18,$P$15))</f>
        <v/>
      </c>
      <c r="P18" s="794"/>
      <c r="Q18" s="903"/>
      <c r="R18" s="840"/>
      <c r="S18" s="841"/>
      <c r="T18" s="313"/>
    </row>
    <row r="19" spans="1:20" ht="17.850000000000001" customHeight="1" thickBot="1" x14ac:dyDescent="0.3">
      <c r="B19" s="819" t="str">
        <f>IF(D15&lt;=640,"20% Additional DA","16% Additional DA")</f>
        <v>20% Additional DA</v>
      </c>
      <c r="C19" s="819"/>
      <c r="D19" s="365">
        <f>IF(D15&lt;=640,D15*20%,MIN(MAX((D15*16%),128),240))</f>
        <v>0</v>
      </c>
      <c r="E19" s="817" t="str">
        <f t="shared" si="0"/>
        <v>ACP-3 on 05-03-2012 (after 25 years)</v>
      </c>
      <c r="F19" s="817"/>
      <c r="G19" s="175"/>
    </row>
    <row r="20" spans="1:20" ht="17.850000000000001" customHeight="1" thickBot="1" x14ac:dyDescent="0.3">
      <c r="B20" s="819" t="s">
        <v>40</v>
      </c>
      <c r="C20" s="819"/>
      <c r="D20" s="365">
        <f>D15*20%</f>
        <v>0</v>
      </c>
      <c r="E20" s="817" t="str">
        <f t="shared" si="0"/>
        <v/>
      </c>
      <c r="F20" s="817"/>
      <c r="G20" s="175"/>
      <c r="H20" s="855" t="s">
        <v>41</v>
      </c>
      <c r="I20" s="856"/>
      <c r="J20" s="856"/>
      <c r="K20" s="856"/>
      <c r="L20" s="856"/>
      <c r="M20" s="856"/>
      <c r="N20" s="856"/>
      <c r="O20" s="857"/>
      <c r="P20" s="791" t="str">
        <f>IF(Q20=2600,"1",IF(AND(Q20=2650),"2",IF(AND(Q20=2750),"3",IF(AND(Q20=2900),"4",IF(AND(Q20=3050),"5",IF(AND(Q20=3200),"6",IF(AND(Q20=3300),"7",IF(AND(Q20=4000),"8",IF(AND(Q20=4200),"9",IF(AND(Q20=5000),"10",IF(AND(Q20=5500),"11",IF(AND(Q20=6500),"12",IF(AND(Q20=7450),"13",IF(AND(Q20=7800),"14",IF(AND(Q20=10000),"15",IF(AND(Q20=10650),"16",IF(AND(Q20=11000),"17",IF(AND(Q20=11150),"18",IF(AND(Q20=12000),"19")))))))))))))))))))</f>
        <v>1</v>
      </c>
      <c r="Q20" s="553">
        <f>IF(AND(OR($C$4="Jr. Physical Instructor",$C$4="Physical Instructor",$C$4="U.D.C."),$Q$17=1250),4200,IF(Q17=775,2600,IF(Q17=800,2650,IF(Q17=850,2750,IF(Q17=950,3050,IF(Q17=970,3300,IF(Q17=1020,3300,IF(Q17=1250,4000,IF(Q17=1300,4200,IF(Q17=1450,5000,IF(Q17=1700,5500,IF(Q17=2000,6500,IF(Q17=2100,7450,IF(Q17=2150,7800,IF(Q17=3000,10000,IF(Q17=3200,10650,IF(Q17=3300,11000,IF(Q17=3500,11150,IF(Q17=3600,12000,IF(Q17=4000,14150,Q17))))))))))))))))))))</f>
        <v>2600</v>
      </c>
      <c r="R20" s="946" t="str">
        <f>IF(Q20=2600,"Pay Scale (₹2600-₹3545)",IF(Q20=2650,"Pay Scale (₹2650-₹4350)",IF(Q20=2750,"Pay Scale (₹2750-₹4925)",IF(Q20=2900,"Pay Scale (₹2900-₹5660)",IF(Q20=3050,"Pay Scale (₹3050-₹5910)",IF(Q20=3200,"Pay Scale (₹3200-₹6030)",IF(Q20=3300,"Pay Scale (₹3300-₹7100)",IF(Q20=4000,"Pay Scale (₹4000-₹7890)",IF(Q20=4200,"Pay Scale (₹4200-₹8650)",IF(Q20=5000,"Pay Scale (₹5000-₹10300)",IF(Q20=5500,"Pay Scale (₹5500-₹10700)",IF(Q20=6500,"Pay Scale (₹6500-₹12300)",IF(Q20=7450,"Pay Scale (₹7450-₹13000)",IF(Q20=7800,"Pay Scale (₹7800-₹15100)",IF(Q20=10000,"Pay Scale (₹10000-₹15100)",IF(Q20=10650,"Pay Scale (₹10650-₹15850)",IF(Q20=11000,"Pay Scale (₹11000-₹18000)",IF(Q20=11150,"Pay Scale (₹11150-₹18275)",IF(Q20=12000,"Pay Scale (₹12000-₹18400)")))))))))))))))))))</f>
        <v>Pay Scale (₹2600-₹3545)</v>
      </c>
      <c r="S20" s="947"/>
    </row>
    <row r="21" spans="1:20" ht="17.850000000000001" customHeight="1" x14ac:dyDescent="0.25">
      <c r="B21" s="819" t="s">
        <v>38</v>
      </c>
      <c r="C21" s="819"/>
      <c r="D21" s="365">
        <f>SUM(D17:D20)</f>
        <v>100</v>
      </c>
      <c r="E21" s="817" t="str">
        <f t="shared" si="0"/>
        <v/>
      </c>
      <c r="F21" s="817"/>
      <c r="H21" s="421" t="str">
        <f ca="1">IF($I$21="","",IF(OR(ISNUMBER(SEARCH("Grad",$E$5)),ISNUMBER(SEARCH("ACP",$E$5))),"CAS-1",$E$5))</f>
        <v>CAS-1</v>
      </c>
      <c r="I21" s="577">
        <f>IF(AND(F5&gt;35064,F5&lt;38718),F5,IF(AND(F5&gt;38717,F5&lt;39939,$L$60=TRUE),F5,""))</f>
        <v>35494</v>
      </c>
      <c r="J21" s="641" cm="1">
        <f t="array" ref="J21">IF(I21="","",IF(OR(AND(DAY(I21)=1,MONTH(I21)=1,DAY(C39)=1,MONTH(C39)=1),(AND(DAY(I21)=1,MONTH(I21)=MONTH(C39)))),IF(OR(VLOOKUP(I21-1,$C$48:$D$58,2,TRUE)&lt;Q21,VLOOKUP(I21-1,$C$48:$D$58,2,TRUE)=Q21),Q21,IF(AND(I21&gt;$C$39,I21&lt;39938),INDEX('1999'!$C$4:$U$40,IF(Q21=2600,MATCH(O21,'1999'!$C$4:$C$20,1)+1,IF(Q21=2650,MATCH(O21,'1999'!$D$4:$D$29,1)+1,IF(Q21=2750,MATCH(O21,'1999'!$E$4:$E$34,1)+1,IF(Q21=2900,MATCH(O21,'1999'!$F$4:$F$38,1)+1,IF(Q21=3050,MATCH(O21,'1999'!$G$4:$G$31,1)+1,IF(Q21=3200,MATCH(O21,'1999'!$H$4:$H$33,1)+1,IF(Q21=3300,MATCH(O21,'1999'!$I$4:$I$39,1)+1,IF(Q21=4000,MATCH(O21,'1999'!$J$4:$J$37,1)+1,IF(Q21=4200,MATCH(O21,'1999'!$K$4:$K$38,1)+1,IF(Q21=5000,MATCH(O21,'1999'!$L$4:$L$40,1)+1,IF(Q21=5500,MATCH(O21,'1999'!$M$4:$M$35,1)+1,IF(Q21=6500,MATCH(O21,'1999'!$N$4:$N$32,1)+1,IF(Q21=7450,MATCH(O21,'1999'!$O$4:$O$28,1)+1,IF(Q21=7800,MATCH(O21,'1999'!$P$4:$P$29,1)+1,IF(Q21=10000,MATCH(O21,'1999'!$Q$4:$Q$21,1)+1,IF(Q21=10650,MATCH(O21,'1999'!$R$4:$R$20,1)+1,IF(Q21=11000,MATCH(O21,'1999'!$S$4:$S$24,1)+1,))))))))))))))))),P21),"")),IF(VLOOKUP(I21-1,$C$48:$D$58,2,TRUE)&lt;Q21,Q21,IF(AND(I21&gt;35065,I21&lt;36161),INDEX('1999'!$C$4:$U$40,IF(Q21=2600,MATCH(VLOOKUP(I21-1,$C$48:$D$58,2,TRUE),'1999'!$C$4:$C$20,1)+1,IF(Q21=2650,MATCH(VLOOKUP(I21-1,$C$48:$D$58,2,TRUE),'1999'!$D$4:$D$29,1)+1,IF(Q21=2750,MATCH(VLOOKUP(I21-1,$C$48:$D$58,2,TRUE),'1999'!$E$4:$E$34,1)+1,IF(Q21=2900,MATCH(VLOOKUP(I21-1,$C$48:$D$58,2,TRUE),'1999'!$F$4:$F$38,1)+1,IF(Q21=3050,MATCH(VLOOKUP(I21-1,$C$48:$D$58,2,TRUE),'1999'!$G$4:$G$31,1)+1,IF(Q21=3200,MATCH(VLOOKUP(I21-1,$C$48:$D$58,2,TRUE),'1999'!$H$4:$H$33,1)+1,IF(Q21=3300,MATCH(VLOOKUP(I21-1,$C$48:$D$58,2,TRUE),'1999'!$I$4:$I$39,1)+1,IF(Q21=4000,MATCH(VLOOKUP(I21-1,$C$48:$D$58,2,TRUE),'1999'!$J$4:$J$37,1)+1,IF(Q21=4200,MATCH(VLOOKUP(I21-1,$C$48:$D$58,2,TRUE),'1999'!$K$4:$K$38,1)+1,IF(Q21=5000,MATCH(VLOOKUP(I21-1,$C$48:$D$58,2,TRUE),'1999'!$L$4:$L$40,1)+1,IF(Q21=5500,MATCH(VLOOKUP(I21-1,$C$48:$D$58,2,TRUE),'1999'!$M$4:$M$35,1)+1,IF(Q21=6500,MATCH(VLOOKUP(I21-1,$C$48:$D$58,2,TRUE),'1999'!$N$4:$N$32,1)+1,IF(Q21=7450,MATCH(VLOOKUP(I21-1,$C$48:$D$58,2,TRUE),'1999'!$O$4:$O$28,1)+1,IF(Q21=7800,MATCH(VLOOKUP(I21-1,$C$48:$D$58,2,TRUE),'1999'!$P$4:$P$29,1)+1,IF(Q21=10000,MATCH(VLOOKUP(I21-1,$C$48:$D$58,2,TRUE),'1999'!$Q$4:$Q$21,1)+1,IF(Q21=10650,MATCH(VLOOKUP(I21-1,$C$48:$D$58,2,TRUE),'1999'!$R$4:$R$20,1)+1,IF(Q21=11000,MATCH(VLOOKUP(I21-1,$C$48:$D$58,2,TRUE),'1999'!$S$4:$S$24,1)+1,))))))))))))))))),P21),IF(AND(I21&gt;36160,I21&lt;39938),IF(OR(VLOOKUP(I21-1,$C$48:$D$58,2,TRUE)&lt;Q21,VLOOKUP(I21-1,$C$48:$D$58,2,TRUE)=Q21),Q21,INDEX('1999'!$C$4:$U$40,IF(Q21=2600,MATCH(VLOOKUP(I21-1,$C$48:$D$58,2,TRUE),'1999'!$C$4:$C$20,1)+1,IF(Q21=2650,MATCH(VLOOKUP(I21-1,$C$48:$D$58,2,TRUE),'1999'!$D$4:$D$29,1)+1,IF(Q21=2750,MATCH(VLOOKUP(I21-1,$C$48:$D$58,2,TRUE),'1999'!$E$4:$E$34,1)+1,IF(Q21=2900,MATCH(VLOOKUP(I21-1,$C$48:$D$58,2,TRUE),'1999'!$F$4:$F$38,1)+1,IF(Q21=3050,MATCH(VLOOKUP(I21-1,$C$48:$D$58,2,TRUE),'1999'!$G$4:$G$31,1)+1,IF(Q21=3200,MATCH(VLOOKUP(I21-1,$C$48:$D$58,2,TRUE),'1999'!$H$4:$H$33,1)+1,IF(Q21=3300,MATCH(VLOOKUP(I21-1,$C$48:$D$58,2,TRUE),'1999'!$I$4:$I$39,1)+1,IF(Q21=4000,MATCH(VLOOKUP(I21-1,$C$48:$D$58,2,TRUE),'1999'!$J$4:$J$37,1)+1,IF(Q21=4200,MATCH(VLOOKUP(I21-1,$C$48:$D$58,2,TRUE),'1999'!$K$4:$K$38,1)+1,IF(Q21=5000,MATCH(VLOOKUP(I21-1,$C$48:$D$58,2,TRUE),'1999'!$L$4:$L$40,1)+1,IF(Q21=5500,MATCH(VLOOKUP(I21-1,$C$48:$D$58,2,TRUE),'1999'!$M$4:$M$35,1)+1,IF(Q21=6500,MATCH(VLOOKUP(I21-1,$C$48:$D$58,2,TRUE),'1999'!$N$4:$N$32,1)+1,IF(Q21=7450,MATCH(VLOOKUP(I21-1,$C$48:$D$58,2,TRUE),'1999'!$O$4:$O$28,1)+1,IF(Q21=7800,MATCH(VLOOKUP(I21-1,$C$48:$D$58,2,TRUE),'1999'!$P$4:$P$29,1)+1,IF(Q21=10000,MATCH(VLOOKUP(I21-1,$C$48:$D$58,2,TRUE),'1999'!$Q$4:$Q$21,1)+1,IF(Q21=10650,MATCH(VLOOKUP(I21-1,$C$48:$D$58,2,TRUE),'1999'!$R$4:$R$20,1)+1,IF(Q21=11000,MATCH(VLOOKUP(I21-1,$C$48:$D$58,2,TRUE),'1999'!$S$4:$S$24,1)+1,))))))))))))))))),P21)))))))</f>
        <v>2845</v>
      </c>
      <c r="K21" s="602" t="str">
        <f>IF(I21="","",IF(AND(I21&gt;35065,I21&lt;36161),"FR-22(a)(i)",IF(AND(I21&gt;36160,I21&lt;39938),"FR-22(I)(a)(2)")))</f>
        <v>FR-22(a)(i)</v>
      </c>
      <c r="L21" s="628" cm="1">
        <f t="array" ref="L21">IF(I21="","",IF(AND(DAY(I21)=1,MONTH(I21)=MONTH(C39)),IF(OR(VLOOKUP(I21-1,$C$48:$D$58,2,TRUE)&lt;Q21,VLOOKUP(I21-1,$C$48:$D$58,2,TRUE)=Q21),Q21,IF(AND(I21&gt;$C$39,I21&lt;39938),INDEX('1999'!$C$4:$U$40,IF(Q21=2600,MATCH(O21,'1999'!$C$4:$C$20,1)+2,IF(Q21=2650,MATCH(O21,'1999'!$D$4:$D$29,1)+2,IF(Q21=2750,MATCH(O21,'1999'!$E$4:$E$34,1)+2,IF(Q21=2900,MATCH(O21,'1999'!$F$4:$F$38,1)+2,IF(Q21=3050,MATCH(O21,'1999'!$G$4:$G$31,1)+2,IF(Q21=3200,MATCH(O21,'1999'!$H$4:$H$33,1)+2,IF(Q21=3300,MATCH(O21,'1999'!$I$4:$I$39,1)+2,IF(Q21=4000,MATCH(O21,'1999'!$J$4:$J$37,1)+2,IF(Q21=4200,MATCH(O21,'1999'!$K$4:$K$38,1)+2,IF(Q21=5000,MATCH(O21,'1999'!$L$4:$L$40,1)+2,IF(Q21=5500,MATCH(O21,'1999'!$M$4:$M$35,1)+2,IF(Q21=6500,MATCH(O21,'1999'!$N$4:$N$32,1)+2,IF(Q21=7450,MATCH(O21,'1999'!$O$4:$O$28,1)+2,IF(Q21=7800,MATCH(O21,'1999'!$P$4:$P$29,1)+2,IF(Q21=10000,MATCH(O21,'1999'!$Q$4:$Q$21,1)+2,IF(Q21=10650,MATCH(O21,'1999'!$R$4:$R$20,1)+2,IF(Q21=11000,MATCH(O21,'1999'!$S$4:$S$24,1)+2,))))))))))))))))),P21),"")),IF(O21&lt;Q21,Q21,IF(AND(I21&gt;$C$39,I21&lt;39938),INDEX('1999'!$C$4:$U$40,IF(Q21=2600,MATCH(O21,'1999'!$C$4:$C$20,1)+1,IF(Q21=2650,MATCH(O21,'1999'!$D$4:$D$29,1)+1,IF(Q21=2750,MATCH(O21,'1999'!$E$4:$E$34,1)+1,IF(Q21=2900,MATCH(O21,'1999'!$F$4:$F$38,1)+1,IF(Q21=3050,MATCH(O21,'1999'!$G$4:$G$31,1)+1,IF(Q21=3200,MATCH(O21,'1999'!$H$4:$H$33,1)+1,IF(Q21=3300,MATCH(O21,'1999'!$I$4:$I$39,1)+1,IF(Q21=4000,MATCH(O21,'1999'!$J$4:$J$37,1)+1,IF(Q21=4200,MATCH(O21,'1999'!$K$4:$K$38,1)+1,IF(Q21=5000,MATCH(O21,'1999'!$L$4:$L$40,1)+1,IF(Q21=5500,MATCH(O21,'1999'!$M$4:$M$35,1)+1,IF(Q21=6500,MATCH(O21,'1999'!$N$4:$N$32,1)+1,IF(Q21=7450,MATCH(O21,'1999'!$O$4:$O$28,1)+1,IF(Q21=7800,MATCH(O21,'1999'!$P$4:$P$29,1)+1,IF(Q21=10000,MATCH(O21,'1999'!$Q$4:$Q$21,1)+1,IF(Q21=10650,MATCH(O21,'1999'!$R$4:$R$20,1)+1,IF(Q21=11000,MATCH(O21,'1999'!$S$4:$S$24,1)+1,))))))))))))))))),P21),""))))</f>
        <v>2910</v>
      </c>
      <c r="M21" s="604" t="str">
        <f>IF(I21="","",IF(AND(I21&gt;35065,I21&lt;36161),"FR-22(C)",IF(AND(I21&gt;36160,I21&lt;39938),"FR-22(I)(a)(1)")))</f>
        <v>FR-22(C)</v>
      </c>
      <c r="N21" s="639">
        <f>IF(I21="","",MATCH(VLOOKUP(I21-1,$C$48:$D$61,2,TRUE),IF(Q20=2600,'1999'!$C$4:$C$20,IF(Q20=2650,'1999'!$D$4:$D$29,IF(Q20=2750,'1999'!$E$4:$E$34,IF(Q20=2900,'1999'!$F$4:$F$38,IF(Q20=3050,'1999'!$G$4:$G$31,IF(Q20=3200,'1999'!$H$4:$H$33,IF(Q20=3300,'1999'!$I$4:$I$39,IF(Q20=4000,'1999'!$J$4:$J$37,IF(Q20=4200,'1999'!$K$4:$K$38,IF(Q20=5000,'1999'!$L$4:$L$40,IF(Q20=5500,'1999'!$M$4:$M$35,IF(Q20=6500,'1999'!$N$4:$N$32,IF(Q20=7450,'1999'!$O$4:$O$28,IF(Q20=7800,'1999'!$P$4:$P$29,IF(Q20=10000,'1999'!$Q$4:$Q$21,IF(Q20=10650,'1999'!$R$4:$R$20,IF(Q20=11000,'1999'!$S$4:$S$24,))))))))))))))))),P20)+1)</f>
        <v>6</v>
      </c>
      <c r="O21" s="644" cm="1">
        <f t="array" ref="O21">IF(I21="","",INDEX('1999'!$C$4:$U$40,N21,P20))</f>
        <v>2875</v>
      </c>
      <c r="P21" s="787" t="str">
        <f>IF(Q21=2600,"1",IF(AND(Q21=2650),"2",IF(AND(Q21=2750),"3",IF(AND(Q21=2900),"4",IF(AND(Q21=3050),"5",IF(AND(Q21=3200),"6",IF(AND(Q21=3300),"7",IF(AND(Q21=4000),"8",IF(AND(Q21=4200),"9",IF(AND(Q21=5000),"10",IF(AND(Q21=5500),"11",IF(AND(Q21=6500),"12",IF(AND(Q21=7450),"13",IF(AND(Q21=7800),"14",IF(AND(Q21=10000),"15",IF(AND(Q21=10650),"16",IF(AND(Q21=11000),"17",IF(AND(Q21=11150),"18",IF(AND(Q21=12000),"19")))))))))))))))))))</f>
        <v>2</v>
      </c>
      <c r="Q21" s="902" cm="1">
        <f t="array" ref="Q21">IF(AND($C$4="L.D.C.",$Q$13=1020),4000,IF(AND(OR($C$4="L.D.C.",$C$4="U.D.C."),$Q$13=1250),4200,IF(OR(I21&lt;35065,I21&gt;39813),Q20,INDEX('Pay Scales'!F134:F153,MATCH(Q20,'Pay Scales'!F134:F153,0)+1,1))))</f>
        <v>2650</v>
      </c>
      <c r="R21" s="838" t="str">
        <f>IF(Q21=2600,"Pay Scale (₹2600-₹3545)",IF(Q21=2650,"Pay Scale (₹2650-₹4350)",IF(Q21=2750,"Pay Scale (₹2750-₹4925)",IF(Q21=2900,"Pay Scale (₹2900-₹5660)",IF(Q21=3050,"Pay Scale (₹3050-₹5910)",IF(Q21=3200,"Pay Scale (₹3200-₹6030)",IF(Q21=3300,"Pay Scale (₹3300-₹7100)",IF(Q21=4000,"Pay Scale (₹4000-₹7890)",IF(Q21=4200,"Pay Scale (₹4200-₹8650)",IF(Q21=5000,"Pay Scale (₹5000-₹10300)",IF(Q21=5500,"Pay Scale (₹5500-₹10700)",IF(Q21=6500,"Pay Scale (₹6500-₹12300)",IF(Q21=7450,"Pay Scale (₹7450-₹13000)",IF(Q21=7800,"Pay Scale (₹7800-₹15100)",IF(Q21=10000,"Pay Scale (₹10000-₹15100)",IF(Q21=10650,"Pay Scale (₹10650-₹15850)",IF(Q21=11000,"Pay Scale (₹11000-₹18000)",IF(Q21=11150,"Pay Scale (₹11150-₹18275)",IF(Q21=12000,"Pay Scale (₹12000-₹18400)")))))))))))))))))))</f>
        <v>Pay Scale (₹2650-₹4350)</v>
      </c>
      <c r="S21" s="839"/>
    </row>
    <row r="22" spans="1:20" ht="17.850000000000001" customHeight="1" thickBot="1" x14ac:dyDescent="0.3">
      <c r="B22" s="819" t="s">
        <v>42</v>
      </c>
      <c r="C22" s="819"/>
      <c r="D22" s="365" cm="1">
        <f t="array" ref="D22">IF(C9&gt;38718,0,IF(DATEDIF(C8,C14,"y")&gt;4,((INDEX('1982'!C2:V26,DATEDIF(C8,C14,"y")+1,P11))-(INDEX('1982'!C2:V26,DATEDIF(C8,C14,"y"),P11))),0))</f>
        <v>0</v>
      </c>
      <c r="E22" s="817"/>
      <c r="F22" s="817"/>
      <c r="H22" s="408"/>
      <c r="I22" s="578" cm="1">
        <f t="array" ref="I22">IF(AND(I21&gt;C48,I21&lt;C58),INDEX('Pay Scales'!F18:F28,(MATCH(I21,'Pay Scales'!$F$18:$F$28,1)+1)),"")</f>
        <v>35855</v>
      </c>
      <c r="J22" s="642" cm="1">
        <f t="array" ref="J22">IF(I21="","",IF(AND(I21&gt;35065,I21&lt;36161),INDEX('1999'!$C$4:$U$40,IF(Q21=2600,MATCH(J21,'1999'!$C$4:$C$20,1)+1,IF(Q21=2650,MATCH(J21,'1999'!$D$4:$D$29,1)+1,IF(Q21=2750,MATCH(J21,'1999'!$E$4:$E$34,1)+1,IF(Q21=2900,MATCH(J21,'1999'!$F$4:$F$38,1)+1,IF(Q21=3050,MATCH(J21,'1999'!$G$4:$G$31,1)+1,IF(Q21=3200,MATCH(J21,'1999'!$H$4:$H$33,1)+1,IF(Q21=3300,MATCH(J21,'1999'!$I$4:$I$39,1)+1,IF(Q21=4000,MATCH(J21,'1999'!$J$4:$J$37,1)+1,IF(Q21=4200,MATCH(J21,'1999'!$K$4:$K$38,1)+1,IF(Q21=5000,MATCH(J21,'1999'!$L$4:$L$40,1)+1,IF(Q21=5500,MATCH(J21,'1999'!$M$4:M35,1)+1,IF(Q21=6500,MATCH(J21,'1999'!$N$4:$N$32,1)+1,IF(Q21=7450,MATCH(J21,'1999'!$O$4:$O$28,1)+1,IF(Q21=7800,MATCH(J21,'1999'!$P$4:$P$29,1)+1,IF(Q21=10000,MATCH(J21,'1999'!$Q$4:$Q$21,1)+1,IF(Q21=10650,MATCH(J21,'1999'!$R$4:$R$20,1)+1,IF(Q21=11000,MATCH(J21,'1999'!$S$4:S24,1)+1,))))))))))))))))),P21),IF(AND(I21&gt;36160,I21&lt;39938),INDEX('1999'!$C$4:$U$40,IF(Q21=2600,MATCH(J21,'1999'!$C$4:$C$20,1)+1,IF(Q21=2650,MATCH(J21,'1999'!$D$4:$D$29,1)+1,IF(Q21=2750,MATCH(J21,'1999'!$E$4:$E$34,1)+1,IF(Q21=2900,MATCH(J21,'1999'!$F$4:$F$38,1)+1,IF(Q21=3050,MATCH(J21,'1999'!$G$4:$G$31,1)+1,IF(Q21=3200,MATCH(J21,'1999'!$H$4:$H$33,1)+1,IF(Q21=3300,MATCH(J21,'1999'!$I$4:$I$39,1)+1,IF(Q21=4000,MATCH(J21,'1999'!$J$4:$J$37,1)+1,IF(Q21=4200,MATCH(J21,'1999'!$K$4:$K$38,1)+1,IF(Q21=5000,MATCH(J21,'1999'!$L$4:$L$40,1)+1,IF(Q21=5500,MATCH(J21,'1999'!$M$4:$M$35,1)+1,IF(Q21=6500,MATCH(J21,'1999'!$N$4:$N$32,1)+1,IF(Q21=7450,MATCH(J21,'1999'!$O$4:$O$28,1)+1,IF(Q21=7800,MATCH(J21,'1999'!$P$4:$P$29,1)+1,IF(Q21=10000,MATCH(J21,'1999'!$Q$4:$Q$21,1)+1,IF(Q21=10650,MATCH(J21,'1999'!$R$4:$R$20,1)+1,IF(Q21=11000,MATCH(J21,'1999'!$S$4:$S$24,1)+1,))))))))))))))))),P21))))</f>
        <v>2910</v>
      </c>
      <c r="K22" s="605"/>
      <c r="L22" s="629" cm="1">
        <f t="array" ref="L22">IF(I21="","",IF(AND(I21&gt;$C$39,I21&lt;39938),INDEX('1999'!$C$4:$U$40,IF(Q21=2600,MATCH(L21,'1999'!$C$4:$C$20,1)+1,IF(Q21=2650,MATCH(L21,'1999'!$D$4:$D$29,1)+1,IF(Q21=2750,MATCH(L21,'1999'!$E$4:$E$34,1)+1,IF(Q21=2900,MATCH(L21,'1999'!$F$4:$F$38,1)+1,IF(Q21=3050,MATCH(L21,'1999'!$G$4:$G$31,1)+1,IF(Q21=3200,MATCH(L21,'1999'!$H$4:$H$33,1)+1,IF(Q21=3300,MATCH(L21,'1999'!$I$4:$I$39,1)+1,IF(Q21=4000,MATCH(L21,'1999'!$J$4:$J$37,1)+1,IF(Q21=4200,MATCH(L21,'1999'!$K$4:$K$38,1)+1,IF(Q21=5000,MATCH(L21,'1999'!$L$4:$L$40,1)+1,IF(Q21=5500,MATCH(L21,'1999'!$M$4:M35,1)+1,IF(Q21=6500,MATCH(L21,'1999'!$N$4:$N$32,1)+1,IF(Q21=7450,MATCH(L21,'1999'!$O$4:$O$28,1)+1,IF(Q21=7800,MATCH(L21,'1999'!$P$4:$P$29,1)+1,IF(Q21=10000,MATCH(L21,'1999'!$Q$4:$Q$21,1)+1,IF(Q21=10650,MATCH(L21,'1999'!$R$4:$R$20,1)+1,IF(Q21=11000,MATCH(L21,'1999'!$S$4:S24,1)+1,))))))))))))))))),P21),""))</f>
        <v>2975</v>
      </c>
      <c r="M22" s="606"/>
      <c r="N22" s="640">
        <f>IF(I21="","",N21+1)</f>
        <v>7</v>
      </c>
      <c r="O22" s="645" cm="1">
        <f t="array" ref="O22">IF(I21="","",INDEX('1999'!$C$4:$U$40,N22,P20))</f>
        <v>2930</v>
      </c>
      <c r="P22" s="788"/>
      <c r="Q22" s="903"/>
      <c r="R22" s="840"/>
      <c r="S22" s="841"/>
    </row>
    <row r="23" spans="1:20" ht="17.850000000000001" customHeight="1" x14ac:dyDescent="0.25">
      <c r="B23" s="819" t="s">
        <v>43</v>
      </c>
      <c r="C23" s="819"/>
      <c r="D23" s="365" cm="1">
        <f t="array" ref="D23">IF(C9&gt;38718,0,IF(DATEDIF(C8,C14,"y")&gt;9,((INDEX('1982'!C2:V26,DATEDIF(C8,C14,"y")+1,P11))-(INDEX('1982'!C2:V26,DATEDIF(C8,C14,"y"),P11))),0))</f>
        <v>0</v>
      </c>
      <c r="E23" s="666"/>
      <c r="F23" s="666"/>
      <c r="H23" s="421" t="str">
        <f ca="1">IF($I$23="","",IF(OR(ISNUMBER(SEARCH("Grad",$E$6)),ISNUMBER(SEARCH("ACP",$E$6))),"CAS-2",$E$6))</f>
        <v>CAS-2</v>
      </c>
      <c r="I23" s="580">
        <f>IF(AND(F6&gt;35064,F6&lt;38718),F6,IF(AND(F6&gt;38717,F6&lt;39939,$L$60=TRUE),F6,""))</f>
        <v>38051</v>
      </c>
      <c r="J23" s="641" cm="1">
        <f t="array" ref="J23">IF(I23="","",IF(OR(AND(DAY(I23)=1,MONTH(I23)=1,DAY(C39)=1,MONTH(C39)=1),(AND(DAY(I23)=1,MONTH(I23)=MONTH(C39)))),IF(OR(VLOOKUP(I23-1,$C$48:$D$58,2,TRUE)&lt;Q23,VLOOKUP(I23-1,$C$48:$D$58,2,TRUE)=Q23),Q23,IF(AND(I23&gt;$C$39,I23&lt;39938),INDEX('1999'!$C$4:$U$40,IF(Q23=2600,MATCH(O23,'1999'!$C$4:$C$20,1)+1,IF(Q23=2650,MATCH(O23,'1999'!$D$4:$D$29,1)+1,IF(Q23=2750,MATCH(O23,'1999'!$E$4:$E$34,1)+1,IF(Q23=2900,MATCH(O23,'1999'!$F$4:$F$38,1)+1,IF(Q23=3050,MATCH(O23,'1999'!$G$4:$G$31,1)+1,IF(Q23=3200,MATCH(O23,'1999'!$H$4:$H$33,1)+1,IF(Q23=3300,MATCH(O23,'1999'!$I$4:$I$39,1)+1,IF(Q23=4000,MATCH(O23,'1999'!$J$4:$J$37,1)+1,IF(Q23=4200,MATCH(O23,'1999'!$K$4:$K$38,1)+1,IF(Q23=5000,MATCH(O23,'1999'!$L$4:$L$40,1)+1,IF(Q23=5500,MATCH(O23,'1999'!$M$4:$M$35,1)+1,IF(Q23=6500,MATCH(O23,'1999'!$N$4:$N$32,1)+1,IF(Q23=7450,MATCH(O23,'1999'!$O$4:$O$28,1)+1,IF(Q23=7800,MATCH(O23,'1999'!$P$4:$P$29,1)+1,IF(Q23=10000,MATCH(O23,'1999'!$Q$4:$Q$21,1)+1,IF(Q23=10650,MATCH(O23,'1999'!$R$4:$R$20,1)+1,IF(Q23=11000,MATCH(O23,'1999'!$S$4:$S$24,1)+1,))))))))))))))))),P23),"")),IF(VLOOKUP(I23-1,$C$48:$D$58,2,TRUE)&lt;Q23,Q23,IF(AND(I23&gt;35065,I23&lt;36161),INDEX('1999'!$C$4:$U$40,IF(Q23=2600,MATCH(VLOOKUP(I23-1,$C$48:$D$58,2,TRUE),'1999'!$C$4:$C$20,1)+1,IF(Q23=2650,MATCH(VLOOKUP(I23-1,$C$48:$D$58,2,TRUE),'1999'!$D$4:$D$29,1)+1,IF(Q23=2750,MATCH(VLOOKUP(I23-1,$C$48:$D$58,2,TRUE),'1999'!$E$4:$E$34,1)+1,IF(Q23=2900,MATCH(VLOOKUP(I23-1,$C$48:$D$58,2,TRUE),'1999'!$F$4:$F$38,1)+1,IF(Q23=3050,MATCH(VLOOKUP(I23-1,$C$48:$D$58,2,TRUE),'1999'!$G$4:$G$31,1)+1,IF(Q23=3200,MATCH(VLOOKUP(I23-1,$C$48:$D$58,2,TRUE),'1999'!$H$4:$H$33,1)+1,IF(Q23=3300,MATCH(VLOOKUP(I23-1,$C$48:$D$58,2,TRUE),'1999'!$I$4:$I$39,1)+1,IF(Q23=4000,MATCH(VLOOKUP(I23-1,$C$48:$D$58,2,TRUE),'1999'!$J$4:$J$37,1)+1,IF(Q23=4200,MATCH(VLOOKUP(I23-1,$C$48:$D$58,2,TRUE),'1999'!$K$4:$K$38,1)+1,IF(Q23=5000,MATCH(VLOOKUP(I23-1,$C$48:$D$58,2,TRUE),'1999'!$L$4:$L$40,1)+1,IF(Q23=5500,MATCH(VLOOKUP(I23-1,$C$48:$D$58,2,TRUE),'1999'!$M$4:$M$35,1)+1,IF(Q23=6500,MATCH(VLOOKUP(I23-1,$C$48:$D$58,2,TRUE),'1999'!$N$4:$N$32,1)+1,IF(Q23=7450,MATCH(VLOOKUP(I23-1,$C$48:$D$58,2,TRUE),'1999'!$O$4:$O$28,1)+1,IF(Q23=7800,MATCH(VLOOKUP(I23-1,$C$48:$D$58,2,TRUE),'1999'!$P$4:$P$29,1)+1,IF(Q23=10000,MATCH(VLOOKUP(I23-1,$C$48:$D$58,2,TRUE),'1999'!$Q$4:$Q$21,1)+1,IF(Q23=10650,MATCH(VLOOKUP(I23-1,$C$48:$D$58,2,TRUE),'1999'!$R$4:$R$20,1)+1,IF(Q23=11000,MATCH(VLOOKUP(I23-1,$C$48:$D$58,2,TRUE),'1999'!$S$4:$S$24,1)+1,))))))))))))))))),P23),IF(AND(I23&gt;36160,I23&lt;39938),IF(OR(VLOOKUP(I23-1,$C$48:$D$58,2,TRUE)&lt;Q23,VLOOKUP(I23-1,$C$48:$D$58,2,TRUE)=Q23),Q23,INDEX('1999'!$C$4:$U$40,IF(Q23=2600,MATCH(VLOOKUP(I23-1,$C$48:$D$58,2,TRUE),'1999'!$C$4:$C$20,1)+1,IF(Q23=2650,MATCH(VLOOKUP(I23-1,$C$48:$D$58,2,TRUE),'1999'!$D$4:$D$29,1)+1,IF(Q23=2750,MATCH(VLOOKUP(I23-1,$C$48:$D$58,2,TRUE),'1999'!$E$4:$E$34,1)+1,IF(Q23=2900,MATCH(VLOOKUP(I23-1,$C$48:$D$58,2,TRUE),'1999'!$F$4:$F$38,1)+1,IF(Q23=3050,MATCH(VLOOKUP(I23-1,$C$48:$D$58,2,TRUE),'1999'!$G$4:$G$31,1)+1,IF(Q23=3200,MATCH(VLOOKUP(I23-1,$C$48:$D$58,2,TRUE),'1999'!$H$4:$H$33,1)+1,IF(Q23=3300,MATCH(VLOOKUP(I23-1,$C$48:$D$58,2,TRUE),'1999'!$I$4:$I$39,1)+1,IF(Q23=4000,MATCH(VLOOKUP(I23-1,$C$48:$D$58,2,TRUE),'1999'!$J$4:$J$37,1)+1,IF(Q23=4200,MATCH(VLOOKUP(I23-1,$C$48:$D$58,2,TRUE),'1999'!$K$4:$K$38,1)+1,IF(Q23=5000,MATCH(VLOOKUP(I23-1,$C$48:$D$58,2,TRUE),'1999'!$L$4:$L$40,1)+1,IF(Q23=5500,MATCH(VLOOKUP(I23-1,$C$48:$D$58,2,TRUE),'1999'!$M$4:$M$35,1)+1,IF(Q23=6500,MATCH(VLOOKUP(I23-1,$C$48:$D$58,2,TRUE),'1999'!$N$4:$N$32,1)+1,IF(Q23=7450,MATCH(VLOOKUP(I23-1,$C$48:$D$58,2,TRUE),'1999'!$O$4:$O$28,1)+1,IF(Q23=7800,MATCH(VLOOKUP(I23-1,$C$48:$D$58,2,TRUE),'1999'!$P$4:$P$29,1)+1,IF(Q23=10000,MATCH(VLOOKUP(I23-1,$C$48:$D$58,2,TRUE),'1999'!$Q$4:$Q$21,1)+1,IF(Q23=10650,MATCH(VLOOKUP(I23-1,$C$48:$D$58,2,TRUE),'1999'!$R$4:$R$20,1)+1,IF(Q23=11000,MATCH(VLOOKUP(I23-1,$C$48:$D$58,2,TRUE),'1999'!$S$4:$S$24,1)+1,))))))))))))))))),P23)))))))</f>
        <v>3240</v>
      </c>
      <c r="K23" s="602" t="str">
        <f>IF(I23="","",IF(AND(I23&gt;35065,I23&lt;36161),"FR-22(a)(i)",IF(AND(I23&gt;36160,I23&lt;39938),"FR-22(I)(a)(2)")))</f>
        <v>FR-22(I)(a)(2)</v>
      </c>
      <c r="L23" s="628" cm="1">
        <f t="array" ref="L23">IF(I23="","",IF(DAY(I23)=1,IF(OR(VLOOKUP(I23-1,$C$48:$D$58,2,TRUE)&lt;Q23,VLOOKUP(I23-1,$C$48:$D$58,2,TRUE)=Q23),Q23,IF(AND(I23&gt;$C$39,I23&lt;39938),INDEX('1999'!$C$4:$U$40,IF(Q23=2600,MATCH(O23,'1999'!$C$4:$C$20,1)+2,IF(Q23=2650,MATCH(O23,'1999'!$D$4:$D$29,1)+2,IF(Q23=2750,MATCH(O23,'1999'!$E$4:$E$34,1)+2,IF(Q23=2900,MATCH(O23,'1999'!$F$4:$F$38,1)+2,IF(Q23=3050,MATCH(O23,'1999'!$G$4:$G$31,1)+2,IF(Q23=3200,MATCH(O23,'1999'!$H$4:$H$33,1)+2,IF(Q23=3300,MATCH(O23,'1999'!$I$4:$I$39,1)+2,IF(Q23=4000,MATCH(O23,'1999'!$J$4:$J$37,1)+2,IF(Q23=4200,MATCH(O23,'1999'!$K$4:$K$38,1)+2,IF(Q23=5000,MATCH(O23,'1999'!$L$4:$L$40,1)+2,IF(Q23=5500,MATCH(O23,'1999'!$M$4:$M$35,1)+2,IF(Q23=6500,MATCH(O23,'1999'!$N$4:$N$32,1)+2,IF(Q23=7450,MATCH(O23,'1999'!$O$4:$O$28,1)+2,IF(Q23=7800,MATCH(O23,'1999'!$P$4:$P$29,1)+2,IF(Q23=10000,MATCH(O23,'1999'!$Q$4:$Q$21,1)+2,IF(Q23=10650,MATCH(O23,'1999'!$R$4:$R$20,1)+2,IF(Q23=11000,MATCH(O23,'1999'!$S$4:$S$24,1)+2,))))))))))))))))),P23),"")),IF(O23&lt;Q23,Q23,IF(AND(I23&gt;$C$39,I23&lt;39938),INDEX('1999'!$C$4:$U$40,IF(Q23=2600,MATCH(O23,'1999'!$C$4:$C$20,1)+1,IF(Q23=2650,MATCH(O23,'1999'!$D$4:$D$29,1)+1,IF(Q23=2750,MATCH(O23,'1999'!$E$4:$E$34,1)+1,IF(Q23=2900,MATCH(O23,'1999'!$F$4:$F$38,1)+1,IF(Q23=3050,MATCH(O23,'1999'!$G$4:$G$31,1)+1,IF(Q23=3200,MATCH(O23,'1999'!$H$4:$H$33,1)+1,IF(Q23=3300,MATCH(O23,'1999'!$I$4:$I$39,1)+1,IF(Q23=4000,MATCH(O23,'1999'!$J$4:$J$37,1)+1,IF(Q23=4200,MATCH(O23,'1999'!$K$4:$K$38,1)+1,IF(Q23=5000,MATCH(O23,'1999'!$L$4:$L$40,1)+1,IF(Q23=5500,MATCH(O23,'1999'!$M$4:$M$35,1)+1,IF(Q23=6500,MATCH(O23,'1999'!$N$4:$N$32,1)+1,IF(Q23=7450,MATCH(O23,'1999'!$O$4:$O$28,1)+1,IF(Q23=7800,MATCH(O23,'1999'!$P$4:$P$29,1)+1,IF(Q23=10000,MATCH(O23,'1999'!$Q$4:$Q$21,1)+1,IF(Q23=10650,MATCH(O23,'1999'!$R$4:$R$20,1)+1,IF(Q23=11000,MATCH(O23,'1999'!$S$4:$S$24,1)+1,))))))))))))))))),P23),""))))</f>
        <v>3310</v>
      </c>
      <c r="M23" s="604" t="str">
        <f>IF(I23="","",IF(AND(I23&gt;35065,I23&lt;36161),"FR-22(C)",IF(AND(I23&gt;36160,I23&lt;39938),"FR-22(I)(a)(1)")))</f>
        <v>FR-22(I)(a)(1)</v>
      </c>
      <c r="N23" s="635">
        <f>IF(I23="","",MATCH(VLOOKUP(I23-1,$C$48:$D$61,2,TRUE),IF(Q21=2600,'1999'!$C$4:$C$20,IF(Q21=2650,'1999'!$D$4:$D$29,IF(Q21=2750,'1999'!$E$4:$E$34,IF(Q21=2900,'1999'!$F$4:$F$38,IF(Q21=3050,'1999'!$G$4:$G$31,IF(Q21=3200,'1999'!$H$4:$H$33,IF(Q21=3300,'1999'!$I$4:$I$39,IF(Q21=4000,'1999'!$J$4:$J$37,IF(Q21=4200,'1999'!$K$4:$K$38,IF(Q21=5000,'1999'!$L$4:$L$40,IF(Q21=5500,'1999'!$M$4:$M$35,IF(Q21=6500,'1999'!$N$4:$N$32,IF(Q21=7450,'1999'!$O$4:$O$28,IF(Q21=7800,'1999'!$P$4:$P$29,IF(Q21=10000,'1999'!$Q$4:$Q$21,IF(Q21=10650,'1999'!$R$4:$R$20,IF(Q21=11000,'1999'!$S$4:$S$24,))))))))))))))))),P21)+1)</f>
        <v>11</v>
      </c>
      <c r="O23" s="644" cm="1">
        <f t="array" ref="O23">IF(I23="","",INDEX('1999'!$C$4:$U$40,N23,P21))</f>
        <v>3300</v>
      </c>
      <c r="P23" s="789" t="str">
        <f>IF(Q23=2600,"1",IF(AND(Q23=2650),"2",IF(AND(Q23=2750),"3",IF(AND(Q23=2900),"4",IF(AND(Q23=3050),"5",IF(AND(Q23=3200),"6",IF(AND(Q23=3300),"7",IF(AND(Q23=4000),"8",IF(AND(Q23=4200),"9",IF(AND(Q23=5000),"10",IF(AND(Q23=5500),"11",IF(AND(Q23=6500),"12",IF(AND(Q23=7450),"13",IF(AND(Q23=7800),"14",IF(AND(Q23=10000),"15",IF(AND(Q23=10650),"16",IF(AND(Q23=11000),"17",IF(AND(Q23=11150),"18",IF(AND(Q23=12000),"19")))))))))))))))))))</f>
        <v>3</v>
      </c>
      <c r="Q23" s="902" cm="1">
        <f t="array" ref="Q23">IF(OR(I23&lt;35065,I23&gt;39813),Q21,INDEX('Pay Scales'!F134:F153,MATCH(Q21,'Pay Scales'!F134:F153,0)+1,1))</f>
        <v>2750</v>
      </c>
      <c r="R23" s="838" t="str">
        <f>IF(Q23=2600,"Pay Scale (₹2600-₹3545)",IF(Q23=2650,"Pay Scale (₹2650-₹4350)",IF(Q23=2750,"Pay Scale (₹2750-₹4925)",IF(Q23=2900,"Pay Scale (₹2900-₹5660)",IF(Q23=3050,"Pay Scale (₹3050-₹5910)",IF(Q23=3200,"Pay Scale (₹3200-₹6030)",IF(Q23=3300,"Pay Scale (₹3300-₹7100)",IF(Q23=4000,"Pay Scale (₹4000-₹7890)",IF(Q23=4200,"Pay Scale (₹4200-₹8650)",IF(Q23=5000,"Pay Scale (₹5000-₹10300)",IF(Q23=5500,"Pay Scale (₹5500-₹10700)",IF(Q23=6500,"Pay Scale (₹6500-₹12300)",IF(Q23=7450,"Pay Scale (₹7450-₹13000)",IF(Q23=7800,"Pay Scale (₹7800-₹15100)",IF(Q23=10000,"Pay Scale (₹10000-₹15100)",IF(Q23=10650,"Pay Scale (₹10650-₹15850)",IF(Q23=11000,"Pay Scale (₹11000-₹18000)",IF(Q23=11150,"Pay Scale (₹11150-₹18275)",IF(Q23=12000,"Pay Scale (₹12000-₹18400)")))))))))))))))))))</f>
        <v>Pay Scale (₹2750-₹4925)</v>
      </c>
      <c r="S23" s="839"/>
    </row>
    <row r="24" spans="1:20" ht="17.850000000000001" customHeight="1" thickBot="1" x14ac:dyDescent="0.3">
      <c r="B24" s="819" t="s">
        <v>44</v>
      </c>
      <c r="C24" s="819"/>
      <c r="D24" s="365" cm="1">
        <f t="array" ref="D24">IF(C9&gt;38718,0,IF(DATEDIF(C8,C14,"y")&gt;14,((INDEX('1982'!C2:V26,DATEDIF(C8,C14,"y")+1,P11))-(INDEX('1982'!C2:V26,DATEDIF(C8,C14,"y"),P11))),0))</f>
        <v>0</v>
      </c>
      <c r="F24" s="231"/>
      <c r="H24" s="408"/>
      <c r="I24" s="579" cm="1">
        <f t="array" ref="I24">IF(AND(I23&gt;C48,I23&lt;C58),INDEX('Pay Scales'!F18:F28,(MATCH(I23,'Pay Scales'!$F$18:$F$28,1)+1)),"")</f>
        <v>38412</v>
      </c>
      <c r="J24" s="643" cm="1">
        <f t="array" ref="J24">IF(I23="","",IF(AND(I23&gt;35065,I23&lt;36161),INDEX('1999'!$C$4:$U$40,IF(Q23=2600,MATCH(J23,'1999'!$C$4:$C$20,1)+1,IF(Q23=2650,MATCH(J23,'1999'!$D$4:$D$29,1)+1,IF(Q23=2750,MATCH(J23,'1999'!$E$4:$E$34,1)+1,IF(Q23=2900,MATCH(J23,'1999'!$F$4:$F$38,1)+1,IF(Q23=3050,MATCH(J23,'1999'!$G$4:$G$31,1)+1,IF(Q23=3200,MATCH(J23,'1999'!$H$4:$H$33,1)+1,IF(Q23=3300,MATCH(J23,'1999'!$I$4:$I$39,1)+1,IF(Q23=4000,MATCH(J23,'1999'!$J$4:$J$37,1)+1,IF(Q23=4200,MATCH(J23,'1999'!$K$4:$K$38,1)+1,IF(Q23=5000,MATCH(J23,'1999'!$L$4:$L$40,1)+1,IF(Q23=5500,MATCH(J23,'1999'!$M$4:M38,1)+1,IF(Q23=6500,MATCH(J23,'1999'!$N$4:$N$32,1)+1,IF(Q23=7450,MATCH(J23,'1999'!$O$4:$O$28,1)+1,IF(Q23=7800,MATCH(J23,'1999'!$P$4:$P$29,1)+1,IF(Q23=10000,MATCH(J23,'1999'!$Q$4:$Q$21,1)+1,IF(Q23=10650,MATCH(J23,'1999'!$R$4:$R$20,1)+1,IF(Q23=11000,MATCH(J23,'1999'!$S$4:S27,1)+1,))))))))))))))))),P23),IF(AND(I23&gt;36160,I23&lt;39938),INDEX('1999'!$C$4:$U$40,IF(Q23=2600,MATCH(J23,'1999'!$C$4:$C$20,1)+1,IF(Q23=2650,MATCH(J23,'1999'!$D$4:$D$29,1)+1,IF(Q23=2750,MATCH(J23,'1999'!$E$4:$E$34,1)+1,IF(Q23=2900,MATCH(J23,'1999'!$F$4:$F$38,1)+1,IF(Q23=3050,MATCH(J23,'1999'!$G$4:$G$31,1)+1,IF(Q23=3200,MATCH(J23,'1999'!$H$4:$H$33,1)+1,IF(Q23=3300,MATCH(J23,'1999'!$I$4:$I$39,1)+1,IF(Q23=4000,MATCH(J23,'1999'!$J$4:$J$37,1)+1,IF(Q23=4200,MATCH(J23,'1999'!$K$4:$K$38,1)+1,IF(Q23=5000,MATCH(J23,'1999'!$L$4:$L$40,1)+1,IF(Q23=5500,MATCH(J23,'1999'!$M$4:$M$35,1)+1,IF(Q23=6500,MATCH(J23,'1999'!$N$4:$N$32,1)+1,IF(Q23=7450,MATCH(J23,'1999'!$O$4:$O$28,1)+1,IF(Q23=7800,MATCH(J23,'1999'!$P$4:$P$29,1)+1,IF(Q23=10000,MATCH(J23,'1999'!$Q$4:$Q$21,1)+1,IF(Q23=10650,MATCH(J23,'1999'!$R$4:$R$20,1)+1,IF(Q23=11000,MATCH(J23,'1999'!$S$4:$S$24,1)+1,))))))))))))))))),P23))))</f>
        <v>3310</v>
      </c>
      <c r="K24" s="605"/>
      <c r="L24" s="630" cm="1">
        <f t="array" ref="L24">IF(I23="","",IF(AND(I23&gt;$C$39,I23&lt;39938),INDEX('1999'!$C$4:$U$40,IF(Q23=2600,MATCH(L23,'1999'!$C$4:$C$20,1)+1,IF(Q23=2650,MATCH(L23,'1999'!$D$4:$D$29,1)+1,IF(Q23=2750,MATCH(L23,'1999'!$E$4:$E$34,1)+1,IF(Q23=2900,MATCH(L23,'1999'!$F$4:$F$38,1)+1,IF(Q23=3050,MATCH(L23,'1999'!$G$4:$G$31,1)+1,IF(Q23=3200,MATCH(L23,'1999'!$H$4:$H$33,1)+1,IF(Q23=3300,MATCH(L23,'1999'!$I$4:$I$39,1)+1,IF(Q23=4000,MATCH(L23,'1999'!$J$4:$J$37,1)+1,IF(Q23=4200,MATCH(L23,'1999'!$K$4:$K$38,1)+1,IF(Q23=5000,MATCH(L23,'1999'!$L$4:$L$40,1)+1,IF(Q23=5500,MATCH(L23,'1999'!$M$4:M38,1)+1,IF(Q23=6500,MATCH(L23,'1999'!$N$4:$N$32,1)+1,IF(Q23=7450,MATCH(L23,'1999'!$O$4:$O$28,1)+1,IF(Q23=7800,MATCH(L23,'1999'!$P$4:$P$29,1)+1,IF(Q23=10000,MATCH(L23,'1999'!$Q$4:$Q$21,1)+1,IF(Q23=10650,MATCH(L23,'1999'!$R$4:$R$20,1)+1,IF(Q23=11000,MATCH(L23,'1999'!$S$4:S27,1)+1,))))))))))))))))),P23),""))</f>
        <v>3380</v>
      </c>
      <c r="M24" s="606"/>
      <c r="N24" s="637">
        <f>IF(I23="","",N23+1)</f>
        <v>12</v>
      </c>
      <c r="O24" s="646" cm="1">
        <f t="array" ref="O24">IF(I23="","",INDEX('1999'!$C$4:$U$40,N24,P21))</f>
        <v>3370</v>
      </c>
      <c r="P24" s="790"/>
      <c r="Q24" s="903"/>
      <c r="R24" s="840"/>
      <c r="S24" s="841"/>
    </row>
    <row r="25" spans="1:20" ht="17.850000000000001" customHeight="1" x14ac:dyDescent="0.25">
      <c r="B25" s="819" t="s">
        <v>45</v>
      </c>
      <c r="C25" s="819"/>
      <c r="D25" s="366">
        <f>SUM(D21:D24)</f>
        <v>100</v>
      </c>
      <c r="E25" s="367"/>
      <c r="F25" s="367"/>
      <c r="G25" s="176"/>
      <c r="H25" s="421" t="str">
        <f>IF($I$25="","",IF(OR(ISNUMBER(SEARCH("Grad",$E$7)),ISNUMBER(SEARCH("ACP",$E$7))),"CAS-3",$E$7))</f>
        <v/>
      </c>
      <c r="I25" s="577" t="str">
        <f>IF(AND(F7&gt;35064,F7&lt;38718),F7,IF(AND(F7&gt;38717,F7&lt;39939,$L$60=TRUE),F7,""))</f>
        <v/>
      </c>
      <c r="J25" s="641" t="str" cm="1">
        <f t="array" ref="J25">IF(I25="","",IF(OR(AND(DAY(I25)=1,MONTH(I25)=1,DAY(C39)=1,MONTH(C39)=1),(AND(DAY(I25)=1,MONTH(I25)=MONTH(C39)))),IF(OR(VLOOKUP(I25-1,$C$48:$D$58,2,TRUE)&lt;Q25,VLOOKUP(I25-1,$C$48:$D$58,2,TRUE)=Q25),Q25,IF(AND(I25&gt;$C$39,I25&lt;39938),INDEX('1999'!$C$4:$U$40,IF(Q25=2600,MATCH(O25,'1999'!$C$4:$C$20,1)+1,IF(Q25=2650,MATCH(O25,'1999'!$D$4:$D$29,1)+1,IF(Q25=2750,MATCH(O25,'1999'!$E$4:$E$34,1)+1,IF(Q25=2900,MATCH(O25,'1999'!$F$4:$F$38,1)+1,IF(Q25=3050,MATCH(O25,'1999'!$G$4:$G$31,1)+1,IF(Q25=3200,MATCH(O25,'1999'!$H$4:$H$33,1)+1,IF(Q25=3300,MATCH(O25,'1999'!$I$4:$I$39,1)+1,IF(Q25=4000,MATCH(O25,'1999'!$J$4:$J$37,1)+1,IF(Q25=4200,MATCH(O25,'1999'!$K$4:$K$38,1)+1,IF(Q25=5000,MATCH(O25,'1999'!$L$4:$L$40,1)+1,IF(Q25=5500,MATCH(O25,'1999'!$M$4:$M$35,1)+1,IF(Q25=6500,MATCH(O25,'1999'!$N$4:$N$32,1)+1,IF(Q25=7450,MATCH(O25,'1999'!$O$4:$O$28,1)+1,IF(Q25=7800,MATCH(O25,'1999'!$P$4:$P$29,1)+1,IF(Q25=10000,MATCH(O25,'1999'!$Q$4:$Q$21,1)+1,IF(Q25=10650,MATCH(O25,'1999'!$R$4:$R$20,1)+1,IF(Q25=11000,MATCH(O25,'1999'!$S$4:$S$24,1)+1,))))))))))))))))),P25),"")),IF(VLOOKUP(I25-1,$C$48:$D$58,2,TRUE)&lt;Q25,Q25,IF(AND(I25&gt;35065,I25&lt;36161),INDEX('1999'!$C$4:$U$40,IF(Q25=2600,MATCH(VLOOKUP(I25-1,$C$48:$D$58,2,TRUE),'1999'!$C$4:$C$20,1)+1,IF(Q25=2650,MATCH(VLOOKUP(I25-1,$C$48:$D$58,2,TRUE),'1999'!$D$4:$D$29,1)+1,IF(Q25=2750,MATCH(VLOOKUP(I25-1,$C$48:$D$58,2,TRUE),'1999'!$E$4:$E$34,1)+1,IF(Q25=2900,MATCH(VLOOKUP(I25-1,$C$48:$D$58,2,TRUE),'1999'!$F$4:$F$38,1)+1,IF(Q25=3050,MATCH(VLOOKUP(I25-1,$C$48:$D$58,2,TRUE),'1999'!$G$4:$G$31,1)+1,IF(Q25=3200,MATCH(VLOOKUP(I25-1,$C$48:$D$58,2,TRUE),'1999'!$H$4:$H$33,1)+1,IF(Q25=3300,MATCH(VLOOKUP(I25-1,$C$48:$D$58,2,TRUE),'1999'!$I$4:$I$39,1)+1,IF(Q25=4000,MATCH(VLOOKUP(I25-1,$C$48:$D$58,2,TRUE),'1999'!$J$4:$J$37,1)+1,IF(Q25=4200,MATCH(VLOOKUP(I25-1,$C$48:$D$58,2,TRUE),'1999'!$K$4:$K$38,1)+1,IF(Q25=5000,MATCH(VLOOKUP(I25-1,$C$48:$D$58,2,TRUE),'1999'!$L$4:$L$40,1)+1,IF(Q25=5500,MATCH(VLOOKUP(I25-1,$C$48:$D$58,2,TRUE),'1999'!$M$4:$M$35,1)+1,IF(Q25=6500,MATCH(VLOOKUP(I25-1,$C$48:$D$58,2,TRUE),'1999'!$N$4:$N$32,1)+1,IF(Q25=7450,MATCH(VLOOKUP(I25-1,$C$48:$D$58,2,TRUE),'1999'!$O$4:$O$28,1)+1,IF(Q25=7800,MATCH(VLOOKUP(I25-1,$C$48:$D$58,2,TRUE),'1999'!$P$4:$P$29,1)+1,IF(Q25=10000,MATCH(VLOOKUP(I25-1,$C$48:$D$58,2,TRUE),'1999'!$Q$4:$Q$21,1)+1,IF(Q25=10650,MATCH(VLOOKUP(I25-1,$C$48:$D$58,2,TRUE),'1999'!$R$4:$R$20,1)+1,IF(Q25=11000,MATCH(VLOOKUP(I25-1,$C$48:$D$58,2,TRUE),'1999'!$S$4:$S$24,1)+1,))))))))))))))))),P25),IF(AND(I25&gt;36160,I25&lt;39938),IF(OR(VLOOKUP(I25-1,$C$48:$D$58,2,TRUE)&lt;Q25,VLOOKUP(I25-1,$C$48:$D$58,2,TRUE)=Q25),Q25,INDEX('1999'!$C$4:$U$40,IF(Q25=2600,MATCH(VLOOKUP(I25-1,$C$48:$D$58,2,TRUE),'1999'!$C$4:$C$20,1)+1,IF(Q25=2650,MATCH(VLOOKUP(I25-1,$C$48:$D$58,2,TRUE),'1999'!$D$4:$D$29,1)+1,IF(Q25=2750,MATCH(VLOOKUP(I25-1,$C$48:$D$58,2,TRUE),'1999'!$E$4:$E$34,1)+1,IF(Q25=2900,MATCH(VLOOKUP(I25-1,$C$48:$D$58,2,TRUE),'1999'!$F$4:$F$38,1)+1,IF(Q25=3050,MATCH(VLOOKUP(I25-1,$C$48:$D$58,2,TRUE),'1999'!$G$4:$G$31,1)+1,IF(Q25=3200,MATCH(VLOOKUP(I25-1,$C$48:$D$58,2,TRUE),'1999'!$H$4:$H$33,1)+1,IF(Q25=3300,MATCH(VLOOKUP(I25-1,$C$48:$D$58,2,TRUE),'1999'!$I$4:$I$39,1)+1,IF(Q25=4000,MATCH(VLOOKUP(I25-1,$C$48:$D$58,2,TRUE),'1999'!$J$4:$J$37,1)+1,IF(Q25=4200,MATCH(VLOOKUP(I25-1,$C$48:$D$58,2,TRUE),'1999'!$K$4:$K$38,1)+1,IF(Q25=5000,MATCH(VLOOKUP(I25-1,$C$48:$D$58,2,TRUE),'1999'!$L$4:$L$40,1)+1,IF(Q25=5500,MATCH(VLOOKUP(I25-1,$C$48:$D$58,2,TRUE),'1999'!$M$4:$M$35,1)+1,IF(Q25=6500,MATCH(VLOOKUP(I25-1,$C$48:$D$58,2,TRUE),'1999'!$N$4:$N$32,1)+1,IF(Q25=7450,MATCH(VLOOKUP(I25-1,$C$48:$D$58,2,TRUE),'1999'!$O$4:$O$28,1)+1,IF(Q25=7800,MATCH(VLOOKUP(I25-1,$C$48:$D$58,2,TRUE),'1999'!$P$4:$P$29,1)+1,IF(Q25=10000,MATCH(VLOOKUP(I25-1,$C$48:$D$58,2,TRUE),'1999'!$Q$4:$Q$21,1)+1,IF(Q25=10650,MATCH(VLOOKUP(I25-1,$C$48:$D$58,2,TRUE),'1999'!$R$4:$R$20,1)+1,IF(Q25=11000,MATCH(VLOOKUP(I25-1,$C$48:$D$58,2,TRUE),'1999'!$S$4:$S$24,1)+1,))))))))))))))))),P25)))))))</f>
        <v/>
      </c>
      <c r="K25" s="602" t="str">
        <f>IF(I25="","",IF(AND(I25&gt;35065,I25&lt;36161),"FR-22(a)(i)",IF(AND(I25&gt;36160,I25&lt;39938),"FR-22(I)(a)(2)")))</f>
        <v/>
      </c>
      <c r="L25" s="628" t="str" cm="1">
        <f t="array" ref="L25">IF(I25="","",IF(DAY(I25)=1,IF(OR(VLOOKUP(I25-1,$C$48:$D$58,2,TRUE)&lt;Q25,VLOOKUP(I25-1,$C$48:$D$58,2,TRUE)=Q25),Q25,IF(AND(I25&gt;$C$39,I25&lt;39938),INDEX('1999'!$C$4:$U$40,IF(Q25=2600,MATCH(O25,'1999'!$C$4:$C$20,1)+2,IF(Q25=2650,MATCH(O25,'1999'!$D$4:$D$29,1)+2,IF(Q25=2750,MATCH(O25,'1999'!$E$4:$E$34,1)+2,IF(Q25=2900,MATCH(O25,'1999'!$F$4:$F$38,1)+2,IF(Q25=3050,MATCH(O25,'1999'!$G$4:$G$31,1)+2,IF(Q25=3200,MATCH(O25,'1999'!$H$4:$H$33,1)+2,IF(Q25=3300,MATCH(O25,'1999'!$I$4:$I$39,1)+2,IF(Q25=4000,MATCH(O25,'1999'!$J$4:$J$37,1)+2,IF(Q25=4200,MATCH(O25,'1999'!$K$4:$K$38,1)+2,IF(Q25=5000,MATCH(O25,'1999'!$L$4:$L$40,1)+2,IF(Q25=5500,MATCH(O25,'1999'!$M$4:$M$35,1)+2,IF(Q25=6500,MATCH(O25,'1999'!$N$4:$N$32,1)+2,IF(Q25=7450,MATCH(O25,'1999'!$O$4:$O$28,1)+2,IF(Q25=7800,MATCH(O25,'1999'!$P$4:$P$29,1)+2,IF(Q25=10000,MATCH(O25,'1999'!$Q$4:$Q$21,1)+2,IF(Q25=10650,MATCH(O25,'1999'!$R$4:$R$20,1)+2,IF(Q25=11000,MATCH(O25,'1999'!$S$4:$S$24,1)+2,))))))))))))))))),P25),"")),IF(O25&lt;Q25,Q25,IF(AND(I25&gt;$C$39,I25&lt;39938),INDEX('1999'!$C$4:$U$40,IF(Q25=2600,MATCH(O25,'1999'!$C$4:$C$20,1)+1,IF(Q25=2650,MATCH(O25,'1999'!$D$4:$D$29,1)+1,IF(Q25=2750,MATCH(O25,'1999'!$E$4:$E$34,1)+1,IF(Q25=2900,MATCH(O25,'1999'!$F$4:$F$38,1)+1,IF(Q25=3050,MATCH(O25,'1999'!$G$4:$G$31,1)+1,IF(Q25=3200,MATCH(O25,'1999'!$H$4:$H$33,1)+1,IF(Q25=3300,MATCH(O25,'1999'!$I$4:$I$39,1)+1,IF(Q25=4000,MATCH(O25,'1999'!$J$4:$J$37,1)+1,IF(Q25=4200,MATCH(O25,'1999'!$K$4:$K$38,1)+1,IF(Q25=5000,MATCH(O25,'1999'!$L$4:$L$40,1)+1,IF(Q25=5500,MATCH(O25,'1999'!$M$4:$M$35,1)+1,IF(Q25=6500,MATCH(O25,'1999'!$N$4:$N$32,1)+1,IF(Q25=7450,MATCH(O25,'1999'!$O$4:$O$28,1)+1,IF(Q25=7800,MATCH(O25,'1999'!$P$4:$P$29,1)+1,IF(Q25=10000,MATCH(O25,'1999'!$Q$4:$Q$21,1)+1,IF(Q25=10650,MATCH(O25,'1999'!$R$4:$R$20,1)+1,IF(Q25=11000,MATCH(O25,'1999'!$S$4:$S$24,1)+1,))))))))))))))))),P25),""))))</f>
        <v/>
      </c>
      <c r="M25" s="604" t="str">
        <f>IF(I25="","",IF(AND(I25&gt;35065,I25&lt;36161),"FR-22(C)",IF(AND(I25&gt;36160,I25&lt;39938),"FR-22(I)(a)(1)")))</f>
        <v/>
      </c>
      <c r="N25" s="639" t="str">
        <f>IF(I25="","",MATCH(VLOOKUP(I25-1,$C$48:$D$61,2,TRUE),IF(Q23=2600,'1999'!$C$4:$C$20,IF(Q23=2650,'1999'!$D$4:$D$29,IF(Q23=2750,'1999'!$E$4:$E$34,IF(Q23=2900,'1999'!$F$4:$F$38,IF(Q23=3050,'1999'!$G$4:$G$31,IF(Q23=3200,'1999'!$H$4:$H$33,IF(Q23=3300,'1999'!$I$4:$I$39,IF(Q23=4000,'1999'!$J$4:$J$37,IF(Q23=4200,'1999'!$K$4:$K$38,IF(Q23=5000,'1999'!$L$4:$L$40,IF(Q23=5500,'1999'!$M$4:$M$35,IF(Q23=6500,'1999'!$N$4:$N$32,IF(Q23=7450,'1999'!$O$4:$O$28,IF(Q23=7800,'1999'!$P$4:$P$29,IF(Q23=10000,'1999'!$Q$4:$Q$21,IF(Q23=10650,'1999'!$R$4:$R$20,IF(Q23=11000,'1999'!$S$4:$S$24,))))))))))))))))),P23)+1)</f>
        <v/>
      </c>
      <c r="O25" s="644" t="str" cm="1">
        <f t="array" ref="O25">IF(I25="","",INDEX('1999'!$C$4:$U$40,N25,P23))</f>
        <v/>
      </c>
      <c r="P25" s="787" t="str">
        <f>IF(Q25=2600,"1",IF(AND(Q25=2650),"2",IF(AND(Q25=2750),"3",IF(AND(Q25=2900),"4",IF(AND(Q25=3050),"5",IF(AND(Q25=3200),"6",IF(AND(Q25=3300),"7",IF(AND(Q25=4000),"8",IF(AND(Q25=4200),"9",IF(AND(Q25=5000),"10",IF(AND(Q25=5500),"11",IF(AND(Q25=6500),"12",IF(AND(Q25=7450),"13",IF(AND(Q25=7800),"14",IF(AND(Q25=10000),"15",IF(AND(Q25=10650),"16",IF(AND(Q25=11000),"17",IF(AND(Q25=11150),"18",IF(AND(Q25=12000),"19")))))))))))))))))))</f>
        <v>3</v>
      </c>
      <c r="Q25" s="902" cm="1">
        <f t="array" ref="Q25">IF(OR(I25&lt;35065,I25&gt;39813),Q23,INDEX('Pay Scales'!F134:F153,MATCH(Q23,'Pay Scales'!F134:F153,0)+1,1))</f>
        <v>2750</v>
      </c>
      <c r="R25" s="838" t="str">
        <f>IF(Q25=2600,"Pay Scale (₹2600-₹3545)",IF(Q25=2650,"Pay Scale (₹2650-₹4350)",IF(Q25=2750,"Pay Scale (₹2750-₹4925)",IF(Q25=2900,"Pay Scale (₹2900-₹5660)",IF(Q25=3050,"Pay Scale (₹3050-₹5910)",IF(Q25=3200,"Pay Scale (₹3200-₹6030)",IF(Q25=3300,"Pay Scale (₹3300-₹7100)",IF(Q25=4000,"Pay Scale (₹4000-₹7890)",IF(Q25=4200,"Pay Scale (₹4200-₹8650)",IF(Q25=5000,"Pay Scale (₹5000-₹10300)",IF(Q25=5500,"Pay Scale (₹5500-₹10700)",IF(Q25=6500,"Pay Scale (₹6500-₹12300)",IF(Q25=7450,"Pay Scale (₹7450-₹13000)",IF(Q25=7800,"Pay Scale (₹7800-₹15100)",IF(Q25=10000,"Pay Scale (₹10000-₹15100)",IF(Q25=10650,"Pay Scale (₹10650-₹15850)",IF(Q25=11000,"Pay Scale (₹11000-₹18000)",IF(Q25=11150,"Pay Scale (₹11150-₹18275)",IF(Q25=12000,"Pay Scale (₹12000-₹18400)")))))))))))))))))))</f>
        <v>Pay Scale (₹2750-₹4925)</v>
      </c>
      <c r="S25" s="839"/>
    </row>
    <row r="26" spans="1:20" ht="17.850000000000001" customHeight="1" thickBot="1" x14ac:dyDescent="0.3">
      <c r="B26" s="666"/>
      <c r="C26" s="666" t="s">
        <v>46</v>
      </c>
      <c r="D26" s="370" t="s">
        <v>47</v>
      </c>
      <c r="E26" s="367"/>
      <c r="F26" s="367"/>
      <c r="G26" s="176"/>
      <c r="H26" s="435"/>
      <c r="I26" s="579" t="str" cm="1">
        <f t="array" ref="I26">IF(AND(I25&gt;C48,I25&lt;C58),INDEX('Pay Scales'!$F$18:$F$28,(MATCH(I25,'Pay Scales'!$F$18:$F$28,1)+1)),"")</f>
        <v/>
      </c>
      <c r="J26" s="643" t="str" cm="1">
        <f t="array" ref="J26">IF(I25="","",IF(AND(I25&gt;35065,I25&lt;36161),INDEX('1999'!$C$4:$U$40,IF(Q25=2600,MATCH(J25,'1999'!$C$4:$C$20,1)+1,IF(Q25=2650,MATCH(J25,'1999'!$D$4:$D$29,1)+1,IF(Q25=2750,MATCH(J25,'1999'!$E$4:$E$34,1)+1,IF(Q25=2900,MATCH(J25,'1999'!$F$4:$F$38,1)+1,IF(Q25=3050,MATCH(J25,'1999'!$G$4:$G$31,1)+1,IF(Q25=3200,MATCH(J25,'1999'!$H$4:$H$33,1)+1,IF(Q25=3300,MATCH(J25,'1999'!$I$4:$I$39,1)+1,IF(Q25=4000,MATCH(J25,'1999'!$J$4:$J$37,1)+1,IF(Q25=4200,MATCH(J25,'1999'!$K$4:$K$38,1)+1,IF(Q25=5000,MATCH(J25,'1999'!$L$4:$L$40,1)+1,IF(Q25=5500,MATCH(J25,'1999'!$M$4:M41,1)+1,IF(Q25=6500,MATCH(J25,'1999'!$N$4:$N$32,1)+1,IF(Q25=7450,MATCH(J25,'1999'!$O$4:$O$28,1)+1,IF(Q25=7800,MATCH(J25,'1999'!$P$4:$P$29,1)+1,IF(Q25=10000,MATCH(J25,'1999'!$Q$4:$Q$21,1)+1,IF(Q25=10650,MATCH(J25,'1999'!$R$4:$R$20,1)+1,IF(Q25=11000,MATCH(J25,'1999'!$S$4:S30,1)+1,))))))))))))))))),P25),IF(AND(I25&gt;36160,I25&lt;39938),INDEX('1999'!$C$4:$U$40,IF(Q25=2600,MATCH(J25,'1999'!$C$4:$C$20,1)+1,IF(Q25=2650,MATCH(J25,'1999'!$D$4:$D$29,1)+1,IF(Q25=2750,MATCH(J25,'1999'!$E$4:$E$34,1)+1,IF(Q25=2900,MATCH(J25,'1999'!$F$4:$F$38,1)+1,IF(Q25=3050,MATCH(J25,'1999'!$G$4:$G$31,1)+1,IF(Q25=3200,MATCH(J25,'1999'!$H$4:$H$33,1)+1,IF(Q25=3300,MATCH(J25,'1999'!$I$4:$I$39,1)+1,IF(Q25=4000,MATCH(J25,'1999'!$J$4:$J$37,1)+1,IF(Q25=4200,MATCH(J25,'1999'!$K$4:$K$38,1)+1,IF(Q25=5000,MATCH(J25,'1999'!$L$4:$L$40,1)+1,IF(Q25=5500,MATCH(J25,'1999'!$M$4:$M$35,1)+1,IF(Q25=6500,MATCH(J25,'1999'!$N$4:$N$32,1)+1,IF(Q25=7450,MATCH(J25,'1999'!$O$4:$O$28,1)+1,IF(Q25=7800,MATCH(J25,'1999'!$P$4:$P$29,1)+1,IF(Q25=10000,MATCH(J25,'1999'!$Q$4:$Q$21,1)+1,IF(Q25=10650,MATCH(J25,'1999'!$R$4:$R$20,1)+1,IF(Q25=11000,MATCH(J25,'1999'!$S$4:$S$24,1)+1,))))))))))))))))),P25))))</f>
        <v/>
      </c>
      <c r="K26" s="605"/>
      <c r="L26" s="629" t="str" cm="1">
        <f t="array" ref="L26">IF(I25="","",IF(AND(I25&gt;$C$39,I25&lt;39938),INDEX('1999'!$C$4:$U$40,IF(Q25=2600,MATCH(L25,'1999'!$C$4:$C$20,1)+1,IF(Q25=2650,MATCH(L25,'1999'!$D$4:$D$29,1)+1,IF(Q25=2750,MATCH(L25,'1999'!$E$4:$E$34,1)+1,IF(Q25=2900,MATCH(L25,'1999'!$F$4:$F$38,1)+1,IF(Q25=3050,MATCH(L25,'1999'!$G$4:$G$31,1)+1,IF(Q25=3200,MATCH(L25,'1999'!$H$4:$H$33,1)+1,IF(Q25=3300,MATCH(L25,'1999'!$I$4:$I$39,1)+1,IF(Q25=4000,MATCH(L25,'1999'!$J$4:$J$37,1)+1,IF(Q25=4200,MATCH(L25,'1999'!$K$4:$K$38,1)+1,IF(Q25=5000,MATCH(L25,'1999'!$L$4:$L$40,1)+1,IF(Q25=5500,MATCH(L25,'1999'!$M$4:M41,1)+1,IF(Q25=6500,MATCH(L25,'1999'!$N$4:$N$32,1)+1,IF(Q25=7450,MATCH(L25,'1999'!$O$4:$O$28,1)+1,IF(Q25=7800,MATCH(L25,'1999'!$P$4:$P$29,1)+1,IF(Q25=10000,MATCH(L25,'1999'!$Q$4:$Q$21,1)+1,IF(Q25=10650,MATCH(L25,'1999'!$R$4:$R$20,1)+1,IF(Q25=11000,MATCH(L25,'1999'!$S$4:S30,1)+1,))))))))))))))))),P25),""))</f>
        <v/>
      </c>
      <c r="M26" s="606"/>
      <c r="N26" s="640" t="str">
        <f>IF(I25="","",N25+1)</f>
        <v/>
      </c>
      <c r="O26" s="645" t="str" cm="1">
        <f t="array" ref="O26">IF(I25="","",INDEX('1999'!$C$4:$U$40,N26,P23))</f>
        <v/>
      </c>
      <c r="P26" s="788"/>
      <c r="Q26" s="903"/>
      <c r="R26" s="840"/>
      <c r="S26" s="841"/>
    </row>
    <row r="27" spans="1:20" ht="15.75" customHeight="1" x14ac:dyDescent="0.25">
      <c r="B27" s="368" t="s">
        <v>26</v>
      </c>
      <c r="C27" s="582">
        <f>C14</f>
        <v>31841</v>
      </c>
      <c r="D27" s="370" cm="1">
        <f t="array" ref="D27">IF(OR(H27=2145,H27=2150),2100,IF(D25&lt;H27,H27,INDEX('1988'!$C$4:$V$39,IF(H27=775,MATCH(D25,'1988'!$C$4:$C$24,1)+1,IF(H27=800,MATCH(D25,'1988'!$D$4:$D$32,1)+1,IF(H27=850,MATCH(D25,'1988'!$E$4:$E$39,1)+1,IF(H27=950,MATCH(D25,'1988'!$F$4:$F$34,1)+1,IF(H27=970,MATCH(D25,'1988'!$G$4:$G$35,1)+1,IF(H27=1020,MATCH(D25,'1988'!$H$4:$H$38,1)+1,IF(H27=1250,MATCH(D25,'1988'!$I$4:$I$36,1)+1,IF(H27=1300,MATCH(D25,'1988'!$J$4:$J$38,1)+1,IF(H27=1450,MATCH(D25,'1988'!$K$4:$K$38,1)+1,IF(H27=1700,MATCH(D25,'1988'!$L$4:$L$36,1)+1,IF(H27=2000,MATCH(D25,'1988'!$M$4:$M$34,1)+1,IF(H27=2145,MATCH(D25,'1988'!$N$4:$N$34,1)+1,IF(H27=2150,MATCH(D25,'1988'!$O$4:$O$36,1)+1,IF(H27=3000,MATCH(D25,'1988'!$P$4:$P$25,1)+1,IF(H27=3200,MATCH(D25,'1988'!$Q$4:$Q$28,1)+1,IF(H27=3300,MATCH(D25,'1988'!$R$4:$R$26,1)+1,IF(H27=3500,MATCH(D25,'1988'!$S$4:$S$24,1)+1,IF(H27=3600,MATCH(D25,'1988'!$T$4:$T$20,1)+1,IF(H27=4000,MATCH(D25,'1988'!$U$4:$U$17,1)+1,IF(H27=5900,MATCH(D25,'1988'!$V$4:$V$8,1)+1,)))))))))))))))))))),I27)))</f>
        <v>775</v>
      </c>
      <c r="E27" s="231" t="str">
        <f>IF(Q12=D27,"(Minimum Pay)","")</f>
        <v>(Minimum Pay)</v>
      </c>
      <c r="F27" s="372" t="str">
        <f>R12</f>
        <v>Pay Scale (₹775-₹1130)</v>
      </c>
      <c r="H27" s="651">
        <f t="shared" ref="H27:H37" si="1">IF(C27=$F$5,$Q$13,IF(C27=$F$6,$Q$15,IF(C27=$F$7,$Q$17,IF(C27&lt;$F$5,$Q$12,IF(OR(AND(C27&gt;$F$5,C27&lt;$F$6),AND(C27&gt;$F$5,$F$6=0,$F$7=0)),$Q$13,IF(OR(AND(C27&gt;$F$6,C27&lt;$F$7),AND(C27&gt;$F$6,$F$7=0)),$Q$15,IF(C27&gt;$F$7,$Q$17)))))))</f>
        <v>775</v>
      </c>
      <c r="I27" s="654">
        <f>IF(H27=775,1,IF(AND(H27=800),2,IF(AND(H27=850),3,IF(AND(H27=950),4,IF(AND(H27=970),5,IF(AND(H27=1020),6,IF(AND(H27=1250),7,IF(AND(H27=1300),8,IF(AND(H27=1450),9,IF(AND(H27=1700),10,IF(AND(H27=2000),11,IF(AND(H27=2100),12,IF(AND(H27=2150),13,IF(AND(H27=3000),14,IF(AND(H27=3200),15,IF(AND(H27=3300),16,IF(AND(H27=3500),17,IF(AND(H27=3600),18,IF(AND(H27=4000),19,IF(AND(H27=5900),20))))))))))))))))))))</f>
        <v>1</v>
      </c>
      <c r="J27" s="657">
        <f>IF(C27="","",MATCH(VLOOKUP(C27,$C$27:$D$37,2,TRUE),(IF(H27=775,'1988'!$C$4:$C$24,IF(H27=800,'1988'!$D$4:$D$32,IF(H27=850,'1988'!$E$4:$E$39,IF(H27=950,'1988'!$F$4:$F$34,IF(H27=970,'1988'!$G$4:$G$35,IF(H27=1020,'1988'!$H$4:$H$38,IF(H27=1250,'1988'!$I$4:$I$36,IF(H27=1300,'1988'!$J$4:$J$38,IF(H27=1450,'1988'!$K$4:$K$38,IF(H27=1700,'1988'!$L$4:$L$36,IF(H27=2000,'1988'!$M$4:$M$34,IF(H27=2100,'1988'!$N$4:$N$34,IF(H27=2150,'1988'!$O$4:$O$36,IF(H27=3000,'1988'!$P$4:$P$25,IF(H27=3200,'1988'!$Q$4:$Q$28,IF(H27=3300,'1988'!$R$4:$R$26,IF(H27=3500,'1988'!$S$4:$S$24,IF(H27=3600,'1988'!$T$4:$T$20,IF(H27=4000,'1988'!$U$4:$U$17,IF(H27=5900,'1988'!$V$4:$V$8)))))))))))))))))))))))</f>
        <v>1</v>
      </c>
      <c r="K27" s="174"/>
    </row>
    <row r="28" spans="1:20" ht="15.75" customHeight="1" x14ac:dyDescent="0.25">
      <c r="A28" s="174"/>
      <c r="B28" s="368"/>
      <c r="C28" s="582">
        <f>IF(C27="","",IF(EDATE((C27-DAY(C27)+1),12)&gt;38718,"",EDATE((C27-DAY(C27)+1),12)))</f>
        <v>32203</v>
      </c>
      <c r="D28" s="371" cm="1">
        <f t="array" ref="D28">IF(C28="","",IF(D27&lt;H28,H28,INDEX('1988'!$C$4:$V$39,IF(H28=775,MATCH(D27,'1988'!$C$4:$C$24,1)+1,IF(H28=800,MATCH(D27,'1988'!$D$4:$D$32,1)+1,IF(H28=850,MATCH(D27,'1988'!$E$4:$E$39,1)+1,IF(H28=950,MATCH(D27,'1988'!$F$4:$F$34,1)+1,IF(H28=970,MATCH(D27,'1988'!$G$4:$G$35,1)+1,IF(H28=1020,MATCH(D27,'1988'!$H$4:$H$38,1)+1,IF(H28=1250,MATCH(D27,'1988'!$I$4:$I$36,1)+1,IF(H28=1300,MATCH(D27,'1988'!$J$4:$J$38,1)+1,IF(H28=1450,MATCH(D27,'1988'!$K$4:$K$38,1)+1,IF(H28=1700,MATCH(D27,'1988'!$L$4:$L$36,1)+1,IF(H28=2000,MATCH(D27,'1988'!$M$4:$M$34,1)+1,IF(H28=2100,MATCH(D27,'1988'!$N$4:$N$34,1)+1,IF(H28=2150,MATCH(D27,'1988'!$O$4:$O$36,1)+1,IF(H28=3000,MATCH(D27,'1988'!$P$4:$P$25,1)+1,IF(H28=3200,MATCH(D27,'1988'!$Q$4:$Q$28,1)+1,IF(H28=3300,MATCH(D27,'1988'!$R$4:$R$26,1)+1,IF(H28=3500,MATCH(D27,'1988'!$S$4:$S$24,1)+1,IF(H28=3600,MATCH(D27,'1988'!$T$4:$T$20,1)+1,IF(H28=4000,MATCH(D27,'1988'!$U$4:$U$17,1)+1,IF(H28=5900,MATCH(D27,'1988'!$V$4:$V$8,1)+1,)))))))))))))))))))),I28)))</f>
        <v>790</v>
      </c>
      <c r="E28" s="372"/>
      <c r="F28" s="372"/>
      <c r="H28" s="652">
        <f t="shared" si="1"/>
        <v>775</v>
      </c>
      <c r="I28" s="655">
        <f t="shared" ref="I28:I37" si="2">IF(H28=775,1,IF(AND(H28=800),2,IF(AND(H28=850),3,IF(AND(H28=950),4,IF(AND(H28=970),5,IF(AND(H28=1020),6,IF(AND(H28=1250),7,IF(AND(H28=1300),8,IF(AND(H28=1450),9,IF(AND(H28=1700),10,IF(AND(H28=2000),11,IF(AND(H28=2100),12,IF(AND(H28=2150),13,IF(AND(H28=3000),14,IF(AND(H28=3200),15,IF(AND(H28=3300),16,IF(AND(H28=3500),17,IF(AND(H28=3600),18,IF(AND(H28=4000),19,IF(AND(H28=5900),20))))))))))))))))))))</f>
        <v>1</v>
      </c>
      <c r="J28" s="658">
        <f>IF(C28="","",MATCH(VLOOKUP(C28,$C$27:$D$37,2,TRUE),(IF(H28=775,'1988'!$C$4:$C$24,IF(H28=800,'1988'!$D$4:$D$32,IF(H28=850,'1988'!$E$4:$E$39,IF(H28=950,'1988'!$F$4:$F$34,IF(H28=970,'1988'!$G$4:$G$35,IF(H28=1020,'1988'!$H$4:$H$38,IF(H28=1250,'1988'!$I$4:$I$36,IF(H28=1300,'1988'!$J$4:$J$38,IF(H28=1450,'1988'!$K$4:$K$38,IF(H28=1700,'1988'!$L$4:$L$36,IF(H28=2000,'1988'!$M$4:$M$34,IF(H28=2100,'1988'!$N$4:$N$34,IF(H28=2150,'1988'!$O$4:$O$36,IF(H28=3000,'1988'!$P$4:$P$25,IF(H28=3200,'1988'!$Q$4:$Q$28,IF(H28=3300,'1988'!$R$4:$R$26,IF(H28=3500,'1988'!$S$4:$S$24,IF(H28=3600,'1988'!$T$4:$T$20,IF(H28=4000,'1988'!$U$4:$U$17,IF(H28=5900,'1988'!$V$4:$V$8)))))))))))))))))))))))</f>
        <v>2</v>
      </c>
    </row>
    <row r="29" spans="1:20" ht="15.75" customHeight="1" x14ac:dyDescent="0.25">
      <c r="B29" s="368"/>
      <c r="C29" s="582">
        <f>IF(C28="","",IF(EDATE(C28,12)&gt;38718,"",EDATE(C28,12)))</f>
        <v>32568</v>
      </c>
      <c r="D29" s="371" cm="1">
        <f t="array" ref="D29">IF(C29="","",IF(D28&lt;H29,H29,INDEX('1988'!$C$4:$V$39,IF(H29=775,MATCH(D28,'1988'!$C$4:$C$24,1)+1,IF(H29=800,MATCH(D28,'1988'!$D$4:$D$32,1)+1,IF(H29=850,MATCH(D28,'1988'!$E$4:$E$39,1)+1,IF(H29=950,MATCH(D28,'1988'!$F$4:$F$34,1)+1,IF(H29=970,MATCH(D28,'1988'!$G$4:$G$35,1)+1,IF(H29=1020,MATCH(D28,'1988'!$H$4:$H$38,1)+1,IF(H29=1250,MATCH(D28,'1988'!$I$4:$I$36,1)+1,IF(H29=1300,MATCH(D28,'1988'!$J$4:$J$38,1)+1,IF(H29=1450,MATCH(D28,'1988'!$K$4:$K$38,1)+1,IF(H29=1700,MATCH(D28,'1988'!$L$4:$L$36,1)+1,IF(H29=2000,MATCH(D28,'1988'!$M$4:$M$34,1)+1,IF(H29=2100,MATCH(D28,'1988'!$N$4:$N$34,1)+1,IF(H29=2150,MATCH(D28,'1988'!$O$4:$O$36,1)+1,IF(H29=3000,MATCH(D28,'1988'!$P$4:$P$25,1)+1,IF(H29=3200,MATCH(D28,'1988'!$Q$4:$Q$28,1)+1,IF(H29=3300,MATCH(D28,'1988'!$R$4:$R$26,1)+1,IF(H29=3500,MATCH(D28,'1988'!$S$4:$S$24,1)+1,IF(H29=3600,MATCH(D28,'1988'!$T$4:$T$20,1)+1,IF(H29=4000,MATCH(D28,'1988'!$U$4:$U$17,1)+1,IF(H29=5900,MATCH(D28,'1988'!$V$4:$V$8,1)+1,)))))))))))))))))))),I29)))</f>
        <v>806</v>
      </c>
      <c r="E29" s="372"/>
      <c r="F29" s="372"/>
      <c r="H29" s="652">
        <f t="shared" si="1"/>
        <v>775</v>
      </c>
      <c r="I29" s="655">
        <f t="shared" si="2"/>
        <v>1</v>
      </c>
      <c r="J29" s="658">
        <f>IF(C29="","",MATCH(VLOOKUP(C29,$C$27:$D$37,2,TRUE),(IF(H29=775,'1988'!$C$4:$C$24,IF(H29=800,'1988'!$D$4:$D$32,IF(H29=850,'1988'!$E$4:$E$39,IF(H29=950,'1988'!$F$4:$F$34,IF(H29=970,'1988'!$G$4:$G$35,IF(H29=1020,'1988'!$H$4:$H$38,IF(H29=1250,'1988'!$I$4:$I$36,IF(H29=1300,'1988'!$J$4:$J$38,IF(H29=1450,'1988'!$K$4:$K$38,IF(H29=1700,'1988'!$L$4:$L$36,IF(H29=2000,'1988'!$M$4:$M$34,IF(H29=2100,'1988'!$N$4:$N$34,IF(H29=2150,'1988'!$O$4:$O$36,IF(H29=3000,'1988'!$P$4:$P$25,IF(H29=3200,'1988'!$Q$4:$Q$28,IF(H29=3300,'1988'!$R$4:$R$26,IF(H29=3500,'1988'!$S$4:$S$24,IF(H29=3600,'1988'!$T$4:$T$20,IF(H29=4000,'1988'!$U$4:$U$17,IF(H29=5900,'1988'!$V$4:$V$8)))))))))))))))))))))))</f>
        <v>3</v>
      </c>
      <c r="K29" s="174"/>
      <c r="L29" s="174"/>
    </row>
    <row r="30" spans="1:20" ht="15.75" customHeight="1" x14ac:dyDescent="0.25">
      <c r="B30" s="368"/>
      <c r="C30" s="582">
        <f t="shared" ref="C30:C36" si="3">IF(C29="","",IF(EDATE(C29,12)&gt;38718,"",EDATE(C29,12)))</f>
        <v>32933</v>
      </c>
      <c r="D30" s="371" cm="1">
        <f t="array" ref="D30">IF(C30="","",IF(D29&lt;H30,H30,INDEX('1988'!$C$4:$V$39,IF(H30=775,MATCH(D29,'1988'!$C$4:$C$24,1)+1,IF(H30=800,MATCH(D29,'1988'!$D$4:$D$32,1)+1,IF(H30=850,MATCH(D29,'1988'!$E$4:$E$39,1)+1,IF(H30=950,MATCH(D29,'1988'!$F$4:$F$34,1)+1,IF(H30=970,MATCH(D29,'1988'!$G$4:$G$35,1)+1,IF(H30=1020,MATCH(D29,'1988'!$H$4:$H$38,1)+1,IF(H30=1250,MATCH(D29,'1988'!$I$4:$I$36,1)+1,IF(H30=1300,MATCH(D29,'1988'!$J$4:$J$38,1)+1,IF(H30=1450,MATCH(D29,'1988'!$K$4:$K$38,1)+1,IF(H30=1700,MATCH(D29,'1988'!$L$4:$L$36,1)+1,IF(H30=2000,MATCH(D29,'1988'!$M$4:$M$34,1)+1,IF(H30=2100,MATCH(D29,'1988'!$N$4:$N$34,1)+1,IF(H30=2150,MATCH(D29,'1988'!$O$4:$O$36,1)+1,IF(H30=3000,MATCH(D29,'1988'!$P$4:$P$25,1)+1,IF(H30=3200,MATCH(D29,'1988'!$Q$4:$Q$28,1)+1,IF(H30=3300,MATCH(D29,'1988'!$R$4:$R$26,1)+1,IF(H30=3500,MATCH(D29,'1988'!$S$4:$S$24,1)+1,IF(H30=3600,MATCH(D29,'1988'!$T$4:$T$20,1)+1,IF(H30=4000,MATCH(D29,'1988'!$U$4:$U$17,1)+1,IF(H30=5900,MATCH(D29,'1988'!$V$4:$V$8,1)+1,)))))))))))))))))))),I30)))</f>
        <v>822</v>
      </c>
      <c r="E30" s="372"/>
      <c r="F30" s="372"/>
      <c r="H30" s="652">
        <f t="shared" si="1"/>
        <v>775</v>
      </c>
      <c r="I30" s="655">
        <f t="shared" si="2"/>
        <v>1</v>
      </c>
      <c r="J30" s="658">
        <f>IF(C30="","",MATCH(VLOOKUP(C30,$C$27:$D$37,2,TRUE),(IF(H30=775,'1988'!$C$4:$C$24,IF(H30=800,'1988'!$D$4:$D$32,IF(H30=850,'1988'!$E$4:$E$39,IF(H30=950,'1988'!$F$4:$F$34,IF(H30=970,'1988'!$G$4:$G$35,IF(H30=1020,'1988'!$H$4:$H$38,IF(H30=1250,'1988'!$I$4:$I$36,IF(H30=1300,'1988'!$J$4:$J$38,IF(H30=1450,'1988'!$K$4:$K$38,IF(H30=1700,'1988'!$L$4:$L$36,IF(H30=2000,'1988'!$M$4:$M$34,IF(H30=2100,'1988'!$N$4:$N$34,IF(H30=2150,'1988'!$O$4:$O$36,IF(H30=3000,'1988'!$P$4:$P$25,IF(H30=3200,'1988'!$Q$4:$Q$28,IF(H30=3300,'1988'!$R$4:$R$26,IF(H30=3500,'1988'!$S$4:$S$24,IF(H30=3600,'1988'!$T$4:$T$20,IF(H30=4000,'1988'!$U$4:$U$17,IF(H30=5900,'1988'!$V$4:$V$8)))))))))))))))))))))))</f>
        <v>4</v>
      </c>
      <c r="Q30" s="650"/>
    </row>
    <row r="31" spans="1:20" ht="15.75" customHeight="1" x14ac:dyDescent="0.25">
      <c r="B31" s="368"/>
      <c r="C31" s="582">
        <f t="shared" si="3"/>
        <v>33298</v>
      </c>
      <c r="D31" s="371" cm="1">
        <f t="array" ref="D31">IF(C31="","",IF(D30&lt;H31,H31,INDEX('1988'!$C$4:$V$39,IF(H31=775,MATCH(D30,'1988'!$C$4:$C$24,1)+1,IF(H31=800,MATCH(D30,'1988'!$D$4:$D$32,1)+1,IF(H31=850,MATCH(D30,'1988'!$E$4:$E$39,1)+1,IF(H31=950,MATCH(D30,'1988'!$F$4:$F$34,1)+1,IF(H31=970,MATCH(D30,'1988'!$G$4:$G$35,1)+1,IF(H31=1020,MATCH(D30,'1988'!$H$4:$H$38,1)+1,IF(H31=1250,MATCH(D30,'1988'!$I$4:$I$36,1)+1,IF(H31=1300,MATCH(D30,'1988'!$J$4:$J$38,1)+1,IF(H31=1450,MATCH(D30,'1988'!$K$4:$K$38,1)+1,IF(H31=1700,MATCH(D30,'1988'!$L$4:$L$36,1)+1,IF(H31=2000,MATCH(D30,'1988'!$M$4:$M$34,1)+1,IF(H31=2100,MATCH(D30,'1988'!$N$4:$N$34,1)+1,IF(H31=2150,MATCH(D30,'1988'!$O$4:$O$36,1)+1,IF(H31=3000,MATCH(D30,'1988'!$P$4:$P$25,1)+1,IF(H31=3200,MATCH(D30,'1988'!$Q$4:$Q$28,1)+1,IF(H31=3300,MATCH(D30,'1988'!$R$4:$R$26,1)+1,IF(H31=3500,MATCH(D30,'1988'!$S$4:$S$24,1)+1,IF(H31=3600,MATCH(D30,'1988'!$T$4:$T$20,1)+1,IF(H31=4000,MATCH(D30,'1988'!$U$4:$U$17,1)+1,IF(H31=5900,MATCH(D30,'1988'!$V$4:$V$8,1)+1,)))))))))))))))))))),I31)))</f>
        <v>838</v>
      </c>
      <c r="E31" s="372"/>
      <c r="F31" s="372"/>
      <c r="H31" s="652">
        <f t="shared" si="1"/>
        <v>775</v>
      </c>
      <c r="I31" s="655">
        <f t="shared" si="2"/>
        <v>1</v>
      </c>
      <c r="J31" s="658">
        <f>IF(C31="","",MATCH(VLOOKUP(C31,$C$27:$D$37,2,TRUE),(IF(H31=775,'1988'!$C$4:$C$24,IF(H31=800,'1988'!$D$4:$D$32,IF(H31=850,'1988'!$E$4:$E$39,IF(H31=950,'1988'!$F$4:$F$34,IF(H31=970,'1988'!$G$4:$G$35,IF(H31=1020,'1988'!$H$4:$H$38,IF(H31=1250,'1988'!$I$4:$I$36,IF(H31=1300,'1988'!$J$4:$J$38,IF(H31=1450,'1988'!$K$4:$K$38,IF(H31=1700,'1988'!$L$4:$L$36,IF(H31=2000,'1988'!$M$4:$M$34,IF(H31=2100,'1988'!$N$4:$N$34,IF(H31=2150,'1988'!$O$4:$O$36,IF(H31=3000,'1988'!$P$4:$P$25,IF(H31=3200,'1988'!$Q$4:$Q$28,IF(H31=3300,'1988'!$R$4:$R$26,IF(H31=3500,'1988'!$S$4:$S$24,IF(H31=3600,'1988'!$T$4:$T$20,IF(H31=4000,'1988'!$U$4:$U$17,IF(H31=5900,'1988'!$V$4:$V$8)))))))))))))))))))))))</f>
        <v>5</v>
      </c>
      <c r="L31" s="174"/>
    </row>
    <row r="32" spans="1:20" ht="15.75" customHeight="1" x14ac:dyDescent="0.25">
      <c r="B32" s="368"/>
      <c r="C32" s="582">
        <f>IF(C31="","",IF(EDATE(C31,12)&gt;38718,"",EDATE(C31,12)))</f>
        <v>33664</v>
      </c>
      <c r="D32" s="371" cm="1">
        <f t="array" ref="D32">IF(C32="","",IF(D31&lt;H32,H32,INDEX('1988'!$C$4:$V$39,IF(H32=775,MATCH(D31,'1988'!$C$4:$C$24,1)+1,IF(H32=800,MATCH(D31,'1988'!$D$4:$D$32,1)+1,IF(H32=850,MATCH(D31,'1988'!$E$4:$E$39,1)+1,IF(H32=950,MATCH(D31,'1988'!$F$4:$F$34,1)+1,IF(H32=970,MATCH(D31,'1988'!$G$4:$G$35,1)+1,IF(H32=1020,MATCH(D31,'1988'!$H$4:$H$38,1)+1,IF(H32=1250,MATCH(D31,'1988'!$I$4:$I$36,1)+1,IF(H32=1300,MATCH(D31,'1988'!$J$4:$J$38,1)+1,IF(H32=1450,MATCH(D31,'1988'!$K$4:$K$38,1)+1,IF(H32=1700,MATCH(D31,'1988'!$L$4:$L$36,1)+1,IF(H32=2000,MATCH(D31,'1988'!$M$4:$M$34,1)+1,IF(H32=2100,MATCH(D31,'1988'!$N$4:$N$34,1)+1,IF(H32=2150,MATCH(D31,'1988'!$O$4:$O$36,1)+1,IF(H32=3000,MATCH(D31,'1988'!$P$4:$P$25,1)+1,IF(H32=3200,MATCH(D31,'1988'!$Q$4:$Q$28,1)+1,IF(H32=3300,MATCH(D31,'1988'!$R$4:$R$26,1)+1,IF(H32=3500,MATCH(D31,'1988'!$S$4:$S$24,1)+1,IF(H32=3600,MATCH(D31,'1988'!$T$4:$T$20,1)+1,IF(H32=4000,MATCH(D31,'1988'!$U$4:$U$17,1)+1,IF(H32=5900,MATCH(D31,'1988'!$V$4:$V$8,1)+1,)))))))))))))))))))),I32)))</f>
        <v>854</v>
      </c>
      <c r="E32" s="372"/>
      <c r="F32" s="372"/>
      <c r="H32" s="652">
        <f t="shared" si="1"/>
        <v>775</v>
      </c>
      <c r="I32" s="655">
        <f t="shared" si="2"/>
        <v>1</v>
      </c>
      <c r="J32" s="658">
        <f>IF(C32="","",MATCH(VLOOKUP(C32,$C$27:$D$37,2,TRUE),(IF(H32=775,'1988'!$C$4:$C$24,IF(H32=800,'1988'!$D$4:$D$32,IF(H32=850,'1988'!$E$4:$E$39,IF(H32=950,'1988'!$F$4:$F$34,IF(H32=970,'1988'!$G$4:$G$35,IF(H32=1020,'1988'!$H$4:$H$38,IF(H32=1250,'1988'!$I$4:$I$36,IF(H32=1300,'1988'!$J$4:$J$38,IF(H32=1450,'1988'!$K$4:$K$38,IF(H32=1700,'1988'!$L$4:$L$36,IF(H32=2000,'1988'!$M$4:$M$34,IF(H32=2100,'1988'!$N$4:$N$34,IF(H32=2150,'1988'!$O$4:$O$36,IF(H32=3000,'1988'!$P$4:$P$25,IF(H32=3200,'1988'!$Q$4:$Q$28,IF(H32=3300,'1988'!$R$4:$R$26,IF(H32=3500,'1988'!$S$4:$S$24,IF(H32=3600,'1988'!$T$4:$T$20,IF(H32=4000,'1988'!$U$4:$U$17,IF(H32=5900,'1988'!$V$4:$V$8)))))))))))))))))))))))</f>
        <v>6</v>
      </c>
      <c r="L32" s="174"/>
    </row>
    <row r="33" spans="2:20" ht="15.75" customHeight="1" x14ac:dyDescent="0.25">
      <c r="B33" s="368"/>
      <c r="C33" s="582">
        <f t="shared" si="3"/>
        <v>34029</v>
      </c>
      <c r="D33" s="371" cm="1">
        <f t="array" ref="D33">IF(C33="","",IF(D32&lt;H33,H33,INDEX('1988'!$C$4:$V$39,IF(H33=775,MATCH(D32,'1988'!$C$4:$C$24,1)+1,IF(H33=800,MATCH(D32,'1988'!$D$4:$D$32,1)+1,IF(H33=850,MATCH(D32,'1988'!$E$4:$E$39,1)+1,IF(H33=950,MATCH(D32,'1988'!$F$4:$F$34,1)+1,IF(H33=970,MATCH(D32,'1988'!$G$4:$G$35,1)+1,IF(H33=1020,MATCH(D32,'1988'!$H$4:$H$38,1)+1,IF(H33=1250,MATCH(D32,'1988'!$I$4:$I$36,1)+1,IF(H33=1300,MATCH(D32,'1988'!$J$4:$J$38,1)+1,IF(H33=1450,MATCH(D32,'1988'!$K$4:$K$38,1)+1,IF(H33=1700,MATCH(D32,'1988'!$L$4:$L$36,1)+1,IF(H33=2000,MATCH(D32,'1988'!$M$4:$M$34,1)+1,IF(H33=2100,MATCH(D32,'1988'!$N$4:$N$34,1)+1,IF(H33=2150,MATCH(D32,'1988'!$O$4:$O$36,1)+1,IF(H33=3000,MATCH(D32,'1988'!$P$4:$P$25,1)+1,IF(H33=3200,MATCH(D32,'1988'!$Q$4:$Q$28,1)+1,IF(H33=3300,MATCH(D32,'1988'!$R$4:$R$26,1)+1,IF(H33=3500,MATCH(D32,'1988'!$S$4:$S$24,1)+1,IF(H33=3600,MATCH(D32,'1988'!$T$4:$T$20,1)+1,IF(H33=4000,MATCH(D32,'1988'!$U$4:$U$17,1)+1,IF(H33=5900,MATCH(D32,'1988'!$V$4:$V$8,1)+1,)))))))))))))))))))),I33)))</f>
        <v>870</v>
      </c>
      <c r="E33" s="372"/>
      <c r="F33" s="372"/>
      <c r="H33" s="652">
        <f t="shared" si="1"/>
        <v>775</v>
      </c>
      <c r="I33" s="655">
        <f t="shared" si="2"/>
        <v>1</v>
      </c>
      <c r="J33" s="658">
        <f>IF(C33="","",MATCH(VLOOKUP(C33,$C$27:$D$37,2,TRUE),(IF(H33=775,'1988'!$C$4:$C$24,IF(H33=800,'1988'!$D$4:$D$32,IF(H33=850,'1988'!$E$4:$E$39,IF(H33=950,'1988'!$F$4:$F$34,IF(H33=970,'1988'!$G$4:$G$35,IF(H33=1020,'1988'!$H$4:$H$38,IF(H33=1250,'1988'!$I$4:$I$36,IF(H33=1300,'1988'!$J$4:$J$38,IF(H33=1450,'1988'!$K$4:$K$38,IF(H33=1700,'1988'!$L$4:$L$36,IF(H33=2000,'1988'!$M$4:$M$34,IF(H33=2100,'1988'!$N$4:$N$34,IF(H33=2150,'1988'!$O$4:$O$36,IF(H33=3000,'1988'!$P$4:$P$25,IF(H33=3200,'1988'!$Q$4:$Q$28,IF(H33=3300,'1988'!$R$4:$R$26,IF(H33=3500,'1988'!$S$4:$S$24,IF(H33=3600,'1988'!$T$4:$T$20,IF(H33=4000,'1988'!$U$4:$U$17,IF(H33=5900,'1988'!$V$4:$V$8)))))))))))))))))))))))</f>
        <v>7</v>
      </c>
    </row>
    <row r="34" spans="2:20" ht="15.75" customHeight="1" x14ac:dyDescent="0.25">
      <c r="B34" s="368"/>
      <c r="C34" s="582">
        <f t="shared" si="3"/>
        <v>34394</v>
      </c>
      <c r="D34" s="371" cm="1">
        <f t="array" ref="D34">IF(C34="","",IF(D33&lt;H34,H34,INDEX('1988'!$C$4:$V$39,IF(H34=775,MATCH(D33,'1988'!$C$4:$C$24,1)+1,IF(H34=800,MATCH(D33,'1988'!$D$4:$D$32,1)+1,IF(H34=850,MATCH(D33,'1988'!$E$4:$E$39,1)+1,IF(H34=950,MATCH(D33,'1988'!$F$4:$F$34,1)+1,IF(H34=970,MATCH(D33,'1988'!$G$4:$G$35,1)+1,IF(H34=1020,MATCH(D33,'1988'!$H$4:$H$38,1)+1,IF(H34=1250,MATCH(D33,'1988'!$I$4:$I$36,1)+1,IF(H34=1300,MATCH(D33,'1988'!$J$4:$J$38,1)+1,IF(H34=1450,MATCH(D33,'1988'!$K$4:$K$38,1)+1,IF(H34=1700,MATCH(D33,'1988'!$L$4:$L$36,1)+1,IF(H34=2000,MATCH(D33,'1988'!$M$4:$M$34,1)+1,IF(H34=2100,MATCH(D33,'1988'!$N$4:$N$34,1)+1,IF(H34=2150,MATCH(D33,'1988'!$O$4:$O$36,1)+1,IF(H34=3000,MATCH(D33,'1988'!$P$4:$P$25,1)+1,IF(H34=3200,MATCH(D33,'1988'!$Q$4:$Q$28,1)+1,IF(H34=3300,MATCH(D33,'1988'!$R$4:$R$26,1)+1,IF(H34=3500,MATCH(D33,'1988'!$S$4:$S$24,1)+1,IF(H34=3600,MATCH(D33,'1988'!$T$4:$T$20,1)+1,IF(H34=4000,MATCH(D33,'1988'!$U$4:$U$17,1)+1,IF(H34=5900,MATCH(D33,'1988'!$V$4:$V$8,1)+1,)))))))))))))))))))),I34)))</f>
        <v>886</v>
      </c>
      <c r="E34" s="372"/>
      <c r="F34" s="372"/>
      <c r="H34" s="652">
        <f t="shared" si="1"/>
        <v>775</v>
      </c>
      <c r="I34" s="655">
        <f t="shared" si="2"/>
        <v>1</v>
      </c>
      <c r="J34" s="658">
        <f>IF(C34="","",MATCH(VLOOKUP(C34,$C$27:$D$37,2,TRUE),(IF(H34=775,'1988'!$C$4:$C$24,IF(H34=800,'1988'!$D$4:$D$32,IF(H34=850,'1988'!$E$4:$E$39,IF(H34=950,'1988'!$F$4:$F$34,IF(H34=970,'1988'!$G$4:$G$35,IF(H34=1020,'1988'!$H$4:$H$38,IF(H34=1250,'1988'!$I$4:$I$36,IF(H34=1300,'1988'!$J$4:$J$38,IF(H34=1450,'1988'!$K$4:$K$38,IF(H34=1700,'1988'!$L$4:$L$36,IF(H34=2000,'1988'!$M$4:$M$34,IF(H34=2100,'1988'!$N$4:$N$34,IF(H34=2150,'1988'!$O$4:$O$36,IF(H34=3000,'1988'!$P$4:$P$25,IF(H34=3200,'1988'!$Q$4:$Q$28,IF(H34=3300,'1988'!$R$4:$R$26,IF(H34=3500,'1988'!$S$4:$S$24,IF(H34=3600,'1988'!$T$4:$T$20,IF(H34=4000,'1988'!$U$4:$U$17,IF(H34=5900,'1988'!$V$4:$V$8)))))))))))))))))))))))</f>
        <v>8</v>
      </c>
    </row>
    <row r="35" spans="2:20" ht="15.75" customHeight="1" x14ac:dyDescent="0.25">
      <c r="B35" s="368"/>
      <c r="C35" s="582">
        <f t="shared" si="3"/>
        <v>34759</v>
      </c>
      <c r="D35" s="371" cm="1">
        <f t="array" ref="D35">IF(C35="","",IF(D34&lt;H35,H35,INDEX('1988'!$C$4:$V$39,IF(H35=775,MATCH(D34,'1988'!$C$4:$C$24,1)+1,IF(H35=800,MATCH(D34,'1988'!$D$4:$D$32,1)+1,IF(H35=850,MATCH(D34,'1988'!$E$4:$E$39,1)+1,IF(H35=950,MATCH(D34,'1988'!$F$4:$F$34,1)+1,IF(H35=970,MATCH(D34,'1988'!$G$4:$G$35,1)+1,IF(H35=1020,MATCH(D34,'1988'!$H$4:$H$38,1)+1,IF(H35=1250,MATCH(D34,'1988'!$I$4:$I$36,1)+1,IF(H35=1300,MATCH(D34,'1988'!$J$4:$J$38,1)+1,IF(H35=1450,MATCH(D34,'1988'!$K$4:$K$38,1)+1,IF(H35=1700,MATCH(D34,'1988'!$L$4:$L$36,1)+1,IF(H35=2000,MATCH(D34,'1988'!$M$4:$M$34,1)+1,IF(H35=2100,MATCH(D34,'1988'!$N$4:$N$34,1)+1,IF(H35=2150,MATCH(D34,'1988'!$O$4:$O$36,1)+1,IF(H35=3000,MATCH(D34,'1988'!$P$4:$P$25,1)+1,IF(H35=3200,MATCH(D34,'1988'!$Q$4:$Q$28,1)+1,IF(H35=3300,MATCH(D34,'1988'!$R$4:$R$26,1)+1,IF(H35=3500,MATCH(D34,'1988'!$S$4:$S$24,1)+1,IF(H35=3600,MATCH(D34,'1988'!$T$4:$T$20,1)+1,IF(H35=4000,MATCH(D34,'1988'!$U$4:$U$17,1)+1,IF(H35=5900,MATCH(D34,'1988'!$V$4:$V$8,1)+1,)))))))))))))))))))),I35)))</f>
        <v>902</v>
      </c>
      <c r="E35" s="372"/>
      <c r="F35" s="372"/>
      <c r="H35" s="652">
        <f t="shared" si="1"/>
        <v>775</v>
      </c>
      <c r="I35" s="655">
        <f t="shared" si="2"/>
        <v>1</v>
      </c>
      <c r="J35" s="658">
        <f>IF(C35="","",MATCH(VLOOKUP(C35,$C$27:$D$37,2,TRUE),(IF(H35=775,'1988'!$C$4:$C$24,IF(H35=800,'1988'!$D$4:$D$32,IF(H35=850,'1988'!$E$4:$E$39,IF(H35=950,'1988'!$F$4:$F$34,IF(H35=970,'1988'!$G$4:$G$35,IF(H35=1020,'1988'!$H$4:$H$38,IF(H35=1250,'1988'!$I$4:$I$36,IF(H35=1300,'1988'!$J$4:$J$38,IF(H35=1450,'1988'!$K$4:$K$38,IF(H35=1700,'1988'!$L$4:$L$36,IF(H35=2000,'1988'!$M$4:$M$34,IF(H35=2100,'1988'!$N$4:$N$34,IF(H35=2150,'1988'!$O$4:$O$36,IF(H35=3000,'1988'!$P$4:$P$25,IF(H35=3200,'1988'!$Q$4:$Q$28,IF(H35=3300,'1988'!$R$4:$R$26,IF(H35=3500,'1988'!$S$4:$S$24,IF(H35=3600,'1988'!$T$4:$T$20,IF(H35=4000,'1988'!$U$4:$U$17,IF(H35=5900,'1988'!$V$4:$V$8)))))))))))))))))))))))</f>
        <v>9</v>
      </c>
    </row>
    <row r="36" spans="2:20" ht="15.75" customHeight="1" x14ac:dyDescent="0.25">
      <c r="B36" s="368"/>
      <c r="C36" s="582">
        <f t="shared" si="3"/>
        <v>35125</v>
      </c>
      <c r="D36" s="371" cm="1">
        <f t="array" ref="D36">IF(C36="","",IF(D35&lt;H36,H36,INDEX('1988'!$C$4:$V$39,IF(H36=775,MATCH(D35,'1988'!$C$4:$C$24,1)+1,IF(H36=800,MATCH(D35,'1988'!$D$4:$D$32,1)+1,IF(H36=850,MATCH(D35,'1988'!$E$4:$E$39,1)+1,IF(H36=950,MATCH(D35,'1988'!$F$4:$F$34,1)+1,IF(H36=970,MATCH(D35,'1988'!$G$4:$G$35,1)+1,IF(H36=1020,MATCH(D35,'1988'!$H$4:$H$38,1)+1,IF(H36=1250,MATCH(D35,'1988'!$I$4:$I$36,1)+1,IF(H36=1300,MATCH(D35,'1988'!$J$4:$J$38,1)+1,IF(H36=1450,MATCH(D35,'1988'!$K$4:$K$38,1)+1,IF(H36=1700,MATCH(D35,'1988'!$L$4:$L$36,1)+1,IF(H36=2000,MATCH(D35,'1988'!$M$4:$M$34,1)+1,IF(H36=2100,MATCH(D35,'1988'!$N$4:$N$34,1)+1,IF(H36=2150,MATCH(D35,'1988'!$O$4:$O$36,1)+1,IF(H36=3000,MATCH(D35,'1988'!$P$4:$P$25,1)+1,IF(H36=3200,MATCH(D35,'1988'!$Q$4:$Q$28,1)+1,IF(H36=3300,MATCH(D35,'1988'!$R$4:$R$26,1)+1,IF(H36=3500,MATCH(D35,'1988'!$S$4:$S$24,1)+1,IF(H36=3600,MATCH(D35,'1988'!$T$4:$T$20,1)+1,IF(H36=4000,MATCH(D35,'1988'!$U$4:$U$17,1)+1,IF(H36=5900,MATCH(D35,'1988'!$V$4:$V$8,1)+1,)))))))))))))))))))),I36)))</f>
        <v>918</v>
      </c>
      <c r="E36" s="372"/>
      <c r="F36" s="372"/>
      <c r="H36" s="652">
        <f t="shared" si="1"/>
        <v>775</v>
      </c>
      <c r="I36" s="655">
        <f t="shared" si="2"/>
        <v>1</v>
      </c>
      <c r="J36" s="658">
        <f>IF(C36="","",MATCH(VLOOKUP(C36,$C$27:$D$37,2,TRUE),(IF(H36=775,'1988'!$C$4:$C$24,IF(H36=800,'1988'!$D$4:$D$32,IF(H36=850,'1988'!$E$4:$E$39,IF(H36=950,'1988'!$F$4:$F$34,IF(H36=970,'1988'!$G$4:$G$35,IF(H36=1020,'1988'!$H$4:$H$38,IF(H36=1250,'1988'!$I$4:$I$36,IF(H36=1300,'1988'!$J$4:$J$38,IF(H36=1450,'1988'!$K$4:$K$38,IF(H36=1700,'1988'!$L$4:$L$36,IF(H36=2000,'1988'!$M$4:$M$34,IF(H36=2100,'1988'!$N$4:$N$34,IF(H36=2150,'1988'!$O$4:$O$36,IF(H36=3000,'1988'!$P$4:$P$25,IF(H36=3200,'1988'!$Q$4:$Q$28,IF(H36=3300,'1988'!$R$4:$R$26,IF(H36=3500,'1988'!$S$4:$S$24,IF(H36=3600,'1988'!$T$4:$T$20,IF(H36=4000,'1988'!$U$4:$U$17,IF(H36=5900,'1988'!$V$4:$V$8)))))))))))))))))))))))</f>
        <v>10</v>
      </c>
      <c r="L36" s="231"/>
      <c r="O36" s="334"/>
    </row>
    <row r="37" spans="2:20" ht="15.75" customHeight="1" thickBot="1" x14ac:dyDescent="0.3">
      <c r="B37" s="368"/>
      <c r="C37" s="582">
        <f>IF(C36="","",IF(EDATE(C36,12)&gt;38718,"",EDATE(C36,12)))</f>
        <v>35490</v>
      </c>
      <c r="D37" s="371" cm="1">
        <f t="array" ref="D37">IF(C37="","",IF(D36&lt;H37,H37,INDEX('1988'!$C$4:$V$39,IF(H37=775,MATCH(D36,'1988'!$C$4:$C$24,1)+1,IF(H37=800,MATCH(D36,'1988'!$D$4:$D$32,1)+1,IF(H37=850,MATCH(D36,'1988'!$E$4:$E$39,1)+1,IF(H37=950,MATCH(D36,'1988'!$F$4:$F$34,1)+1,IF(H37=970,MATCH(D36,'1988'!$G$4:$G$35,1)+1,IF(H37=1020,MATCH(D36,'1988'!$H$4:$H$38,1)+1,IF(H37=1250,MATCH(D36,'1988'!$I$4:$I$36,1)+1,IF(H37=1300,MATCH(D36,'1988'!$J$4:$J$38,1)+1,IF(H37=1450,MATCH(D36,'1988'!$K$4:$K$38,1)+1,IF(H37=1700,MATCH(D36,'1988'!$L$4:$L$36,1)+1,IF(H37=2000,MATCH(D36,'1988'!$M$4:$M$34,1)+1,IF(H37=2100,MATCH(D36,'1988'!$N$4:$N$34,1)+1,IF(H37=2150,MATCH(D36,'1988'!$O$4:$O$36,1)+1,IF(H37=3000,MATCH(D36,'1988'!$P$4:$P$25,1)+1,IF(H37=3200,MATCH(D36,'1988'!$Q$4:$Q$28,1)+1,IF(H37=3300,MATCH(D36,'1988'!$R$4:$R$26,1)+1,IF(H37=3500,MATCH(D36,'1988'!$S$4:$S$24,1)+1,IF(H37=3600,MATCH(D36,'1988'!$T$4:$T$20,1)+1,IF(H37=4000,MATCH(D36,'1988'!$U$4:$U$17,1)+1,IF(H37=5900,MATCH(D36,'1988'!$V$4:$V$8,1)+1,)))))))))))))))))))),I37)))</f>
        <v>934</v>
      </c>
      <c r="E37" s="372"/>
      <c r="F37" s="372"/>
      <c r="H37" s="653">
        <f t="shared" si="1"/>
        <v>775</v>
      </c>
      <c r="I37" s="656">
        <f t="shared" si="2"/>
        <v>1</v>
      </c>
      <c r="J37" s="659">
        <f>IF(C37="","",MATCH(VLOOKUP(C37,$C$27:$D$37,2,TRUE),(IF(H37=775,'1988'!$C$4:$C$24,IF(H37=800,'1988'!$D$4:$D$32,IF(H37=850,'1988'!$E$4:$E$39,IF(H37=950,'1988'!$F$4:$F$34,IF(H37=970,'1988'!$G$4:$G$35,IF(H37=1020,'1988'!$H$4:$H$38,IF(H37=1250,'1988'!$I$4:$I$36,IF(H37=1300,'1988'!$J$4:$J$38,IF(H37=1450,'1988'!$K$4:$K$38,IF(H37=1700,'1988'!$L$4:$L$36,IF(H37=2000,'1988'!$M$4:$M$34,IF(H37=2100,'1988'!$N$4:$N$34,IF(H37=2150,'1988'!$O$4:$O$36,IF(H37=3000,'1988'!$P$4:$P$25,IF(H37=3200,'1988'!$Q$4:$Q$28,IF(H37=3300,'1988'!$R$4:$R$26,IF(H37=3500,'1988'!$S$4:$S$24,IF(H37=3600,'1988'!$T$4:$T$20,IF(H37=4000,'1988'!$U$4:$U$17,IF(H37=5900,'1988'!$V$4:$V$8)))))))))))))))))))))))</f>
        <v>11</v>
      </c>
      <c r="O37" s="334"/>
      <c r="P37" s="177"/>
    </row>
    <row r="38" spans="2:20" ht="17.25" customHeight="1" x14ac:dyDescent="0.25">
      <c r="B38" s="860" t="str">
        <f>"I.P.S. of "&amp;IF(OR(B1="Family Pension Case",B1="DRW Family Pension Case"),C3&amp;" "&amp;D3&amp;"Ex."&amp;C4,C3&amp;" "&amp;D3&amp;"Retd."&amp;C4)&amp;" w.e.f. ROP'1999"</f>
        <v>I.P.S. of Shri Retd. w.e.f. ROP'1999</v>
      </c>
      <c r="C38" s="860"/>
      <c r="D38" s="860"/>
      <c r="E38" s="860"/>
      <c r="F38" s="860"/>
      <c r="H38" s="566"/>
      <c r="I38" s="567"/>
      <c r="J38" s="423"/>
      <c r="K38" s="423"/>
    </row>
    <row r="39" spans="2:20" ht="17.850000000000001" customHeight="1" x14ac:dyDescent="0.25">
      <c r="B39" s="668" t="str">
        <f>IF(C8&gt;=C39,"Joining Date","Option Date")</f>
        <v>Option Date</v>
      </c>
      <c r="C39" s="583">
        <f>IF(C14&gt;35065,C14,IF(MONTH(C37)=1,VLOOKUP(35065,C27:C37,1,FALSE),VLOOKUP(35431,C27:C37,1,TRUE)))</f>
        <v>35125</v>
      </c>
      <c r="D39" s="365">
        <f>VLOOKUP(C39,C27:D37,2,TRUE)</f>
        <v>918</v>
      </c>
      <c r="E39" s="819" t="str">
        <f>"Existing Pay Scale "&amp;IF(H37=775,"(₹775-₹1130)",IF(H37=800,"(₹800-₹1520)",IF(H37=850,"(₹850-₹2130)",IF(H37=950,"(₹950-₹2170)",IF(H37=970,"(₹970-₹2400)",IF(H37=1020,"(₹1020-₹2620)",IF(H37=1250,"(₹1250-₹2890)",IF(H37=1300,"(₹1300-₹3220)",IF(H37=1450,"(₹1450-₹3710)",IF(H37=1700,"(₹1700-₹3980)",IF(H37=2000,"(₹2000-₹4410)",IF(H37=2100,"(₹2100-₹4530)",IF(H37=2150,"(₹2100-₹5000)",IF(H37=3000,"(₹3000-₹5000)",IF(H37=3200,"(₹3200-₹5600)",IF(H37=3300,"(₹3300-₹5700)",IF(H37=3500,"(₹3500-₹5700)",IF(H37=3600,"(₹3600-₹5800)",IF(H37=4000,"(₹4000-₹5900)",IF(H37=5900,"(₹5900-₹6300)"))))))))))))))))))))&amp;" of ROP'1988"</f>
        <v>Existing Pay Scale (₹775-₹1130) of ROP'1988</v>
      </c>
      <c r="F39" s="819"/>
      <c r="L39" s="442"/>
      <c r="M39" s="442"/>
      <c r="S39" s="313"/>
      <c r="T39" s="313"/>
    </row>
    <row r="40" spans="2:20" ht="17.850000000000001" customHeight="1" x14ac:dyDescent="0.25">
      <c r="B40" s="819" t="str">
        <f>IF(D39&lt;=3500,"148% Dearness Allowance",IF(AND(D39&gt;3500,D39&lt;=6000),"111% Dearness Allowance",IF(D39&gt;6000,"96% Dearness Allowance")))</f>
        <v>148% Dearness Allowance</v>
      </c>
      <c r="C40" s="819"/>
      <c r="D40" s="365">
        <f>IF(D39&lt;=3500,D39*148%,IF(AND(D39&gt;3500,D39&lt;=6000),MAX(5180,(D39*111%)),IF(D39&gt;6000,MAX(6600,(D39*96%)))))</f>
        <v>1358.6399999999999</v>
      </c>
      <c r="F40" s="601" t="str">
        <f>E64</f>
        <v>Joining on 05-03-1987</v>
      </c>
      <c r="J40" s="177"/>
      <c r="K40" s="177"/>
      <c r="L40" s="441"/>
      <c r="M40" s="441"/>
      <c r="Q40" s="552"/>
      <c r="R40" s="552"/>
      <c r="S40" s="552"/>
      <c r="T40" s="313"/>
    </row>
    <row r="41" spans="2:20" ht="17.850000000000001" customHeight="1" x14ac:dyDescent="0.25">
      <c r="B41" s="819" t="s">
        <v>48</v>
      </c>
      <c r="C41" s="819"/>
      <c r="D41" s="365">
        <f>D39*30%</f>
        <v>275.39999999999998</v>
      </c>
      <c r="F41" s="601" t="str">
        <f t="shared" ref="F41:F44" si="4">E65</f>
        <v>Regular on 05-03-1987</v>
      </c>
    </row>
    <row r="42" spans="2:20" ht="17.850000000000001" customHeight="1" x14ac:dyDescent="0.25">
      <c r="B42" s="862" t="s">
        <v>49</v>
      </c>
      <c r="C42" s="862"/>
      <c r="D42" s="373">
        <v>100</v>
      </c>
      <c r="F42" s="601" t="str">
        <f t="shared" ca="1" si="4"/>
        <v>CAS-1 on 05-03-1997 (after 10 years)</v>
      </c>
    </row>
    <row r="43" spans="2:20" ht="17.850000000000001" customHeight="1" x14ac:dyDescent="0.25">
      <c r="B43" s="862" t="s">
        <v>50</v>
      </c>
      <c r="C43" s="862"/>
      <c r="D43" s="374" t="str">
        <f>IF(C9&lt;C39,"(₹ "&amp;VLOOKUP(35065,C27:D37,2,TRUE)&amp;".00)","Nil")</f>
        <v>(₹ 902.00)</v>
      </c>
      <c r="F43" s="601" t="str">
        <f t="shared" ca="1" si="4"/>
        <v>CAS-2 on 05-03-2004 (after 17 years)</v>
      </c>
      <c r="T43" s="313"/>
    </row>
    <row r="44" spans="2:20" ht="17.850000000000001" customHeight="1" x14ac:dyDescent="0.25">
      <c r="B44" s="862" t="s">
        <v>51</v>
      </c>
      <c r="C44" s="862"/>
      <c r="D44" s="373">
        <f>IF(C27&lt;35065,MIN(MAX((VLOOKUP(35065,C27:D37,2,TRUE)*10%),100),300),0)</f>
        <v>100</v>
      </c>
      <c r="E44" s="590" t="s">
        <v>52</v>
      </c>
      <c r="F44" s="601" t="str">
        <f t="shared" si="4"/>
        <v>ACP-3 on 05-03-2012 (after 25 years)</v>
      </c>
    </row>
    <row r="45" spans="2:20" ht="17.850000000000001" customHeight="1" x14ac:dyDescent="0.25">
      <c r="B45" s="819" t="s">
        <v>45</v>
      </c>
      <c r="C45" s="819"/>
      <c r="D45" s="364">
        <f>SUM(D39:D42)+D44</f>
        <v>2752.04</v>
      </c>
      <c r="E45" s="367"/>
      <c r="F45" s="375"/>
    </row>
    <row r="46" spans="2:20" ht="17.850000000000001" customHeight="1" x14ac:dyDescent="0.25">
      <c r="B46" s="819" t="s">
        <v>53</v>
      </c>
      <c r="C46" s="819"/>
      <c r="D46" s="366">
        <f>ROUND(D45,0)</f>
        <v>2752</v>
      </c>
      <c r="E46" s="367"/>
      <c r="F46" s="375"/>
      <c r="T46" s="313"/>
    </row>
    <row r="47" spans="2:20" ht="17.850000000000001" customHeight="1" thickBot="1" x14ac:dyDescent="0.3">
      <c r="C47" s="666" t="s">
        <v>46</v>
      </c>
      <c r="D47" s="370" t="s">
        <v>47</v>
      </c>
      <c r="E47" s="367"/>
      <c r="F47" s="375"/>
    </row>
    <row r="48" spans="2:20" ht="15.75" customHeight="1" x14ac:dyDescent="0.25">
      <c r="B48" s="368" t="s">
        <v>41</v>
      </c>
      <c r="C48" s="582">
        <f>C39</f>
        <v>35125</v>
      </c>
      <c r="D48" s="371" cm="1">
        <f t="array" ref="D48">IF(D46&lt;H48,H48,INDEX('1999'!$C$4:$U$40,IF(H48=2600,MATCH(D46,'1999'!$C$4:$C$20,1)+1,IF(H48=2650,MATCH(D46,'1999'!$D$4:$D$29,1)+1,IF(H48=2750,MATCH(D46,'1999'!$E$4:$E$34,1)+1,IF(H48=2900,MATCH(D46,'1999'!$F$4:$F$38,1)+1,IF(H48=3050,MATCH(D46,'1999'!$G$4:$G$31,1)+1,IF(H48=3200,MATCH(D46,'1999'!$H$4:$H$33,1)+1,IF(H48=3300,MATCH(D46,'1999'!$I$4:$I$39,1)+1,IF(H48=4000,MATCH(D46,'1999'!$J$4:$J$37,1)+1,IF(H48=4200,MATCH(D46,'1999'!$K$4:$K$38,1)+1,IF(H48=5000,MATCH(D46,'1999'!$L$4:$L$40,1)+1,IF(H48=5500,MATCH(D46,'1999'!$M$4:$M$35,1)+1,IF(H48=6500,MATCH(D46,'1999'!$N$4:$N$32,1)+1,IF(H48=7450,MATCH(D46,'1999'!$O$4:$O$28,1)+1,IF(H48=7800,MATCH(D46,'1999'!$P$4:$P$29,1)+1,IF(H48=10000,MATCH(D46,'1999'!$Q$4:$Q$21,1)+1,IF(H48=10650,MATCH(D46,'1999'!$R$4:$R$20,1)+1,IF(H48=11000,MATCH(D46,'1999'!$S$4:$S$24,1)+1,IF(H48=11150,MATCH(D46,'1999'!$T$4:$T$23,1)+1,IF(H48=12000,MATCH(D46,'1999'!$U$4:$U$20,1)+1,))))))))))))))))))),I48))</f>
        <v>2765</v>
      </c>
      <c r="E48" s="231"/>
      <c r="F48" s="372" t="str">
        <f>IF(C48=$I$21,$R$21,IF(C48=$I$23,$R$23,IF(C48=$I$25,$R$25,IF(C48&lt;$I$21,$R$20,IF(OR(AND(C48&gt;$I$21,C48&lt;$I$23),AND(C48&gt;$I$21,$I$23=0,$I$25=0)),R21,IF(OR(AND(C48&gt;$I$23,C48&lt;$I$25),AND(C48&gt;$I$23,$I$25=0)),R23,IF(C48&gt;$I$25,R25)))))))</f>
        <v>Pay Scale (₹2600-₹3545)</v>
      </c>
      <c r="H48" s="651">
        <f t="shared" ref="H48:H61" si="5">IF(C48="","",IF(C48=$F$5,$Q$21,IF(C48=$F$6,$Q$23,IF(C48=$F$7,$Q$25,IF(C48&lt;$F$5,$Q$20,IF(OR(AND(C48&gt;$F$5,C48&lt;$F$6),AND(C48&gt;$F$5,$F$6=0,$F$7=0)),$Q$21,IF(OR(AND(C48&gt;$F$6,C48&lt;$F$7),AND(C48&gt;$F$6,$F$7=0)),$Q$23,IF(C48&gt;$F$7,$Q$25))))))))</f>
        <v>2600</v>
      </c>
      <c r="I48" s="660">
        <f>IF(H48="","",IF(H48=2600,1,IF(H48=2650,2,IF(H48=2750,3,IF(H48=2900,4,IF(H48=3050,5,IF(H48=3200,6,IF(H48=3300,7,IF(H48=4000,8,IF(H48=4200,9,IF(H48=5000,10,IF(H48=5500,11,IF(H48=6500,12,IF(H48=7450,13,IF(H48=7800,14,IF(H48=10000,15,IF(H48=10650,16,IF(H48=11000,17,IF(H48=11150,18,IF(H48=12000,19))))))))))))))))))))</f>
        <v>1</v>
      </c>
      <c r="J48" s="657">
        <f>IF(C48="","",MATCH(VLOOKUP(C48,$C$48:$D$61,2,TRUE),IF(H48=2600,'1999'!$C$4:$C$20,IF(H48=2650,'1999'!$D$4:$D$29,IF(H48=2750,'1999'!$E$4:$E$34,IF(H48=2900,'1999'!$F$4:$F$38,IF(H48=3050,'1999'!$G$4:$G$31,IF(H48=3200,'1999'!$H$4:$H$33,IF(H48=3300,'1999'!$I$4:$I$39,IF(H48=4000,'1999'!$J$4:$J$37,IF(H48=4200,'1999'!$K$4:$K$38,IF(H48=5000,'1999'!$L$4:$L$40,IF(H48=5500,'1999'!$M$4:$M$35,IF(H48=6500,'1999'!$N$4:$N$32,IF(H48=7450,'1999'!$O$4:$O$28,IF(H48=7800,'1999'!$P$4:$P$29,IF(H48=10000,'1999'!$Q$4:$Q$21,IF(H48=10650,'1999'!$R$4:$R$20,IF(H48=11000,'1999'!$S$4:$S$24,))))))))))))))))),I48))</f>
        <v>4</v>
      </c>
      <c r="T48" s="313"/>
    </row>
    <row r="49" spans="2:18" ht="15.75" customHeight="1" x14ac:dyDescent="0.25">
      <c r="B49" s="368"/>
      <c r="C49" s="582">
        <f>IF(C48="","",IF(EDATE((C48-DAY(C48)+1),12)&gt;38718,"",EDATE((C48-DAY(C48)+1),12)))</f>
        <v>35490</v>
      </c>
      <c r="D49" s="371" cm="1">
        <f t="array" ref="D49">IF(C49="","",IF(D48&lt;H49,H49,INDEX('1999'!$C$4:$U$40,IF(H49=2600,MATCH(D48,'1999'!$C$4:$C$20,1)+1,IF(H49=2650,MATCH(D48,'1999'!$D$4:$D$29,1)+1,IF(H49=2750,MATCH(D48,'1999'!$E$4:$E$34,1)+1,IF(H49=2900,MATCH(D48,'1999'!$F$4:$F$38,1)+1,IF(H49=3050,MATCH(D48,'1999'!$G$4:$G$31,1)+1,IF(H49=3200,MATCH(D48,'1999'!$H$4:$H$33,1)+1,IF(H49=3300,MATCH(D48,'1999'!$I$4:$I$39,1)+1,IF(H49=4000,MATCH(D48,'1999'!$J$4:$J$37,1)+1,IF(H49=4200,MATCH(D48,'1999'!$K$4:$K$38,1)+1,IF(H49=5000,MATCH(D48,'1999'!$L$4:$L$40,1)+1,IF(H49=5500,MATCH(D48,'1999'!$M$4:$M$35,1)+1,IF(H49=6500,MATCH(D48,'1999'!$N$4:$N$32,1)+1,IF(H49=7450,MATCH(D48,'1999'!$O$4:$O$28,1)+1,IF(H49=7800,MATCH(D48,'1999'!$P$4:$P$29,1)+1,IF(H49=10000,MATCH(D48,'1999'!$Q$4:$Q$21,1)+1,IF(H49=10650,MATCH(D48,'1999'!$R$4:$R$20,1)+1,IF(H49=11000,MATCH(D48,'1999'!$S$4:$S$24,1)+1,IF(H49=11150,MATCH(D48,'1999'!$T$4:$T$23,1)+1,IF(H49=12000,MATCH(D48,'1999'!$U$4:$U$20,1)+1,))))))))))))))))))),I49)))</f>
        <v>2820</v>
      </c>
      <c r="E49" s="372"/>
      <c r="F49" s="372"/>
      <c r="H49" s="652">
        <f t="shared" si="5"/>
        <v>2600</v>
      </c>
      <c r="I49" s="661">
        <f t="shared" ref="I49:I61" si="6">IF(H49="","",IF(H49=2600,1,IF(H49=2650,2,IF(H49=2750,3,IF(H49=2900,4,IF(H49=3050,5,IF(H49=3200,6,IF(H49=3300,7,IF(H49=4000,8,IF(H49=4200,9,IF(H49=5000,10,IF(H49=5500,11,IF(H49=6500,12,IF(H49=7450,13,IF(H49=7800,14,IF(H49=10000,15,IF(H49=10650,16,IF(H49=11000,17,IF(H49=11150,18,IF(H49=12000,19))))))))))))))))))))</f>
        <v>1</v>
      </c>
      <c r="J49" s="658">
        <f>IF(C49="","",MATCH(VLOOKUP(C49,$C$48:$D$61,2,TRUE),IF(H49=2600,'1999'!$C$4:$C$20,IF(H49=2650,'1999'!$D$4:$D$29,IF(H49=2750,'1999'!$E$4:$E$34,IF(H49=2900,'1999'!$F$4:$F$38,IF(H49=3050,'1999'!$G$4:$G$31,IF(H49=3200,'1999'!$H$4:$H$33,IF(H49=3300,'1999'!$I$4:$I$39,IF(H49=4000,'1999'!$J$4:$J$37,IF(H49=4200,'1999'!$K$4:$K$38,IF(H49=5000,'1999'!$L$4:$L$40,IF(H49=5500,'1999'!$M$4:$M$35,IF(H49=6500,'1999'!$N$4:$N$32,IF(H49=7450,'1999'!$O$4:$O$28,IF(H49=7800,'1999'!$P$4:$P$29,IF(H49=10000,'1999'!$Q$4:$Q$21,IF(H49=10650,'1999'!$R$4:$R$20,IF(H49=11000,'1999'!$S$4:$S$24,))))))))))))))))),I49))</f>
        <v>5</v>
      </c>
    </row>
    <row r="50" spans="2:18" ht="15.75" customHeight="1" x14ac:dyDescent="0.25">
      <c r="B50" s="368"/>
      <c r="C50" s="582">
        <f>IF(C49="","",IF(EDATE(C49,12)&gt;38718,"",EDATE(C49,12)))</f>
        <v>35855</v>
      </c>
      <c r="D50" s="371" cm="1">
        <f t="array" ref="D50">IF(C50="","",IF(D49&lt;H50,H50,INDEX('1999'!$C$4:$U$40,IF(H50=2600,MATCH(D49,'1999'!$C$4:$C$20,1)+1,IF(H50=2650,MATCH(D49,'1999'!$D$4:$D$29,1)+1,IF(H50=2750,MATCH(D49,'1999'!$E$4:$E$34,1)+1,IF(H50=2900,MATCH(D49,'1999'!$F$4:$F$38,1)+1,IF(H50=3050,MATCH(D49,'1999'!$G$4:$G$31,1)+1,IF(H50=3200,MATCH(D49,'1999'!$H$4:$H$33,1)+1,IF(H50=3300,MATCH(D49,'1999'!$I$4:$I$39,1)+1,IF(H50=4000,MATCH(D49,'1999'!$J$4:$J$37,1)+1,IF(H50=4200,MATCH(D49,'1999'!$K$4:$K$38,1)+1,IF(H50=5000,MATCH(D49,'1999'!$L$4:$L$40,1)+1,IF(H50=5500,MATCH(D49,'1999'!$M$4:$M$35,1)+1,IF(H50=6500,MATCH(D49,'1999'!$N$4:$N$32,1)+1,IF(H50=7450,MATCH(D49,'1999'!$O$4:$O$28,1)+1,IF(H50=7800,MATCH(D49,'1999'!$P$4:$P$29,1)+1,IF(H50=10000,MATCH(D49,'1999'!$Q$4:$Q$21,1)+1,IF(H50=10650,MATCH(D49,'1999'!$R$4:$R$20,1)+1,IF(H50=11000,MATCH(D49,'1999'!$S$4:$S$24,1)+1,IF(H50=11150,MATCH(D49,'1999'!$T$4:$T$23,1)+1,IF(H50=12000,MATCH(D49,'1999'!$U$4:$U$20,1)+1,))))))))))))))))))),I50)))</f>
        <v>2845</v>
      </c>
      <c r="E50" s="372"/>
      <c r="F50" s="372"/>
      <c r="H50" s="652">
        <f t="shared" si="5"/>
        <v>2650</v>
      </c>
      <c r="I50" s="661">
        <f t="shared" si="6"/>
        <v>2</v>
      </c>
      <c r="J50" s="658">
        <f>IF(C50="","",MATCH(VLOOKUP(C50,$C$48:$D$61,2,TRUE),IF(H50=2600,'1999'!$C$4:$C$20,IF(H50=2650,'1999'!$D$4:$D$29,IF(H50=2750,'1999'!$E$4:$E$34,IF(H50=2900,'1999'!$F$4:$F$38,IF(H50=3050,'1999'!$G$4:$G$31,IF(H50=3200,'1999'!$H$4:$H$33,IF(H50=3300,'1999'!$I$4:$I$39,IF(H50=4000,'1999'!$J$4:$J$37,IF(H50=4200,'1999'!$K$4:$K$38,IF(H50=5000,'1999'!$L$4:$L$40,IF(H50=5500,'1999'!$M$4:$M$35,IF(H50=6500,'1999'!$N$4:$N$32,IF(H50=7450,'1999'!$O$4:$O$28,IF(H50=7800,'1999'!$P$4:$P$29,IF(H50=10000,'1999'!$Q$4:$Q$21,IF(H50=10650,'1999'!$R$4:$R$20,IF(H50=11000,'1999'!$S$4:$S$24,))))))))))))))))),I50))</f>
        <v>4</v>
      </c>
    </row>
    <row r="51" spans="2:18" ht="15.75" customHeight="1" x14ac:dyDescent="0.25">
      <c r="B51" s="368"/>
      <c r="C51" s="582">
        <f>IF(C50="","",IF(EDATE(C50,12)&gt;38718,"",EDATE(C50,12)))</f>
        <v>36220</v>
      </c>
      <c r="D51" s="371" cm="1">
        <f t="array" ref="D51">IF(C51="","",IF(D50&lt;H51,H51,INDEX('1999'!$C$4:$U$40,IF(H51=2600,MATCH(D50,'1999'!$C$4:$C$20,1)+1,IF(H51=2650,MATCH(D50,'1999'!$D$4:$D$29,1)+1,IF(H51=2750,MATCH(D50,'1999'!$E$4:$E$34,1)+1,IF(H51=2900,MATCH(D50,'1999'!$F$4:$F$38,1)+1,IF(H51=3050,MATCH(D50,'1999'!$G$4:$G$31,1)+1,IF(H51=3200,MATCH(D50,'1999'!$H$4:$H$33,1)+1,IF(H51=3300,MATCH(D50,'1999'!$I$4:$I$39,1)+1,IF(H51=4000,MATCH(D50,'1999'!$J$4:$J$37,1)+1,IF(H51=4200,MATCH(D50,'1999'!$K$4:$K$38,1)+1,IF(H51=5000,MATCH(D50,'1999'!$L$4:$L$40,1)+1,IF(H51=5500,MATCH(D50,'1999'!$M$4:$M$35,1)+1,IF(H51=6500,MATCH(D50,'1999'!$N$4:$N$32,1)+1,IF(H51=7450,MATCH(D50,'1999'!$O$4:$O$28,1)+1,IF(H51=7800,MATCH(D50,'1999'!$P$4:$P$29,1)+1,IF(H51=10000,MATCH(D50,'1999'!$Q$4:$Q$21,1)+1,IF(H51=10650,MATCH(D50,'1999'!$R$4:$R$20,1)+1,IF(H51=11000,MATCH(D50,'1999'!$S$4:$S$24,1)+1,IF(H51=11150,MATCH(D50,'1999'!$T$4:$T$23,1)+1,IF(H51=12000,MATCH(D50,'1999'!$U$4:$U$20,1)+1,))))))))))))))))))),I51)))</f>
        <v>2910</v>
      </c>
      <c r="E51" s="372"/>
      <c r="F51" s="372"/>
      <c r="H51" s="652">
        <f t="shared" si="5"/>
        <v>2650</v>
      </c>
      <c r="I51" s="661">
        <f t="shared" si="6"/>
        <v>2</v>
      </c>
      <c r="J51" s="658">
        <f>IF(C51="","",MATCH(VLOOKUP(C51,$C$48:$D$61,2,TRUE),IF(H51=2600,'1999'!$C$4:$C$20,IF(H51=2650,'1999'!$D$4:$D$29,IF(H51=2750,'1999'!$E$4:$E$34,IF(H51=2900,'1999'!$F$4:$F$38,IF(H51=3050,'1999'!$G$4:$G$31,IF(H51=3200,'1999'!$H$4:$H$33,IF(H51=3300,'1999'!$I$4:$I$39,IF(H51=4000,'1999'!$J$4:$J$37,IF(H51=4200,'1999'!$K$4:$K$38,IF(H51=5000,'1999'!$L$4:$L$40,IF(H51=5500,'1999'!$M$4:$M$35,IF(H51=6500,'1999'!$N$4:$N$32,IF(H51=7450,'1999'!$O$4:$O$28,IF(H51=7800,'1999'!$P$4:$P$29,IF(H51=10000,'1999'!$Q$4:$Q$21,IF(H51=10650,'1999'!$R$4:$R$20,IF(H51=11000,'1999'!$S$4:$S$24,))))))))))))))))),I51))</f>
        <v>5</v>
      </c>
    </row>
    <row r="52" spans="2:18" ht="15.75" customHeight="1" x14ac:dyDescent="0.25">
      <c r="B52" s="368"/>
      <c r="C52" s="582">
        <f t="shared" ref="C52:C54" si="7">IF(C51="","",IF(EDATE(C51,12)&gt;38718,"",EDATE(C51,12)))</f>
        <v>36586</v>
      </c>
      <c r="D52" s="371" cm="1">
        <f t="array" ref="D52">IF(C52="","",IF(D51&lt;H52,H52,INDEX('1999'!$C$4:$U$40,IF(H52=2600,MATCH(D51,'1999'!$C$4:$C$20,1)+1,IF(H52=2650,MATCH(D51,'1999'!$D$4:$D$29,1)+1,IF(H52=2750,MATCH(D51,'1999'!$E$4:$E$34,1)+1,IF(H52=2900,MATCH(D51,'1999'!$F$4:$F$38,1)+1,IF(H52=3050,MATCH(D51,'1999'!$G$4:$G$31,1)+1,IF(H52=3200,MATCH(D51,'1999'!$H$4:$H$33,1)+1,IF(H52=3300,MATCH(D51,'1999'!$I$4:$I$39,1)+1,IF(H52=4000,MATCH(D51,'1999'!$J$4:$J$37,1)+1,IF(H52=4200,MATCH(D51,'1999'!$K$4:$K$38,1)+1,IF(H52=5000,MATCH(D51,'1999'!$L$4:$L$40,1)+1,IF(H52=5500,MATCH(D51,'1999'!$M$4:$M$35,1)+1,IF(H52=6500,MATCH(D51,'1999'!$N$4:$N$32,1)+1,IF(H52=7450,MATCH(D51,'1999'!$O$4:$O$28,1)+1,IF(H52=7800,MATCH(D51,'1999'!$P$4:$P$29,1)+1,IF(H52=10000,MATCH(D51,'1999'!$Q$4:$Q$21,1)+1,IF(H52=10650,MATCH(D51,'1999'!$R$4:$R$20,1)+1,IF(H52=11000,MATCH(D51,'1999'!$S$4:$S$24,1)+1,IF(H52=11150,MATCH(D51,'1999'!$T$4:$T$23,1)+1,IF(H52=12000,MATCH(D51,'1999'!$U$4:$U$20,1)+1,))))))))))))))))))),I52)))</f>
        <v>2975</v>
      </c>
      <c r="E52" s="372"/>
      <c r="F52" s="372"/>
      <c r="H52" s="652">
        <f t="shared" si="5"/>
        <v>2650</v>
      </c>
      <c r="I52" s="661">
        <f t="shared" si="6"/>
        <v>2</v>
      </c>
      <c r="J52" s="658">
        <f>IF(C52="","",MATCH(VLOOKUP(C52,$C$48:$D$61,2,TRUE),IF(H52=2600,'1999'!$C$4:$C$20,IF(H52=2650,'1999'!$D$4:$D$29,IF(H52=2750,'1999'!$E$4:$E$34,IF(H52=2900,'1999'!$F$4:$F$38,IF(H52=3050,'1999'!$G$4:$G$31,IF(H52=3200,'1999'!$H$4:$H$33,IF(H52=3300,'1999'!$I$4:$I$39,IF(H52=4000,'1999'!$J$4:$J$37,IF(H52=4200,'1999'!$K$4:$K$38,IF(H52=5000,'1999'!$L$4:$L$40,IF(H52=5500,'1999'!$M$4:$M$35,IF(H52=6500,'1999'!$N$4:$N$32,IF(H52=7450,'1999'!$O$4:$O$28,IF(H52=7800,'1999'!$P$4:$P$29,IF(H52=10000,'1999'!$Q$4:$Q$21,IF(H52=10650,'1999'!$R$4:$R$20,IF(H52=11000,'1999'!$S$4:$S$24,))))))))))))))))),I52))</f>
        <v>6</v>
      </c>
    </row>
    <row r="53" spans="2:18" ht="15.75" customHeight="1" x14ac:dyDescent="0.25">
      <c r="B53" s="368"/>
      <c r="C53" s="582">
        <f>IF(C52="","",IF(EDATE(C52,12)&gt;38718,"",EDATE(C52,12)))</f>
        <v>36951</v>
      </c>
      <c r="D53" s="371" cm="1">
        <f t="array" ref="D53">IF(C53="","",IF(D52&lt;H53,H53,INDEX('1999'!$C$4:$U$40,IF(H53=2600,MATCH(D52,'1999'!$C$4:$C$20,1)+1,IF(H53=2650,MATCH(D52,'1999'!$D$4:$D$29,1)+1,IF(H53=2750,MATCH(D52,'1999'!$E$4:$E$34,1)+1,IF(H53=2900,MATCH(D52,'1999'!$F$4:$F$38,1)+1,IF(H53=3050,MATCH(D52,'1999'!$G$4:$G$31,1)+1,IF(H53=3200,MATCH(D52,'1999'!$H$4:$H$33,1)+1,IF(H53=3300,MATCH(D52,'1999'!$I$4:$I$39,1)+1,IF(H53=4000,MATCH(D52,'1999'!$J$4:$J$37,1)+1,IF(H53=4200,MATCH(D52,'1999'!$K$4:$K$38,1)+1,IF(H53=5000,MATCH(D52,'1999'!$L$4:$L$40,1)+1,IF(H53=5500,MATCH(D52,'1999'!$M$4:$M$35,1)+1,IF(H53=6500,MATCH(D52,'1999'!$N$4:$N$32,1)+1,IF(H53=7450,MATCH(D52,'1999'!$O$4:$O$28,1)+1,IF(H53=7800,MATCH(D52,'1999'!$P$4:$P$29,1)+1,IF(H53=10000,MATCH(D52,'1999'!$Q$4:$Q$21,1)+1,IF(H53=10650,MATCH(D52,'1999'!$R$4:$R$20,1)+1,IF(H53=11000,MATCH(D52,'1999'!$S$4:$S$24,1)+1,IF(H53=11150,MATCH(D52,'1999'!$T$4:$T$23,1)+1,IF(H53=12000,MATCH(D52,'1999'!$U$4:$U$20,1)+1,))))))))))))))))))),I53)))</f>
        <v>3040</v>
      </c>
      <c r="E53" s="372"/>
      <c r="F53" s="372"/>
      <c r="H53" s="652">
        <f t="shared" si="5"/>
        <v>2650</v>
      </c>
      <c r="I53" s="661">
        <f t="shared" si="6"/>
        <v>2</v>
      </c>
      <c r="J53" s="658">
        <f>IF(C53="","",MATCH(VLOOKUP(C53,$C$48:$D$61,2,TRUE),IF(H53=2600,'1999'!$C$4:$C$20,IF(H53=2650,'1999'!$D$4:$D$29,IF(H53=2750,'1999'!$E$4:$E$34,IF(H53=2900,'1999'!$F$4:$F$38,IF(H53=3050,'1999'!$G$4:$G$31,IF(H53=3200,'1999'!$H$4:$H$33,IF(H53=3300,'1999'!$I$4:$I$39,IF(H53=4000,'1999'!$J$4:$J$37,IF(H53=4200,'1999'!$K$4:$K$38,IF(H53=5000,'1999'!$L$4:$L$40,IF(H53=5500,'1999'!$M$4:$M$35,IF(H53=6500,'1999'!$N$4:$N$32,IF(H53=7450,'1999'!$O$4:$O$28,IF(H53=7800,'1999'!$P$4:$P$29,IF(H53=10000,'1999'!$Q$4:$Q$21,IF(H53=10650,'1999'!$R$4:$R$20,IF(H53=11000,'1999'!$S$4:$S$24,))))))))))))))))),I53))</f>
        <v>7</v>
      </c>
    </row>
    <row r="54" spans="2:18" ht="15.75" customHeight="1" x14ac:dyDescent="0.25">
      <c r="B54" s="368"/>
      <c r="C54" s="582">
        <f t="shared" si="7"/>
        <v>37316</v>
      </c>
      <c r="D54" s="371" cm="1">
        <f t="array" ref="D54">IF(C54="","",IF(D53&lt;H54,H54,INDEX('1999'!$C$4:$U$40,IF(H54=2600,MATCH(D53,'1999'!$C$4:$C$20,1)+1,IF(H54=2650,MATCH(D53,'1999'!$D$4:$D$29,1)+1,IF(H54=2750,MATCH(D53,'1999'!$E$4:$E$34,1)+1,IF(H54=2900,MATCH(D53,'1999'!$F$4:$F$38,1)+1,IF(H54=3050,MATCH(D53,'1999'!$G$4:$G$31,1)+1,IF(H54=3200,MATCH(D53,'1999'!$H$4:$H$33,1)+1,IF(H54=3300,MATCH(D53,'1999'!$I$4:$I$39,1)+1,IF(H54=4000,MATCH(D53,'1999'!$J$4:$J$37,1)+1,IF(H54=4200,MATCH(D53,'1999'!$K$4:$K$38,1)+1,IF(H54=5000,MATCH(D53,'1999'!$L$4:$L$40,1)+1,IF(H54=5500,MATCH(D53,'1999'!$M$4:$M$35,1)+1,IF(H54=6500,MATCH(D53,'1999'!$N$4:$N$32,1)+1,IF(H54=7450,MATCH(D53,'1999'!$O$4:$O$28,1)+1,IF(H54=7800,MATCH(D53,'1999'!$P$4:$P$29,1)+1,IF(H54=10000,MATCH(D53,'1999'!$Q$4:$Q$21,1)+1,IF(H54=10650,MATCH(D53,'1999'!$R$4:$R$20,1)+1,IF(H54=11000,MATCH(D53,'1999'!$S$4:$S$24,1)+1,IF(H54=11150,MATCH(D53,'1999'!$T$4:$T$23,1)+1,IF(H54=12000,MATCH(D53,'1999'!$U$4:$U$20,1)+1,))))))))))))))))))),I54)))</f>
        <v>3105</v>
      </c>
      <c r="E54" s="372"/>
      <c r="F54" s="372"/>
      <c r="H54" s="652">
        <f t="shared" si="5"/>
        <v>2650</v>
      </c>
      <c r="I54" s="661">
        <f t="shared" si="6"/>
        <v>2</v>
      </c>
      <c r="J54" s="658">
        <f>IF(C54="","",MATCH(VLOOKUP(C54,$C$48:$D$61,2,TRUE),IF(H54=2600,'1999'!$C$4:$C$20,IF(H54=2650,'1999'!$D$4:$D$29,IF(H54=2750,'1999'!$E$4:$E$34,IF(H54=2900,'1999'!$F$4:$F$38,IF(H54=3050,'1999'!$G$4:$G$31,IF(H54=3200,'1999'!$H$4:$H$33,IF(H54=3300,'1999'!$I$4:$I$39,IF(H54=4000,'1999'!$J$4:$J$37,IF(H54=4200,'1999'!$K$4:$K$38,IF(H54=5000,'1999'!$L$4:$L$40,IF(H54=5500,'1999'!$M$4:$M$35,IF(H54=6500,'1999'!$N$4:$N$32,IF(H54=7450,'1999'!$O$4:$O$28,IF(H54=7800,'1999'!$P$4:$P$29,IF(H54=10000,'1999'!$Q$4:$Q$21,IF(H54=10650,'1999'!$R$4:$R$20,IF(H54=11000,'1999'!$S$4:$S$24,))))))))))))))))),I54))</f>
        <v>8</v>
      </c>
    </row>
    <row r="55" spans="2:18" ht="15.75" customHeight="1" x14ac:dyDescent="0.25">
      <c r="B55" s="368"/>
      <c r="C55" s="582">
        <f>IF(C54="","",IF(EDATE(C54,12)&gt;38718,"",EDATE(C54,12)))</f>
        <v>37681</v>
      </c>
      <c r="D55" s="371" cm="1">
        <f t="array" ref="D55">IF(C55="","",IF(D54&lt;H55,H55,INDEX('1999'!$C$4:$U$40,IF(H55=2600,MATCH(D54,'1999'!$C$4:$C$20,1)+1,IF(H55=2650,MATCH(D54,'1999'!$D$4:$D$29,1)+1,IF(H55=2750,MATCH(D54,'1999'!$E$4:$E$34,1)+1,IF(H55=2900,MATCH(D54,'1999'!$F$4:$F$38,1)+1,IF(H55=3050,MATCH(D54,'1999'!$G$4:$G$31,1)+1,IF(H55=3200,MATCH(D54,'1999'!$H$4:$H$33,1)+1,IF(H55=3300,MATCH(D54,'1999'!$I$4:$I$39,1)+1,IF(H55=4000,MATCH(D54,'1999'!$J$4:$J$37,1)+1,IF(H55=4200,MATCH(D54,'1999'!$K$4:$K$38,1)+1,IF(H55=5000,MATCH(D54,'1999'!$L$4:$L$40,1)+1,IF(H55=5500,MATCH(D54,'1999'!$M$4:$M$35,1)+1,IF(H55=6500,MATCH(D54,'1999'!$N$4:$N$32,1)+1,IF(H55=7450,MATCH(D54,'1999'!$O$4:$O$28,1)+1,IF(H55=7800,MATCH(D54,'1999'!$P$4:$P$29,1)+1,IF(H55=10000,MATCH(D54,'1999'!$Q$4:$Q$21,1)+1,IF(H55=10650,MATCH(D54,'1999'!$R$4:$R$20,1)+1,IF(H55=11000,MATCH(D54,'1999'!$S$4:$S$24,1)+1,IF(H55=11150,MATCH(D54,'1999'!$T$4:$T$23,1)+1,IF(H55=12000,MATCH(D54,'1999'!$U$4:$U$20,1)+1,))))))))))))))))))),I55)))</f>
        <v>3170</v>
      </c>
      <c r="E55" s="372"/>
      <c r="F55" s="372"/>
      <c r="H55" s="652">
        <f t="shared" si="5"/>
        <v>2650</v>
      </c>
      <c r="I55" s="661">
        <f t="shared" si="6"/>
        <v>2</v>
      </c>
      <c r="J55" s="658">
        <f>IF(C55="","",MATCH(VLOOKUP(C55,$C$48:$D$61,2,TRUE),IF(H55=2600,'1999'!$C$4:$C$20,IF(H55=2650,'1999'!$D$4:$D$29,IF(H55=2750,'1999'!$E$4:$E$34,IF(H55=2900,'1999'!$F$4:$F$38,IF(H55=3050,'1999'!$G$4:$G$31,IF(H55=3200,'1999'!$H$4:$H$33,IF(H55=3300,'1999'!$I$4:$I$39,IF(H55=4000,'1999'!$J$4:$J$37,IF(H55=4200,'1999'!$K$4:$K$38,IF(H55=5000,'1999'!$L$4:$L$40,IF(H55=5500,'1999'!$M$4:$M$35,IF(H55=6500,'1999'!$N$4:$N$32,IF(H55=7450,'1999'!$O$4:$O$28,IF(H55=7800,'1999'!$P$4:$P$29,IF(H55=10000,'1999'!$Q$4:$Q$21,IF(H55=10650,'1999'!$R$4:$R$20,IF(H55=11000,'1999'!$S$4:$S$24,))))))))))))))))),I55))</f>
        <v>9</v>
      </c>
    </row>
    <row r="56" spans="2:18" ht="15.75" customHeight="1" x14ac:dyDescent="0.25">
      <c r="B56" s="368"/>
      <c r="C56" s="582">
        <f t="shared" ref="C56" si="8">IF(C55="","",IF(EDATE(C55,12)&gt;38718,"",EDATE(C55,12)))</f>
        <v>38047</v>
      </c>
      <c r="D56" s="371" cm="1">
        <f t="array" ref="D56">IF(C56="","",IF(D55&lt;H56,H56,INDEX('1999'!$C$4:$U$40,IF(H56=2600,MATCH(D55,'1999'!$C$4:$C$20,1)+1,IF(H56=2650,MATCH(D55,'1999'!$D$4:$D$29,1)+1,IF(H56=2750,MATCH(D55,'1999'!$E$4:$E$34,1)+1,IF(H56=2900,MATCH(D55,'1999'!$F$4:$F$38,1)+1,IF(H56=3050,MATCH(D55,'1999'!$G$4:$G$31,1)+1,IF(H56=3200,MATCH(D55,'1999'!$H$4:$H$33,1)+1,IF(H56=3300,MATCH(D55,'1999'!$I$4:$I$39,1)+1,IF(H56=4000,MATCH(D55,'1999'!$J$4:$J$37,1)+1,IF(H56=4200,MATCH(D55,'1999'!$K$4:$K$38,1)+1,IF(H56=5000,MATCH(D55,'1999'!$L$4:$L$40,1)+1,IF(H56=5500,MATCH(D55,'1999'!$M$4:$M$35,1)+1,IF(H56=6500,MATCH(D55,'1999'!$N$4:$N$32,1)+1,IF(H56=7450,MATCH(D55,'1999'!$O$4:$O$28,1)+1,IF(H56=7800,MATCH(D55,'1999'!$P$4:$P$29,1)+1,IF(H56=10000,MATCH(D55,'1999'!$Q$4:$Q$21,1)+1,IF(H56=10650,MATCH(D55,'1999'!$R$4:$R$20,1)+1,IF(H56=11000,MATCH(D55,'1999'!$S$4:$S$24,1)+1,IF(H56=11150,MATCH(D55,'1999'!$T$4:$T$23,1)+1,IF(H56=12000,MATCH(D55,'1999'!$U$4:$U$20,1)+1,))))))))))))))))))),I56)))</f>
        <v>3235</v>
      </c>
      <c r="E56" s="372"/>
      <c r="F56" s="372"/>
      <c r="H56" s="652">
        <f t="shared" si="5"/>
        <v>2650</v>
      </c>
      <c r="I56" s="661">
        <f t="shared" si="6"/>
        <v>2</v>
      </c>
      <c r="J56" s="658">
        <f>IF(C56="","",MATCH(VLOOKUP(C56,$C$48:$D$61,2,TRUE),IF(H56=2600,'1999'!$C$4:$C$20,IF(H56=2650,'1999'!$D$4:$D$29,IF(H56=2750,'1999'!$E$4:$E$34,IF(H56=2900,'1999'!$F$4:$F$38,IF(H56=3050,'1999'!$G$4:$G$31,IF(H56=3200,'1999'!$H$4:$H$33,IF(H56=3300,'1999'!$I$4:$I$39,IF(H56=4000,'1999'!$J$4:$J$37,IF(H56=4200,'1999'!$K$4:$K$38,IF(H56=5000,'1999'!$L$4:$L$40,IF(H56=5500,'1999'!$M$4:$M$35,IF(H56=6500,'1999'!$N$4:$N$32,IF(H56=7450,'1999'!$O$4:$O$28,IF(H56=7800,'1999'!$P$4:$P$29,IF(H56=10000,'1999'!$Q$4:$Q$21,IF(H56=10650,'1999'!$R$4:$R$20,IF(H56=11000,'1999'!$S$4:$S$24,))))))))))))))))),I56))</f>
        <v>10</v>
      </c>
    </row>
    <row r="57" spans="2:18" ht="15.75" customHeight="1" x14ac:dyDescent="0.25">
      <c r="B57" s="368"/>
      <c r="C57" s="582">
        <f>IF(C56="","",IF(AND($L$60=FALSE,(EDATE(C56,12)&gt;38718)),"",EDATE(C56,12)))</f>
        <v>38412</v>
      </c>
      <c r="D57" s="371" cm="1">
        <f t="array" ref="D57">IF(C57="","",IF(D56&lt;H57,H57,INDEX('1999'!$C$4:$U$40,IF(H57=2600,MATCH(D56,'1999'!$C$4:$C$20,1)+1,IF(H57=2650,MATCH(D56,'1999'!$D$4:$D$29,1)+1,IF(H57=2750,MATCH(D56,'1999'!$E$4:$E$34,1)+1,IF(H57=2900,MATCH(D56,'1999'!$F$4:$F$38,1)+1,IF(H57=3050,MATCH(D56,'1999'!$G$4:$G$31,1)+1,IF(H57=3200,MATCH(D56,'1999'!$H$4:$H$33,1)+1,IF(H57=3300,MATCH(D56,'1999'!$I$4:$I$39,1)+1,IF(H57=4000,MATCH(D56,'1999'!$J$4:$J$37,1)+1,IF(H57=4200,MATCH(D56,'1999'!$K$4:$K$38,1)+1,IF(H57=5000,MATCH(D56,'1999'!$L$4:$L$40,1)+1,IF(H57=5500,MATCH(D56,'1999'!$M$4:$M$35,1)+1,IF(H57=6500,MATCH(D56,'1999'!$N$4:$N$32,1)+1,IF(H57=7450,MATCH(D56,'1999'!$O$4:$O$28,1)+1,IF(H57=7800,MATCH(D56,'1999'!$P$4:$P$29,1)+1,IF(H57=10000,MATCH(D56,'1999'!$Q$4:$Q$21,1)+1,IF(H57=10650,MATCH(D56,'1999'!$R$4:$R$20,1)+1,IF(H57=11000,MATCH(D56,'1999'!$S$4:$S$24,1)+1,IF(H57=11150,MATCH(D56,'1999'!$T$4:$T$23,1)+1,IF(H57=12000,MATCH(D56,'1999'!$U$4:$U$20,1)+1,))))))))))))))))))),I57)))</f>
        <v>3240</v>
      </c>
      <c r="E57" s="372"/>
      <c r="F57" s="372"/>
      <c r="H57" s="652">
        <f t="shared" si="5"/>
        <v>2750</v>
      </c>
      <c r="I57" s="661">
        <f t="shared" si="6"/>
        <v>3</v>
      </c>
      <c r="J57" s="658">
        <f>IF(C57="","",MATCH(VLOOKUP(C57,$C$48:$D$61,2,TRUE),IF(H57=2600,'1999'!$C$4:$C$20,IF(H57=2650,'1999'!$D$4:$D$29,IF(H57=2750,'1999'!$E$4:$E$34,IF(H57=2900,'1999'!$F$4:$F$38,IF(H57=3050,'1999'!$G$4:$G$31,IF(H57=3200,'1999'!$H$4:$H$33,IF(H57=3300,'1999'!$I$4:$I$39,IF(H57=4000,'1999'!$J$4:$J$37,IF(H57=4200,'1999'!$K$4:$K$38,IF(H57=5000,'1999'!$L$4:$L$40,IF(H57=5500,'1999'!$M$4:$M$35,IF(H57=6500,'1999'!$N$4:$N$32,IF(H57=7450,'1999'!$O$4:$O$28,IF(H57=7800,'1999'!$P$4:$P$29,IF(H57=10000,'1999'!$Q$4:$Q$21,IF(H57=10650,'1999'!$R$4:$R$20,IF(H57=11000,'1999'!$S$4:$S$24,))))))))))))))))),I57))</f>
        <v>8</v>
      </c>
      <c r="K57" s="231"/>
      <c r="L57" s="231"/>
      <c r="M57" s="231"/>
      <c r="N57" s="335"/>
      <c r="Q57" s="402"/>
    </row>
    <row r="58" spans="2:18" ht="15.75" customHeight="1" x14ac:dyDescent="0.25">
      <c r="B58" s="368"/>
      <c r="C58" s="582" t="str">
        <f>IF(C57="","",IF(AND($L$60=FALSE,(EDATE(C57,12)&gt;38718)),"",EDATE(C57,12)))</f>
        <v/>
      </c>
      <c r="D58" s="371" t="str" cm="1">
        <f t="array" ref="D58">IF(C58="","",IF(D57&lt;H58,H58,INDEX('1999'!$C$4:$U$40,IF(H58=2600,MATCH(D57,'1999'!$C$4:$C$20,1)+1,IF(H58=2650,MATCH(D57,'1999'!$D$4:$D$29,1)+1,IF(H58=2750,MATCH(D57,'1999'!$E$4:$E$34,1)+1,IF(H58=2900,MATCH(D57,'1999'!$F$4:$F$38,1)+1,IF(H58=3050,MATCH(D57,'1999'!$G$4:$G$31,1)+1,IF(H58=3200,MATCH(D57,'1999'!$H$4:$H$33,1)+1,IF(H58=3300,MATCH(D57,'1999'!$I$4:$I$39,1)+1,IF(H58=4000,MATCH(D57,'1999'!$J$4:$J$37,1)+1,IF(H58=4200,MATCH(D57,'1999'!$K$4:$K$38,1)+1,IF(H58=5000,MATCH(D57,'1999'!$L$4:$L$40,1)+1,IF(H58=5500,MATCH(D57,'1999'!$M$4:$M$35,1)+1,IF(H58=6500,MATCH(D57,'1999'!$N$4:$N$32,1)+1,IF(H58=7450,MATCH(D57,'1999'!$O$4:$O$28,1)+1,IF(H58=7800,MATCH(D57,'1999'!$P$4:$P$29,1)+1,IF(H58=10000,MATCH(D57,'1999'!$Q$4:$Q$21,1)+1,IF(H58=10650,MATCH(D57,'1999'!$R$4:$R$20,1)+1,IF(H58=11000,MATCH(D57,'1999'!$S$4:$S$24,1)+1,IF(H58=11150,MATCH(D57,'1999'!$T$4:$T$23,1)+1,IF(H58=12000,MATCH(D57,'1999'!$U$4:$U$20,1)+1,))))))))))))))))))),I58)))</f>
        <v/>
      </c>
      <c r="E58" s="372"/>
      <c r="F58" s="372"/>
      <c r="H58" s="652" t="str">
        <f t="shared" si="5"/>
        <v/>
      </c>
      <c r="I58" s="661" t="str">
        <f t="shared" si="6"/>
        <v/>
      </c>
      <c r="J58" s="658" t="str">
        <f>IF(C58="","",MATCH(VLOOKUP(C58,$C$48:$D$61,2,TRUE),IF(H58=2600,'1999'!$C$4:$C$20,IF(H58=2650,'1999'!$D$4:$D$29,IF(H58=2750,'1999'!$E$4:$E$34,IF(H58=2900,'1999'!$F$4:$F$38,IF(H58=3050,'1999'!$G$4:$G$31,IF(H58=3200,'1999'!$H$4:$H$33,IF(H58=3300,'1999'!$I$4:$I$39,IF(H58=4000,'1999'!$J$4:$J$37,IF(H58=4200,'1999'!$K$4:$K$38,IF(H58=5000,'1999'!$L$4:$L$40,IF(H58=5500,'1999'!$M$4:$M$35,IF(H58=6500,'1999'!$N$4:$N$32,IF(H58=7450,'1999'!$O$4:$O$28,IF(H58=7800,'1999'!$P$4:$P$29,IF(H58=10000,'1999'!$Q$4:$Q$21,IF(H58=10650,'1999'!$R$4:$R$20,IF(H58=11000,'1999'!$S$4:$S$24,))))))))))))))))),I58))</f>
        <v/>
      </c>
      <c r="Q58" s="402"/>
    </row>
    <row r="59" spans="2:18" ht="15.75" customHeight="1" thickBot="1" x14ac:dyDescent="0.3">
      <c r="B59" s="368"/>
      <c r="C59" s="582" t="str">
        <f>IF(C58="","",IF(AND((EDATE(C58,12)&gt;38718),$L$60=FALSE),"",EDATE(C58,12)))</f>
        <v/>
      </c>
      <c r="D59" s="371" t="str" cm="1">
        <f t="array" ref="D59">IF(C59="","",IF(D58&lt;H59,H59,INDEX('1999'!$C$4:$U$40,IF(H59=2600,MATCH(D58,'1999'!$C$4:$C$20,1)+1,IF(H59=2650,MATCH(D58,'1999'!$D$4:$D$29,1)+1,IF(H59=2750,MATCH(D58,'1999'!$E$4:$E$34,1)+1,IF(H59=2900,MATCH(D58,'1999'!$F$4:$F$38,1)+1,IF(H59=3050,MATCH(D58,'1999'!$G$4:$G$31,1)+1,IF(H59=3200,MATCH(D58,'1999'!$H$4:$H$33,1)+1,IF(H59=3300,MATCH(D58,'1999'!$I$4:$I$39,1)+1,IF(H59=4000,MATCH(D58,'1999'!$J$4:$J$37,1)+1,IF(H59=4200,MATCH(D58,'1999'!$K$4:$K$38,1)+1,IF(H59=5000,MATCH(D58,'1999'!$L$4:$L$40,1)+1,IF(H59=5500,MATCH(D58,'1999'!$M$4:$M$35,1)+1,IF(H59=6500,MATCH(D58,'1999'!$N$4:$N$32,1)+1,IF(H59=7450,MATCH(D58,'1999'!$O$4:$O$28,1)+1,IF(H59=7800,MATCH(D58,'1999'!$P$4:$P$29,1)+1,IF(H59=10000,MATCH(D58,'1999'!$Q$4:$Q$21,1)+1,IF(H59=10650,MATCH(D58,'1999'!$R$4:$R$20,1)+1,IF(H59=11000,MATCH(D58,'1999'!$S$4:$S$24,1)+1,IF(H59=11150,MATCH(D58,'1999'!$T$4:$T$23,1)+1,IF(H59=12000,MATCH(D58,'1999'!$U$4:$U$20,1)+1,))))))))))))))))))),I59)))</f>
        <v/>
      </c>
      <c r="E59" s="372"/>
      <c r="F59" s="372"/>
      <c r="H59" s="652" t="str">
        <f t="shared" si="5"/>
        <v/>
      </c>
      <c r="I59" s="661" t="str">
        <f t="shared" si="6"/>
        <v/>
      </c>
      <c r="J59" s="658" t="str">
        <f>IF(C59="","",MATCH(VLOOKUP(C59,$C$48:$D$61,2,TRUE),IF(H59=2600,'1999'!$C$4:$C$20,IF(H59=2650,'1999'!$D$4:$D$29,IF(H59=2750,'1999'!$E$4:$E$34,IF(H59=2900,'1999'!$F$4:$F$38,IF(H59=3050,'1999'!$G$4:$G$31,IF(H59=3200,'1999'!$H$4:$H$33,IF(H59=3300,'1999'!$I$4:$I$39,IF(H59=4000,'1999'!$J$4:$J$37,IF(H59=4200,'1999'!$K$4:$K$38,IF(H59=5000,'1999'!$L$4:$L$40,IF(H59=5500,'1999'!$M$4:$M$35,IF(H59=6500,'1999'!$N$4:$N$32,IF(H59=7450,'1999'!$O$4:$O$28,IF(H59=7800,'1999'!$P$4:$P$29,IF(H59=10000,'1999'!$Q$4:$Q$21,IF(H59=10650,'1999'!$R$4:$R$20,IF(H59=11000,'1999'!$S$4:$S$24,))))))))))))))))),I59))</f>
        <v/>
      </c>
      <c r="Q59" s="402"/>
    </row>
    <row r="60" spans="2:18" ht="15.75" customHeight="1" x14ac:dyDescent="0.25">
      <c r="B60" s="368"/>
      <c r="C60" s="582" t="str">
        <f>IF(C59="","",IF(AND((EDATE(C59,12)&gt;38718),$L$60=FALSE),"",EDATE(C59,12)))</f>
        <v/>
      </c>
      <c r="D60" s="371" t="str" cm="1">
        <f t="array" ref="D60">IF(C60="","",IF(D59&lt;H60,H60,INDEX('1999'!$C$4:$U$40,IF(H60=2600,MATCH(D59,'1999'!$C$4:$C$20,1)+1,IF(H60=2650,MATCH(D59,'1999'!$D$4:$D$29,1)+1,IF(H60=2750,MATCH(D59,'1999'!$E$4:$E$34,1)+1,IF(H60=2900,MATCH(D59,'1999'!$F$4:$F$38,1)+1,IF(H60=3050,MATCH(D59,'1999'!$G$4:$G$31,1)+1,IF(H60=3200,MATCH(D59,'1999'!$H$4:$H$33,1)+1,IF(H60=3300,MATCH(D59,'1999'!$I$4:$I$39,1)+1,IF(H60=4000,MATCH(D59,'1999'!$J$4:$J$37,1)+1,IF(H60=4200,MATCH(D59,'1999'!$K$4:$K$38,1)+1,IF(H60=5000,MATCH(D59,'1999'!$L$4:$L$40,1)+1,IF(H60=5500,MATCH(D59,'1999'!$M$4:$M$35,1)+1,IF(H60=6500,MATCH(D59,'1999'!$N$4:$N$32,1)+1,IF(H60=7450,MATCH(D59,'1999'!$O$4:$O$28,1)+1,IF(H60=7800,MATCH(D59,'1999'!$P$4:$P$29,1)+1,IF(H60=10000,MATCH(D59,'1999'!$Q$4:$Q$21,1)+1,IF(H60=10650,MATCH(D59,'1999'!$R$4:$R$20,1)+1,IF(H60=11000,MATCH(D59,'1999'!$S$4:$S$24,1)+1,IF(H60=11150,MATCH(D59,'1999'!$T$4:$T$23,1)+1,IF(H60=12000,MATCH(D59,'1999'!$U$4:$U$20,1)+1,))))))))))))))))))),I60)))</f>
        <v/>
      </c>
      <c r="E60" s="372"/>
      <c r="F60" s="372"/>
      <c r="H60" s="652" t="str">
        <f t="shared" si="5"/>
        <v/>
      </c>
      <c r="I60" s="661" t="str">
        <f t="shared" si="6"/>
        <v/>
      </c>
      <c r="J60" s="658" t="str">
        <f>IF(C60="","",MATCH(VLOOKUP(C60,$C$48:$D$61,2,TRUE),IF(H60=2600,'1999'!$C$4:$C$20,IF(H60=2650,'1999'!$D$4:$D$29,IF(H60=2750,'1999'!$E$4:$E$34,IF(H60=2900,'1999'!$F$4:$F$38,IF(H60=3050,'1999'!$G$4:$G$31,IF(H60=3200,'1999'!$H$4:$H$33,IF(H60=3300,'1999'!$I$4:$I$39,IF(H60=4000,'1999'!$J$4:$J$37,IF(H60=4200,'1999'!$K$4:$K$38,IF(H60=5000,'1999'!$L$4:$L$40,IF(H60=5500,'1999'!$M$4:$M$35,IF(H60=6500,'1999'!$N$4:$N$32,IF(H60=7450,'1999'!$O$4:$O$28,IF(H60=7800,'1999'!$P$4:$P$29,IF(H60=10000,'1999'!$Q$4:$Q$21,IF(H60=10650,'1999'!$R$4:$R$20,IF(H60=11000,'1999'!$S$4:$S$24,))))))))))))))))),I60))</f>
        <v/>
      </c>
      <c r="K60" s="907" t="s">
        <v>54</v>
      </c>
      <c r="L60" s="955" t="b">
        <v>0</v>
      </c>
      <c r="Q60" s="402"/>
    </row>
    <row r="61" spans="2:18" ht="15.75" customHeight="1" thickBot="1" x14ac:dyDescent="0.3">
      <c r="B61" s="368"/>
      <c r="C61" s="582" t="str">
        <f>IF(C60="","",IF(AND((EDATE(C60,12)&gt;39938),$L$60=TRUE),"",EDATE(C60,12)))</f>
        <v/>
      </c>
      <c r="D61" s="371" t="str" cm="1">
        <f t="array" ref="D61">IF(C61="","",IF(D60&lt;H61,H61,INDEX('1999'!$C$4:$U$40,IF(H61=2600,MATCH(D60,'1999'!$C$4:$C$20,1)+1,IF(H61=2650,MATCH(D60,'1999'!$D$4:$D$29,1)+1,IF(H61=2750,MATCH(D60,'1999'!$E$4:$E$34,1)+1,IF(H61=2900,MATCH(D60,'1999'!$F$4:$F$38,1)+1,IF(H61=3050,MATCH(D60,'1999'!$G$4:$G$31,1)+1,IF(H61=3200,MATCH(D60,'1999'!$H$4:$H$33,1)+1,IF(H61=3300,MATCH(D60,'1999'!$I$4:$I$39,1)+1,IF(H61=4000,MATCH(D60,'1999'!$J$4:$J$37,1)+1,IF(H61=4200,MATCH(D60,'1999'!$K$4:$K$38,1)+1,IF(H61=5000,MATCH(D60,'1999'!$L$4:$L$40,1)+1,IF(H61=5500,MATCH(D60,'1999'!$M$4:$M$35,1)+1,IF(H61=6500,MATCH(D60,'1999'!$N$4:$N$32,1)+1,IF(H61=7450,MATCH(D60,'1999'!$O$4:$O$28,1)+1,IF(H61=7800,MATCH(D60,'1999'!$P$4:$P$29,1)+1,IF(H61=10000,MATCH(D60,'1999'!$Q$4:$Q$21,1)+1,IF(H61=10650,MATCH(D60,'1999'!$R$4:$R$20,1)+1,IF(H61=11000,MATCH(D60,'1999'!$S$4:$S$24,1)+1,IF(H61=11150,MATCH(D60,'1999'!$T$4:$T$23,1)+1,IF(H61=12000,MATCH(D60,'1999'!$U$4:$U$20,1)+1,))))))))))))))))))),I61)))</f>
        <v/>
      </c>
      <c r="E61" s="372"/>
      <c r="F61" s="372"/>
      <c r="H61" s="653" t="str">
        <f t="shared" si="5"/>
        <v/>
      </c>
      <c r="I61" s="662" t="str">
        <f t="shared" si="6"/>
        <v/>
      </c>
      <c r="J61" s="659" t="str">
        <f>IF(C61="","",MATCH(VLOOKUP(C61,$C$48:$D$61,2,TRUE),IF(H61=2600,'1999'!$C$4:$C$20,IF(H61=2650,'1999'!$D$4:$D$29,IF(H61=2750,'1999'!$E$4:$E$34,IF(H61=2900,'1999'!$F$4:$F$38,IF(H61=3050,'1999'!$G$4:$G$31,IF(H61=3200,'1999'!$H$4:$H$33,IF(H61=3300,'1999'!$I$4:$I$39,IF(H61=4000,'1999'!$J$4:$J$37,IF(H61=4200,'1999'!$K$4:$K$38,IF(H61=5000,'1999'!$L$4:$L$40,IF(H61=5500,'1999'!$M$4:$M$35,IF(H61=6500,'1999'!$N$4:$N$32,IF(H61=7450,'1999'!$O$4:$O$28,IF(H61=7800,'1999'!$P$4:$P$29,IF(H61=10000,'1999'!$Q$4:$Q$21,IF(H61=10650,'1999'!$R$4:$R$20,IF(H61=11000,'1999'!$S$4:$S$24,))))))))))))))))),I61))</f>
        <v/>
      </c>
      <c r="K61" s="908"/>
      <c r="L61" s="956"/>
      <c r="Q61" s="402"/>
    </row>
    <row r="62" spans="2:18" s="172" customFormat="1" ht="21" customHeight="1" thickBot="1" x14ac:dyDescent="0.3">
      <c r="B62" s="817" t="str">
        <f>"I.P.S. of "&amp;IF(OR(B1="Family Pension Case",B1="DRW Family Pension Case"),C3&amp;" "&amp;D3&amp;"Ex."&amp;C4,C3&amp;" "&amp;D3&amp;"Retd."&amp;C4)&amp;" w.e.f. ROP'2015"</f>
        <v>I.P.S. of Shri Retd. w.e.f. ROP'2015</v>
      </c>
      <c r="C62" s="817"/>
      <c r="D62" s="817"/>
      <c r="E62" s="817"/>
      <c r="F62" s="817"/>
      <c r="H62" s="912" t="s">
        <v>55</v>
      </c>
      <c r="I62" s="913"/>
      <c r="J62" s="913"/>
      <c r="K62" s="914"/>
      <c r="L62" s="915"/>
      <c r="M62" s="569"/>
      <c r="N62" s="568"/>
      <c r="O62" s="948" t="s">
        <v>11</v>
      </c>
      <c r="P62" s="949"/>
      <c r="Q62" s="950"/>
      <c r="R62" s="173"/>
    </row>
    <row r="63" spans="2:18" ht="16.5" customHeight="1" x14ac:dyDescent="0.25">
      <c r="B63" s="674" t="str">
        <f>IF(C8&gt;=C63,"Joining Date","Option Date")</f>
        <v>Option Date</v>
      </c>
      <c r="C63" s="584">
        <f>IF(C48&gt;38718,C48,VLOOKUP(38718,C48:C61,1,TRUE))</f>
        <v>38412</v>
      </c>
      <c r="D63" s="376">
        <f>IF(C48&gt;38718,D48,VLOOKUP(38718,C48:D61,2,TRUE))</f>
        <v>3240</v>
      </c>
      <c r="E63" s="861" t="str">
        <f>"Existing Pay Scale "&amp;VLOOKUP(VLOOKUP(C63,C48:H61,6,TRUE),'Pay Scales'!J133:K153,2,FALSE)&amp;" of ROP'1999"</f>
        <v>Existing Pay Scale (2750-70-3800-75-4925) of ROP'1999</v>
      </c>
      <c r="F63" s="861"/>
      <c r="H63" s="421" t="str">
        <f>IF($I$63="","",IF(OR(ISNUMBER(SEARCH("Grad",$E$5)),ISNUMBER(SEARCH("CAS",$E$5))),"ACP-1",$E$5))</f>
        <v/>
      </c>
      <c r="I63" s="585" t="str">
        <f>IF(AND(F5&gt;38718,F5&lt;42826),F5,IF(AND(F5&gt;42825,F5&lt;43282,$L$73=TRUE),F5,""))</f>
        <v/>
      </c>
      <c r="J63" s="647" t="str">
        <f>IF(I63="","",IF(F5&lt;35065,J13,IF(AND(F5&gt;35065,F5&lt;38718),J21,IF(F5=38718,CEILING(($D$69+$D$70)*3%+$D$69+$D$70+M63-0.9,10),IF(AND(38718&lt;F5,F5&lt;38899),VLOOKUP(F5-1,$C$72:$D$94,2,TRUE)+M63,IF(AND(38898&lt;F5,F5&lt;39084),CEILING(VLOOKUP(F5-1,$C$72:$D$94,2,TRUE)*3%+VLOOKUP(F5-1,$C$72:$D$94,2,TRUE)+M63-0.9,10),IF(AND(39083&lt;F5,F5&lt;39264),VLOOKUP(F5-1,$C$72:$D$94,2,TRUE)+M63,IF(AND(39263&lt;F5,F5&lt;39449),CEILING(VLOOKUP(F5-1,$C$72:$D$94,2,TRUE)*3%+VLOOKUP(F5-1,$C$72:$D$94,2,TRUE)+M63-0.9,10),IF(AND(39448&lt;F5,F5&lt;39630),VLOOKUP(F5-1,$C$72:$D$94,2,TRUE)+M63,IF(AND(39629&lt;F5,F5&lt;39815),CEILING(VLOOKUP(F5-1,$C$72:$D$94,2,TRUE)*3%+VLOOKUP(F5-1,$C$72:$D$94,2,TRUE)+M63-0.9,10),IF(AND(39814&lt;F5,F5&lt;39995),VLOOKUP(F5-1,$C$72:$D$94,2,TRUE)+M63,IF(AND(39994&lt;F5,F5&lt;40180),CEILING(VLOOKUP(F5-1,$C$72:$D$94,2,TRUE)*3%+VLOOKUP(F5-1,$C$72:$D$94,2,TRUE)+M63-0.9,10),IF(AND(40179&lt;F5,F5&lt;40360),VLOOKUP(F5-1,$C$72:$D$94,2,TRUE)+M63,IF(AND(40359&lt;F5,F5&lt;40545),CEILING(VLOOKUP(F5-1,$C$72:$D$94,2,TRUE)*3%+VLOOKUP(F5-1,$C$72:$D$94,2,TRUE)+M63-0.9,10),IF(AND(40544&lt;F5,F5&lt;40725),VLOOKUP(F5-1,$C$72:$D$94,2,TRUE)+M63,IF(AND(40724&lt;F5,F5&lt;40910),CEILING(VLOOKUP(F5-1,$C$72:$D$94,2,TRUE)*3%+VLOOKUP(F5-1,$C$72:$D$94,2,TRUE)+M63-0.9,10),IF(AND(40909&lt;F5,F5&lt;41091),VLOOKUP(F5-1,$C$72:$D$94,2,TRUE)+M63,IF(AND(41090&lt;F5,F5&lt;41276),CEILING(VLOOKUP(F5-1,$C$72:$D$94,2,TRUE)*3%+VLOOKUP(F5-1,$C$72:$D$94,2,TRUE)+M63-0.9,10),IF(AND(41275&lt;F5,F5&lt;41456),VLOOKUP(F5-1,$C$72:$D$94,2,TRUE)+M63,IF(AND(41455&lt;F5,F5&lt;41641),CEILING(VLOOKUP(F5-1,$C$72:$D$94,2,TRUE)*3%+VLOOKUP(F5-1,$C$72:$D$94,2,TRUE)+M63-0.9,10),IF(AND(41640&lt;F5,F5&lt;41821),VLOOKUP(F5-1,$C$72:$D$94,2,TRUE)+M63,IF(AND(41820&lt;F5,F5&lt;42006),CEILING(VLOOKUP(F5-1,$C$72:$D$94,2,TRUE)*3%+VLOOKUP(F5-1,$C$72:$D$94,2,TRUE)+M63-0.9,10),IF(AND(42005&lt;F5,F5&lt;42186),VLOOKUP(F5-1,$C$72:$D$94,2,TRUE)+M63,IF(AND(42185&lt;F5,F5&lt;42371),CEILING(VLOOKUP(F5-1,$C$72:$D$94,2,TRUE)*3%+VLOOKUP(F5-1,$C$72:$D$94,2,TRUE)+M63-0.9,10),IF(AND(42370&lt;F5,F5&lt;42552),VLOOKUP(F5-1,$C$72:$D$94,2,TRUE)+M63,IF(AND(42551&lt;F5,F5&lt;$C$87),CEILING(VLOOKUP(F5-1,$C$72:$D$94,2,TRUE)*3%+VLOOKUP(F5-1,$C$72:$D$94,2,TRUE)+M63-0.9,10),IF(OR(F5&gt;$C$87,F5&lt;$C$95),MROUND(VLOOKUP(F5-1,$C$87:$D$94,2,TRUE)*3%+VLOOKUP(F5-1,$C$87:$D$94,2,TRUE),100))))))))))))))))))))))))))))</f>
        <v/>
      </c>
      <c r="K63" s="910" t="str">
        <f>IF(OR(I63&lt;$C$72,I63&gt;$C$95),"",IF(F5&lt;35065,K13,IF(AND(F5&gt;35065,F5&lt;38718),K21,"("&amp;IF(F5=38718,$D$69+$D$70&amp;"+"&amp;CEILING(($D$69+$D$70)*3%-0.9,10)&amp;"+"&amp;M63,IF(AND(38718&lt;F5,F5&lt;38899),VLOOKUP(F5-1,$C$72:$D$94,2,TRUE)&amp;"+"&amp;M63,IF(AND(38898&lt;F5,F5&lt;39084),VLOOKUP(F5-1,$C$72:$D$94,2,TRUE)&amp;"+"&amp;CEILING(VLOOKUP(F5-1,$C$72:$D$94,2,TRUE)*3%-0.9,10)&amp;"+"&amp;M63,IF(AND(39083&lt;F5,F5&lt;39264),VLOOKUP(F5-1,$C$72:$D$94,2,TRUE)&amp;"+"&amp;M63,IF(AND(39263&lt;F5,F5&lt;39449),VLOOKUP(F5-1,$C$72:$D$94,2,TRUE)&amp;"+"&amp;CEILING(VLOOKUP(F5-1,$C$72:$D$94,2,TRUE)*3%-0.9,10)&amp;"+"&amp;M63,IF(AND(39448&lt;F5,F5&lt;39630),VLOOKUP(F5-1,$C$72:$D$94,2,TRUE)&amp;"+"&amp;M63,IF(AND(39629&lt;F5,F5&lt;39815),VLOOKUP(F5-1,$C$72:$D$94,2,TRUE)&amp;"+"&amp;CEILING(VLOOKUP(F5-1,$C$72:$D$94,2,TRUE)*3%-0.9,10)&amp;"+"&amp;M63,IF(AND(39814&lt;F5,F5&lt;39995),VLOOKUP(F5-1,$C$72:$D$94,2,TRUE)&amp;"+"&amp;M63,IF(AND(39994&lt;F5,F5&lt;40180),VLOOKUP(F5-1,$C$72:$D$94,2,TRUE)&amp;"+"&amp;CEILING(VLOOKUP(F5-1,$C$72:$D$94,2,TRUE)*3%-0.9,10)&amp;"+"&amp;M63,IF(AND(40179&lt;F5,F5&lt;40360),VLOOKUP(F5-1,$C$72:$D$94,2,TRUE)&amp;"+"&amp;M63,IF(AND(40359&lt;F5,F5&lt;40545),VLOOKUP(F5-1,$C$72:$D$94,2,TRUE)&amp;"+"&amp;CEILING(VLOOKUP(F5-1,$C$72:$D$94,2,TRUE)*3%-0.9,10)&amp;"+"&amp;M63,IF(AND(40544&lt;F5,F5&lt;40725),VLOOKUP(F5-1,$C$72:$D$94,2,TRUE)&amp;"+"&amp;M63,IF(AND(40724&lt;F5,F5&lt;40910),VLOOKUP(F5-1,$C$72:$D$94,2,TRUE)&amp;"+"&amp;CEILING(VLOOKUP(F5-1,$C$72:$D$94,2,TRUE)*3%-0.9,10)&amp;"+"&amp;M63,IF(AND(40909&lt;F5,F5&lt;41091),VLOOKUP(F5-1,$C$72:$D$94,2,TRUE)&amp;"+"&amp;M63,IF(AND(41090&lt;F5,F5&lt;41276),VLOOKUP(F5-1,$C$72:$D$94,2,TRUE)&amp;"+"&amp;CEILING(VLOOKUP(F5-1,$C$72:$D$94,2,TRUE)*3%-0.9,10)&amp;"+"&amp;M63,IF(AND(41275&lt;F5,F5&lt;41456),VLOOKUP(F5-1,$C$72:$D$94,2,TRUE)&amp;"+"&amp;M63,IF(AND(41455&lt;F5,F5&lt;41641),VLOOKUP(F5-1,$C$72:$D$94,2,TRUE)&amp;"+"&amp;CEILING(VLOOKUP(F5-1,$C$72:$D$94,2,TRUE)*3%-0.9,10)&amp;"+"&amp;M63,IF(AND(41640&lt;F5,F5&lt;41821),VLOOKUP(F5-1,$C$72:$D$94,2,TRUE)&amp;"+"&amp;M63,IF(AND(41821&lt;F5,F5&lt;42005),VLOOKUP(F5-1,$C$72:$D$94,2,TRUE)&amp;"+"&amp;CEILING(VLOOKUP(F5-1,$C$72:$D$94,2,TRUE)*3%-0.9,10)&amp;"+"&amp;M63,IF(AND(42005&lt;F5,F5&lt;42186),VLOOKUP(F5-1,$C$72:$D$94,2,TRUE)&amp;"+"&amp;M63,IF(AND(42186&lt;F5,F5&lt;42370),VLOOKUP(F5-1,$C$72:$D$94,2,TRUE)&amp;"+"&amp;CEILING(VLOOKUP(F5-1,$C$72:$D$94,2,TRUE)*3%-0.9,10)&amp;"+"&amp;M63,IF(AND(42370&lt;F5,F5&lt;42552),VLOOKUP(F5-1,$C$72:$D$94,2,TRUE)&amp;"+"&amp;M63,IF(AND(42551&lt;F5,F5&lt;42826),VLOOKUP(F5-1,$C$72:$D$94,2,TRUE)&amp;"+"&amp;CEILING(VLOOKUP(F5-1,$C$72:$D$94,2,TRUE)*3%-0.9,10)&amp;"+"&amp;M63,IF(AND(42826&lt;F5,F5&lt;42917,$L$73=TRUE),$D$83&amp;"+"&amp;CEILING($D$83*3%-0.9,10)&amp;"+"&amp;M63,)))))))))))))))))))))))))&amp;")"))</f>
        <v/>
      </c>
      <c r="L63" s="911"/>
      <c r="M63" s="812">
        <f>IF(F5&lt;$C$72,0,O63-$D$70)</f>
        <v>0</v>
      </c>
      <c r="N63" s="813"/>
      <c r="O63" s="814" cm="1">
        <f t="array" ref="O63">IF(OR(F5&lt;$C$72,AND(F5&gt;42825,$L$73=FALSE),I63=""),$D$70,INDEX('Pay Scales'!$N$133:$N$152,MATCH($D$70,'Pay Scales'!$N$133:$N$152,0)+1,1))</f>
        <v>1800</v>
      </c>
      <c r="P63" s="905" t="str">
        <f>IF(I63="","",IF(AND($F$5&gt;$C$84,$L$73=FALSE),"",IF($F$5&lt;35065,$R$17,IF(AND($F$5&gt;35064,$F$5&lt;$C$72),$R$25,"(Grade Pay = "&amp;TEXT($O$63,"₹#,##0;")&amp;")"))))</f>
        <v/>
      </c>
      <c r="Q63" s="906"/>
    </row>
    <row r="64" spans="2:18" ht="16.5" customHeight="1" thickBot="1" x14ac:dyDescent="0.3">
      <c r="B64" s="819" t="s">
        <v>56</v>
      </c>
      <c r="C64" s="666" t="s">
        <v>57</v>
      </c>
      <c r="D64" s="371">
        <f>IF(C9&gt;38718,0,IF(IF(C8&lt;C72,DATEDIF(C8,C72-1,"y"),0)&gt;9,IF(AND(D70=1400,D63&lt;2985),55,IF(AND(D70=1400,D63&gt;=2985,D63&lt;3285),60,IF(AND(D70=1400,D63&gt;=3285,D63&lt;3545),65,IF(AND(D70=1650,D63&lt;3300),65,IF(AND(D70=1650,D63&gt;=3300,D63&lt;4350),70,IF(AND(D70=1800,D63&lt;3800),70,IF(AND(D70=1800,D63&gt;=3800,D63&lt;4925),75,IF(AND(D70=1900,D63&lt;3800),75,IF(AND(D70=1900,D63&gt;=3800,D63&lt;4760),80,IF(AND(D70=1900,D63&gt;=4760,D63&lt;5660),90,IF(AND(D70=2000,D63&lt;4010),80,IF(AND(D70=2000,D63&gt;=4010,D63&lt;4910),90,IF(AND(D70=2000,D63&gt;=4910,D63&lt;5910),100,IF(AND(D70=2100,D63&lt;4280),90,IF(AND(D70=2100,D63&gt;=4280,D63&lt;5480),100,IF(AND(D70=2100,D63&gt;=5480,D63&lt;6030),110,IF(AND(D70=2200,D63&lt;4800),100,IF(AND(D70=2200,D63&gt;=4800,D63&lt;5900),110,IF(AND(D70=2200,D63&gt;=5900,D63&lt;7100),120,IF(AND(D70=2400,D63&lt;5650),110,IF(AND(D70=2400,D63&gt;=5650,D63&lt;6850),120,IF(AND(D70=2400,D63&gt;=6850,D63&lt;7890),130,IF(AND(D70=2800,D63&lt;6000),120,IF(AND(D70=2800,D63&gt;=6000,D63&lt;7300),130,IF(AND(D70=2800,D63&gt;=7300,D63&lt;8650),150,IF(AND(D70=4200,D63&lt;6690),130,IF(AND(D70=4200,D63&gt;=6690,D63&lt;8940),150,IF(AND(D70=4200,D63&lt;10300),170,IF(AND(D70=4400,D63&lt;7750),150,IF(AND(D70=4400,D63&gt;=7750,D63&lt;9500),175,IF(AND(D70=4400,D63&gt;=9500,D63&lt;10700),200,IF(AND(D70=4600,D63&lt;10500),200,IF(AND(D70=4600,D63&gt;=10500,D63&lt;12300),225,IF(AND(D70=4800,D63&lt;11500),225,IF(AND(D70=4800,D63&gt;=11500,D63&lt;13000),250,IF(AND(D70=5400,D63&gt;=7800,D63&lt;10000),275,IF(AND(D70=5400,D63&gt;=10000,D63&lt;15100),300,IF(AND(D70=6600,D63&lt;15100),300,IF(AND(D70=6800,D63&lt;15850),325,IF(AND(D70=7000,D63&lt;18000),350,)))))))))))))))))))))))))))))))))))))))),0))</f>
        <v>70</v>
      </c>
      <c r="E64" s="817" t="str">
        <f>"Joining on "&amp;TEXT(C8,"dd-mm-yyyy")</f>
        <v>Joining on 05-03-1987</v>
      </c>
      <c r="F64" s="817"/>
      <c r="H64" s="439" t="str">
        <f>IF(H63="",IF(AND($F$5&gt;42826,$F$5&lt;$C$10,MONTH($F$5)&lt;7,$L$73=TRUE),$E$5,""),"")</f>
        <v/>
      </c>
      <c r="I64" s="586" t="str" cm="1">
        <f t="array" ref="I64">IF(OR($F$5="",$F$5&lt;$C$72,$F$5&gt;$C$95,$F$5&gt;42825),"",IF(OR(IF(OR($F$5&lt;$C$72,$F$5&gt;$C$95),"",INDEX($C$72:$C$94,1+MATCH($F$5,$C$72:$C$94,1)))=$C$84,IF(OR($F$5&lt;$C$72,$F$5&gt;$C$95),"",INDEX($C$72:$C$94,1+MATCH($F$5,$C$72:$C$94,1)))=$C$87),"",IF($F$5&lt;35065,$I$16,IF(AND($F$5&gt;$C$48,$F$5&lt;$C$63),$I$24,IF(AND($F$5&gt;38717,MONTH($F$5)=1,DAY($F$5)=1),EDATE($F$5,6),IF(AND($F$5&gt;$C$72,$F$5&lt;$C$84),INDEX($C$72:$C$94,1+MATCH($F$5,$C$72:$C$94,1)),IF(AND($F$5&gt;$C$84,$F$5&lt;$C$87,$L$73=TRUE),INDEX($C$84:$C$87,1+MATCH($F$5,$C$84:$C$87,1)),(IF(MONTH($F$5)&gt;6,DATE(YEAR($F$5)+1,7,1),IF(AND($F$5&gt;$C$87,$F$5&lt;$C$95),IF(AND($L$73=TRUE,$F$5&lt;45231),INDEX($C$87:$C$94,1+MATCH($F$5,$C$87:$C$94,1)),(IF(MONTH($F$5)&gt;6,DATE(YEAR($F$5)+1,7,1),DATE(YEAR($F$5)+1,1,1))))))))))))))</f>
        <v/>
      </c>
      <c r="J64" s="648" t="str">
        <f>IF(I64="","",IF(F5&lt;35065,J14,IF(AND(F5&gt;35065,F5&lt;38718),J22,IF(F5&lt;$C$72,0,IF(F5=38718,CEILING(J63*3%+J63-0.9,10),IF(AND(38718&lt;F5,F5&lt;38899),VLOOKUP(F5-1,$C$72:$D$84,2,TRUE)+M64+N64+M63,IF(AND(38898&lt;F5,F5&lt;39084),CEILING(J63*3%+J63-0.9,10),IF(AND(39083&lt;F5,F5&lt;39264),VLOOKUP(F5-1,$C$72:$D$84,2,TRUE)+M64+N64+M63,IF(AND(39263&lt;F5,F5&lt;39449),CEILING(J63*3%+J63-0.9,10),IF(AND(39448&lt;F5,F5&lt;39630),VLOOKUP(F5-1,$C$72:$D$84,2,TRUE)+M64+N64+M63,IF(AND(39629&lt;F5,F5&lt;39815),CEILING(J63*3%+J63-0.9,10),IF(AND(39814&lt;F5,F5&lt;39995),VLOOKUP(F5-1,$C$72:$D$84,2,TRUE)+M64+N64+M63,IF(AND(39994&lt;F5,F5&lt;40180),CEILING(J63*3%+J63-0.9,10),IF(AND(40179&lt;F5,F5&lt;40360),VLOOKUP(F5-1,$C$72:$D$84,2,TRUE)+M64+N64+M63,IF(AND(40359&lt;F5,F5&lt;40545),CEILING(J63*3%+J63-0.9,10),IF(AND(40544&lt;F5,F5&lt;40725),VLOOKUP(F5-1,$C$72:$D$84,2,TRUE)+M64+N64+M63,IF(AND(40724&lt;F5,F5&lt;40910),CEILING(J63*3%+J63-0.9,10),IF(AND(40909&lt;F5,F5&lt;41091),VLOOKUP(F5-1,$C$72:$D$84,2,TRUE)+M64+N64+M63,IF(AND(41090&lt;F5,F5&lt;41276),CEILING(J63*3%+J63-0.9,10),IF(AND(41275&lt;F5,F5&lt;41456),VLOOKUP(F5-1,$C$72:$D$84,2,TRUE)+M64+N64+M63,IF(AND(41455&lt;F5,F5&lt;41641),CEILING(J63*3%+J63-0.9,10),IF(AND(41640&lt;F5,F5&lt;41821),VLOOKUP(F5-1,$C$72:$D$84,2,TRUE)+M64+N64+M63,IF(AND(41820&lt;F5,F5&lt;42006),CEILING(J63*3%+J63-0.9,10),IF(AND(42005&lt;F5,F5&lt;42186),VLOOKUP(F5-1,$C$72:$D$84,2,TRUE)+M64+N64+M63,IF(AND(42185&lt;F5,F5&lt;42371),CEILING(J63*3%+J63-0.9,10),IF(AND(42370&lt;F5,F5&lt;42552),VLOOKUP(F5-1,$C$72:$D$84,2,TRUE)+M64+N64+M63,IF(AND(42551&lt;F5,F5&lt;42826),"",IF(AND(F5&gt;$C$84,F5&lt;$C$87),CEILING(J63*3%+J63,10),IF(OR(F5&gt;$C$87,F5&lt;$C$95),MROUND(J63*3%+J63,100))))))))))))))))))))))))))))))</f>
        <v/>
      </c>
      <c r="K64" s="858" t="str">
        <f>IF(OR(I64&lt;$C$72,I64&gt;$C$95,I64=""),"","("&amp;IF(F5=38718,J63&amp;"+"&amp;CEILING(J63*3%-0.9,10),IF(AND(38718&lt;F5,F5&lt;38899),VLOOKUP(F5-1,$C$72:$D$94,2,TRUE)&amp;"+"&amp;M64&amp;"+"&amp;N64&amp;"+"&amp;M63,IF(AND(38898&lt;F5,F5&lt;39084),J63&amp;"+"&amp;CEILING(J63*3%-0.9,10),IF(AND(39083&lt;F5,F5&lt;39264),VLOOKUP(F5-1,$C$72:$D$94,2,TRUE)&amp;"+"&amp;M64&amp;"+"&amp;N64&amp;"+"&amp;M63,IF(AND(39263&lt;F5,F5&lt;39449),J63&amp;"+"&amp;CEILING(J63*3%-0.9,10),IF(AND(39448&lt;F5,F5&lt;39630),VLOOKUP(F5-1,$C$72:$D$94,2,TRUE)&amp;"+"&amp;M64&amp;"+"&amp;N64&amp;"+"&amp;M63,IF(AND(39629&lt;F5,F5&lt;39815),J63&amp;"+"&amp;CEILING(J63*3%-0.9,10),IF(AND(39814&lt;F5,F5&lt;39995),VLOOKUP(F5-1,$C$72:$D$94,2,TRUE)&amp;"+"&amp;M64&amp;"+"&amp;N64&amp;"+"&amp;M63,IF(AND(39994&lt;F5,F5&lt;40180),J63&amp;"+"&amp;CEILING(J63*3%-0.9,10),IF(AND(40179&lt;F5,F5&lt;40360),VLOOKUP(F5-1,$C$72:$D$94,2,TRUE)&amp;"+"&amp;M64&amp;"+"&amp;N64&amp;"+"&amp;M63,IF(AND(40359&lt;F5,F5&lt;40545),J63&amp;"+"&amp;CEILING(J63*3%-0.9,10),IF(AND(40544&lt;F5,F5&lt;40725),VLOOKUP(F5-1,$C$72:$D$94,2,TRUE)&amp;"+"&amp;M64&amp;"+"&amp;N64&amp;"+"&amp;M63,IF(AND(40724&lt;F5,F5&lt;40910),J63&amp;"+"&amp;CEILING(J63*3%-0.9,10),IF(AND(40909&lt;F5,F5&lt;41091),VLOOKUP(F5-1,$C$72:$D$94,2,TRUE)&amp;"+"&amp;M64&amp;"+"&amp;N64&amp;"+"&amp;M63,IF(AND(41090&lt;F5,F5&lt;41276),J63&amp;"+"&amp;CEILING(J63*3%-0.9,10),IF(AND(41275&lt;F5,F5&lt;41456),VLOOKUP(F5-1,$C$72:$D$94,2,TRUE)&amp;"+"&amp;M64&amp;"+"&amp;N64&amp;"+"&amp;M63,IF(AND(41455&lt;F5,F5&lt;41641),J63&amp;"+"&amp;CEILING(J63*3%-0.9,10),IF(AND(41640&lt;F5,F5&lt;41821),VLOOKUP(F5-1,$C$72:$D$94,2,TRUE)&amp;"+"&amp;M64&amp;"+"&amp;N64&amp;"+"&amp;M63,IF(AND(41820&lt;F5,F5&lt;42006),J63&amp;"+"&amp;CEILING(J63*3%-0.9,10),IF(AND(42005&lt;F5,F5&lt;42186),VLOOKUP(F5-1,$C$72:$D$94,2,TRUE)&amp;"+"&amp;M64&amp;"+"&amp;N64&amp;"+"&amp;M63,IF(AND(42185&lt;F5,F5&lt;42371),J63&amp;"+"&amp;CEILING(J63*3%-0.9,10),IF(AND(42370&lt;F5,F5&lt;42552),VLOOKUP(F5-1,$C$72:$D$94,2,TRUE)&amp;"+"&amp;M64&amp;"+"&amp;N64&amp;"+"&amp;M63,IF(AND(42551&lt;F5,F5&lt;42826),"",)))))))))))))))))))))))&amp;")")</f>
        <v/>
      </c>
      <c r="L64" s="859"/>
      <c r="M64" s="796">
        <f>IF(AND(38718&lt;F5,F5&lt;38899),CEILING(VLOOKUP(F5-1,$C$72:$D$94,2,TRUE)*3%-0.9,10),IF(AND(39083&lt;F5,F5&lt;39264),CEILING(VLOOKUP(F5-1,$C$72:$D$94,2,TRUE)*3%-0.9,10),IF(AND(39448&lt;F5,F5&lt;39630),CEILING(VLOOKUP(F5-1,$C$72:$D$94,2,TRUE)*3%-0.9,10),IF(AND(39814&lt;F5,F5&lt;39995),CEILING(VLOOKUP(F5-1,$C$72:$D$94,2,TRUE)*3%-0.9,10),IF(AND(40179&lt;F5,F5&lt;40360),CEILING(VLOOKUP(F5-1,$C$72:$D$94,2,TRUE)*3%-0.9,10),IF(AND(40544&lt;F5,F5&lt;40725),CEILING(VLOOKUP(F5-1,$C$72:$D$94,2,TRUE)*3%-0.9,10),IF(AND(40909&lt;F5,F5&lt;41091),CEILING(VLOOKUP(F5-1,$C$72:$D$94,2,TRUE)*3%-0.9,10),IF(AND(41275&lt;F5,F5&lt;41456),CEILING(VLOOKUP(F5-1,$C$72:$D$94,2,TRUE)*3%-0.9,10),IF(AND(41640&lt;F5,F5&lt;41821),CEILING(VLOOKUP(F5-1,$C$72:$D$94,2,TRUE)*3%-0.9,10),IF(AND(42005&lt;F5,F5&lt;42186),CEILING(VLOOKUP(F5-1,$C$72:$D$94,2,TRUE)*3%-0.9,10),IF(AND(42370&lt;F5,F5&lt;42552),CEILING(VLOOKUP(F5-1,$C$72:$D$94,2,TRUE)*3%-0.9,10),)))))))))))</f>
        <v>0</v>
      </c>
      <c r="N64" s="797">
        <f>IF(AND(38718&lt;F5,F5&lt;38899),CEILING((VLOOKUP(F5-1,$C$72:$D$94,2,TRUE)+M64)*3%-0.9,10),IF(AND(39083&lt;F5,F5&lt;39264),CEILING((VLOOKUP(F5-1,$C$72:$D$94,2,TRUE)+M64)*3%-0.9,10),IF(AND(39448&lt;F5,F5&lt;39630),CEILING((VLOOKUP(F5-1,$C$72:$D$94,2,TRUE)+M64)*3%-0.9,10),IF(AND(39814&lt;F5,F5&lt;39995),CEILING((VLOOKUP(F5-1,$C$72:$D$94,2,TRUE)+M64)*3%-0.9,10),IF(AND(40179&lt;F5,F5&lt;40360),CEILING((VLOOKUP(F5-1,$C$72:$D$94,2,TRUE)+M64)*3%-0.9,10),IF(AND(40544&lt;F5,F5&lt;40725),CEILING((VLOOKUP(F5-1,$C$72:$D$94,2,TRUE)+M64)*3%-0.9,10),IF(AND(40909&lt;F5,F5&lt;41091),CEILING((VLOOKUP(F5-1,$C$72:$D$94,2,TRUE)+M64)*3%-0.9,10),IF(AND(41275&lt;F5,F5&lt;41456),CEILING((VLOOKUP(F5-1,$C$72:$D$94,2,TRUE)+M64)*3%-0.9,10),IF(AND(41640&lt;F5,F5&lt;41821),CEILING((VLOOKUP(F5-1,$C$72:$D$94,2,TRUE)+M64)*3%-0.9,10),IF(AND(42005&lt;F5,F5&lt;42186),CEILING((VLOOKUP(F5-1,$C$72:$D$94,2,TRUE)+M64)*3%-0.9,10),IF(AND(42370&lt;F5,F5&lt;42552),CEILING((VLOOKUP(F5-1,$C$72:$D$94,2,TRUE)+M64)*3%-0.9,10),)))))))))))</f>
        <v>0</v>
      </c>
      <c r="O64" s="815"/>
      <c r="P64" s="822" t="str">
        <f>IF(I63="",P63,"")</f>
        <v/>
      </c>
      <c r="Q64" s="904"/>
    </row>
    <row r="65" spans="2:20" ht="16.5" customHeight="1" x14ac:dyDescent="0.25">
      <c r="B65" s="819"/>
      <c r="C65" s="666" t="s">
        <v>58</v>
      </c>
      <c r="D65" s="371">
        <f>IF(C9&gt;38718,0,IF(IF(C8&lt;C72,DATEDIF(C8,C72-1,"y"),0)&gt;19,IF(AND(D70=1400,I73&lt;2985),55,IF(AND(D70=1400,I73&gt;=2985,I73&lt;3285),60,IF(AND(D70=1400,I73&gt;=3285,I73&lt;3545),65,IF(AND(D70=1650,I73&lt;3300),65,IF(AND(D70=1650,I73&gt;=3300,I73&lt;4350),70,IF(AND(D70=1800,I73&lt;3800),70,IF(AND(D70=1800,I73&gt;=3800,I73&lt;4925),75,IF(AND(D70=1900,I73&lt;3800),75,IF(AND(D70=1900,I73&gt;=3800,I73&lt;4760),80,IF(AND(D70=1900,I73&gt;=4760,I73&lt;5660),90,IF(AND(D70=2000,I73&lt;4010),80,IF(AND(D70=2000,I73&gt;=4010,I73&lt;4910),90,IF(AND(D70=2000,I73&gt;=4910,I73&lt;5910),100,IF(AND(D70=2100,I73&lt;4280),90,IF(AND(D70=2100,I73&gt;=4280,I73&lt;5480),100,IF(AND(D70=2100,I73&gt;=5480,I73&lt;6030),110,IF(AND(D70=2200,I73&lt;4800),100,IF(AND(D70=2200,I73&gt;=4800,I73&lt;5900),110,IF(AND(D70=2200,I73&gt;=5900,I73&lt;7100),120,IF(AND(D70=2400,I73&lt;5650),110,IF(AND(D70=2400,I73&gt;=5650,I73&lt;6850),120,IF(AND(D70=2400,I73&gt;=6850,I73&lt;7890),130,IF(AND(D70=2800,I73&lt;6000),120,IF(AND(D70=2800,I73&gt;=6000,I73&lt;7300),130,IF(AND(D70=2800,I73&gt;=7300,I73&lt;8650),150,IF(AND(D70=4200,I73&lt;6690),130,IF(AND(D70=4200,I73&gt;=6690,I73&lt;8940),150,IF(AND(D70=4200,I73&lt;10300),170,IF(AND(D70=4400,I73&lt;7750),150,IF(AND(D70=4400,I73&gt;=7750,I73&lt;9500),175,IF(AND(D70=4400,I73&gt;=9500,I73&lt;10700),200,IF(AND(D70=4600,I73&lt;10500),200,IF(AND(D70=4600,I73&gt;=10500,I73&lt;12300),225,IF(AND(D70=4800,I73&lt;11500),225,IF(AND(D70=4800,I73&gt;=11500,I73&lt;13000),250,IF(AND(D70=5400,D63&gt;=7800,D63&lt;10000),275,IF(AND(D70=5400,D63&gt;=10000,D63&lt;15100),300,IF(AND(D70=6600,I73&lt;15100),300,IF(AND(D70=6800,I73&lt;15850),325,IF(AND(D70=7000,I73&lt;18000),350,)))))))))))))))))))))))))))))))))))))))),0))</f>
        <v>0</v>
      </c>
      <c r="E65" s="817" t="str">
        <f>"Regular on "&amp;TEXT(C9,"dd-mm-yyyy")</f>
        <v>Regular on 05-03-1987</v>
      </c>
      <c r="F65" s="817"/>
      <c r="H65" s="421" t="str">
        <f>IF($I$65="","",IF(OR(ISNUMBER(SEARCH("Grad",$E$6)),ISNUMBER(SEARCH("CAS",$E$6))),"ACP-2",$E$6))</f>
        <v/>
      </c>
      <c r="I65" s="587" t="str">
        <f>IF(AND(F6&gt;38718,F6&lt;42826),F6,IF(AND(F6&gt;42825,F6&lt;43282,$L$73=TRUE),F6,""))</f>
        <v/>
      </c>
      <c r="J65" s="647" t="str">
        <f>IF(I65="","",IF(F6&lt;35065,J15,IF(AND(F6&gt;35065,F6&lt;38718),J23,IF(F6=38718,CEILING(($D$69+$D$70)*3%+$D$69+$D$70+M65-0.9,10),IF(AND(38718&lt;F6,F6&lt;38899),VLOOKUP(F6-1,$C$72:$D$94,2,TRUE)+M65,IF(AND(38898&lt;F6,F6&lt;39084),CEILING(VLOOKUP(F6-1,$C$72:$D$94,2,TRUE)*3%+VLOOKUP(F6-1,$C$72:$D$94,2,TRUE)+M65-0.9,10),IF(AND(39083&lt;F6,F6&lt;39264),VLOOKUP(F6-1,$C$72:$D$94,2,TRUE)+M65,IF(AND(39263&lt;F6,F6&lt;39449),CEILING(VLOOKUP(F6-1,$C$72:$D$94,2,TRUE)*3%+VLOOKUP(F6-1,$C$72:$D$94,2,TRUE)+M65-0.9,10),IF(AND(39448&lt;F6,F6&lt;39630),VLOOKUP(F6-1,$C$72:$D$94,2,TRUE)+M65,IF(AND(39629&lt;F6,F6&lt;39815),CEILING(VLOOKUP(F6-1,$C$72:$D$94,2,TRUE)*3%+VLOOKUP(F6-1,$C$72:$D$94,2,TRUE)+M65-0.9,10),IF(AND(39814&lt;F6,F6&lt;39995),VLOOKUP(F6-1,$C$72:$D$94,2,TRUE)+M65,IF(AND(39994&lt;F6,F6&lt;40180),CEILING(VLOOKUP(F6-1,$C$72:$D$94,2,TRUE)*3%+VLOOKUP(F6-1,$C$72:$D$94,2,TRUE)+M65-0.9,10),IF(AND(40179&lt;F6,F6&lt;40360),VLOOKUP(F6-1,$C$72:$D$94,2,TRUE)+M65,IF(AND(40359&lt;F6,F6&lt;40545),CEILING(VLOOKUP(F6-1,$C$72:$D$94,2,TRUE)*3%+VLOOKUP(F6-1,$C$72:$D$94,2,TRUE)+M65-0.9,10),IF(AND(40544&lt;F6,F6&lt;40725),VLOOKUP(F6-1,$C$72:$D$94,2,TRUE)+M65,IF(AND(40724&lt;F6,F6&lt;40910),CEILING(VLOOKUP(F6-1,$C$72:$D$94,2,TRUE)*3%+VLOOKUP(F6-1,$C$72:$D$94,2,TRUE)+M65-0.9,10),IF(AND(40909&lt;F6,F6&lt;41091),VLOOKUP(F6-1,$C$72:$D$94,2,TRUE)+M65,IF(AND(41090&lt;F6,F6&lt;41276),CEILING(VLOOKUP(F6-1,$C$72:$D$94,2,TRUE)*3%+VLOOKUP(F6-1,$C$72:$D$94,2,TRUE)+M65-0.9,10),IF(AND(41275&lt;F6,F6&lt;41456),VLOOKUP(F6-1,$C$72:$D$94,2,TRUE)+M65,IF(AND(41455&lt;F6,F6&lt;41641),CEILING(VLOOKUP(F6-1,$C$72:$D$94,2,TRUE)*3%+VLOOKUP(F6-1,$C$72:$D$94,2,TRUE)+M65-0.9,10),IF(AND(41640&lt;F6,F6&lt;41821),VLOOKUP(F6-1,$C$72:$D$94,2,TRUE)+M65,IF(AND(41820&lt;F6,F6&lt;42006),CEILING(VLOOKUP(F6-1,$C$72:$D$94,2,TRUE)*3%+VLOOKUP(F6-1,$C$72:$D$94,2,TRUE)+M65-0.9,10),IF(AND(42005&lt;F6,F6&lt;42186),VLOOKUP(F6-1,$C$72:$D$94,2,TRUE)+M65,IF(AND(42185&lt;F6,F6&lt;42371),CEILING(VLOOKUP(F6-1,$C$72:$D$94,2,TRUE)*3%+VLOOKUP(F6-1,$C$72:$D$94,2,TRUE)+M65-0.9,10),IF(AND(42370&lt;F6,F6&lt;42552),VLOOKUP(F6-1,$C$72:$D$94,2,TRUE)+M65,IF(AND(42551&lt;F6,F6&lt;$C$87),CEILING(VLOOKUP(F6-1,$C$72:$D$94,2,TRUE)*3%+VLOOKUP(F6-1,$C$72:$D$94,2,TRUE)+M65-0.9,10),IF(OR(F6&gt;$C$87,F6&lt;$C$95),MROUND(VLOOKUP(F6-1,$C$87:$D$94,2,TRUE)*3%+VLOOKUP(F6-1,$C$87:$D$94,2,TRUE),100))))))))))))))))))))))))))))</f>
        <v/>
      </c>
      <c r="K65" s="910" t="str">
        <f>IF(OR(I65&lt;$C$72,I65&gt;$C$95),"",IF(F6&lt;35065,K15,IF(AND(F6&gt;35065,F6&lt;38718),K23,"("&amp;IF(F6=38718,$D$69+$D$70&amp;"+"&amp;CEILING(($D$69+$D$70)*3%-0.9,10)&amp;"+"&amp;M65,IF(AND(38718&lt;F6,F6&lt;38899),VLOOKUP(F6-1,$C$72:$D$94,2,TRUE)&amp;"+"&amp;M65,IF(AND(38898&lt;F6,F6&lt;39084),VLOOKUP(F6-1,$C$72:$D$94,2,TRUE)&amp;"+"&amp;CEILING(VLOOKUP(F6-1,$C$72:$D$94,2,TRUE)*3%-0.9,10)&amp;"+"&amp;M65,IF(AND(39083&lt;F6,F6&lt;39264),VLOOKUP(F6-1,$C$72:$D$94,2,TRUE)&amp;"+"&amp;M65,IF(AND(39263&lt;F6,F6&lt;39449),VLOOKUP(F6-1,$C$72:$D$94,2,TRUE)&amp;"+"&amp;CEILING(VLOOKUP(F6-1,$C$72:$D$94,2,TRUE)*3%-0.9,10)&amp;"+"&amp;M65,IF(AND(39448&lt;F6,F6&lt;39630),VLOOKUP(F6-1,$C$72:$D$94,2,TRUE)&amp;"+"&amp;M65,IF(AND(39629&lt;F6,F6&lt;39815),VLOOKUP(F6-1,$C$72:$D$94,2,TRUE)&amp;"+"&amp;CEILING(VLOOKUP(F6-1,$C$72:$D$94,2,TRUE)*3%-0.9,10)&amp;"+"&amp;M65,IF(AND(39814&lt;F6,F6&lt;39995),VLOOKUP(F6-1,$C$72:$D$94,2,TRUE)&amp;"+"&amp;M65,IF(AND(39994&lt;F6,F6&lt;40180),VLOOKUP(F6-1,$C$72:$D$94,2,TRUE)&amp;"+"&amp;CEILING(VLOOKUP(F6-1,$C$72:$D$94,2,TRUE)*3%-0.9,10)&amp;"+"&amp;M65,IF(AND(40179&lt;F6,F6&lt;40360),VLOOKUP(F6-1,$C$72:$D$94,2,TRUE)&amp;"+"&amp;M65,IF(AND(40359&lt;F6,F6&lt;40545),VLOOKUP(F6-1,$C$72:$D$94,2,TRUE)&amp;"+"&amp;CEILING(VLOOKUP(F6-1,$C$72:$D$94,2,TRUE)*3%-0.9,10)&amp;"+"&amp;M65,IF(AND(40544&lt;F6,F6&lt;40725),VLOOKUP(F6-1,$C$72:$D$94,2,TRUE)&amp;"+"&amp;M65,IF(AND(40724&lt;F6,F6&lt;40910),VLOOKUP(F6-1,$C$72:$D$94,2,TRUE)&amp;"+"&amp;CEILING(VLOOKUP(F6-1,$C$72:$D$94,2,TRUE)*3%-0.9,10)&amp;"+"&amp;M65,IF(AND(40909&lt;F6,F6&lt;41091),VLOOKUP(F6-1,$C$72:$D$94,2,TRUE)&amp;"+"&amp;M65,IF(AND(41090&lt;F6,F6&lt;41276),VLOOKUP(F6-1,$C$72:$D$94,2,TRUE)&amp;"+"&amp;CEILING(VLOOKUP(F6-1,$C$72:$D$94,2,TRUE)*3%-0.9,10)&amp;"+"&amp;M65,IF(AND(41275&lt;F6,F6&lt;41456),VLOOKUP(F6-1,$C$72:$D$94,2,TRUE)&amp;"+"&amp;M65,IF(AND(41455&lt;F6,F6&lt;41641),VLOOKUP(F6-1,$C$72:$D$94,2,TRUE)&amp;"+"&amp;CEILING(VLOOKUP(F6-1,$C$72:$D$94,2,TRUE)*3%-0.9,10)&amp;"+"&amp;M65,IF(AND(41640&lt;F6,F6&lt;41821),VLOOKUP(F6-1,$C$72:$D$94,2,TRUE)&amp;"+"&amp;M65,IF(AND(41821&lt;F6,F6&lt;42005),VLOOKUP(F6-1,$C$72:$D$94,2,TRUE)&amp;"+"&amp;CEILING(VLOOKUP(F6-1,$C$72:$D$94,2,TRUE)*3%-0.9,10)&amp;"+"&amp;M65,IF(AND(42005&lt;F6,F6&lt;42186),VLOOKUP(F6-1,$C$72:$D$94,2,TRUE)&amp;"+"&amp;M65,IF(AND(42186&lt;F6,F6&lt;42370),VLOOKUP(F6-1,$C$72:$D$94,2,TRUE)&amp;"+"&amp;CEILING(VLOOKUP(F6-1,$C$72:$D$94,2,TRUE)*3%-0.9,10)&amp;"+"&amp;M65,IF(AND(42370&lt;F6,F6&lt;42552),VLOOKUP(F6-1,$C$72:$D$94,2,TRUE)&amp;"+"&amp;M65,IF(AND(42551&lt;F6,F6&lt;42826),VLOOKUP(F6-1,$C$72:$D$94,2,TRUE)&amp;"+"&amp;CEILING(VLOOKUP(F6-1,$C$72:$D$94,2,TRUE)*3%-0.9,10)&amp;"+"&amp;M65,IF(AND(42826&lt;F6,F6&lt;42917,$L$73=TRUE),$D$83&amp;"+"&amp;CEILING($D$83*3%-0.9,10)&amp;"+"&amp;M65,)))))))))))))))))))))))))&amp;")"))</f>
        <v/>
      </c>
      <c r="L65" s="911"/>
      <c r="M65" s="812">
        <f>O65-O63</f>
        <v>0</v>
      </c>
      <c r="N65" s="813"/>
      <c r="O65" s="814" cm="1">
        <f t="array" ref="O65">IF(OR(F6&lt;$C$72,AND(F6&gt;42825,$L$73=FALSE),I65=""),O63,INDEX('Pay Scales'!$N$133:$N$152,MATCH(O63,'Pay Scales'!$N$133:$N$152,0)+1,1))</f>
        <v>1800</v>
      </c>
      <c r="P65" s="905" t="str">
        <f>IF(I65="","",IF(AND($F$6&gt;$C$84,$L$73=FALSE),"",IF($F$6&lt;35065,$R$17,IF(AND($F$6&gt;35064,$F$6&lt;$C$72),$R$25,"(Grade Pay = "&amp;TEXT($O$65,"₹#,##0;")&amp;")"))))</f>
        <v/>
      </c>
      <c r="Q65" s="906"/>
    </row>
    <row r="66" spans="2:20" ht="16.5" customHeight="1" thickBot="1" x14ac:dyDescent="0.3">
      <c r="B66" s="862" t="s">
        <v>59</v>
      </c>
      <c r="C66" s="862"/>
      <c r="D66" s="377">
        <v>0</v>
      </c>
      <c r="E66" s="817" t="str">
        <f ca="1">IF(F5&gt;$C$10,"",E5&amp;" on "&amp;TEXT(F5,"dd-mm-yyyy")&amp;" (after "&amp;YEAR(F5)-YEAR($C$9)&amp;" years)")</f>
        <v>CAS-1 on 05-03-1997 (after 10 years)</v>
      </c>
      <c r="F66" s="817"/>
      <c r="H66" s="439" t="str">
        <f>IF(H65="",IF(AND($F$6&gt;42826,$F$6&lt;$C$10,MONTH($F$6)&lt;7,$L$73=TRUE),$E$6,""),"")</f>
        <v/>
      </c>
      <c r="I66" s="586" t="str" cm="1">
        <f t="array" ref="I66">IF(OR($F$6="",$F$6&lt;$C$72,$F$6&gt;$C$95,$F$6&gt;42825),"",IF(OR(IF(OR($F$6&lt;$C$72,$F$6&gt;$C$95),"",INDEX($C$72:$C$94,1+MATCH($F$6,$C$72:$C$94,1)))=$C$84,IF(OR($F$6&lt;$C$72,$F$6&gt;$C$95),"",INDEX($C$72:$C$94,1+MATCH($F$6,$C$72:$C$94,1)))=$C$87),"",IF($F$6&lt;35065,$I$16,IF(AND($F$6&gt;$C$48,$F$6&lt;$C$63),$I$24,IF(AND($F$6&gt;38717,MONTH($F$6)=1,DAY($F$6)=1),EDATE($F$6,6),IF(AND($F$6&gt;$C$72,$F$6&lt;$C$84),INDEX($C$72:$C$94,1+MATCH($F$6,$C$72:$C$94,1)),IF(AND($F$6&gt;$C$84,$F$6&lt;$C$87,$L$73=TRUE),INDEX($C$84:$C$87,1+MATCH($F$6,$C$84:$C$87,1)),(IF(MONTH($F$6)&gt;6,DATE(YEAR($F$6)+1,7,1),IF(AND($F$6&gt;$C$87,$F$6&lt;$C$95),IF(AND($L$73=TRUE,$F$6&lt;45231),INDEX($C$87:$C$94,1+MATCH($F$6,$C$87:$C$94,1)),(IF(MONTH($F$6)&gt;6,DATE(YEAR($F$6)+1,7,1),DATE(YEAR($F$6)+1,1,1))))))))))))))</f>
        <v/>
      </c>
      <c r="J66" s="648" t="str">
        <f>IF(I66="","",IF(F6&lt;35065,J16,IF(AND(F6&gt;35065,F6&lt;38718),J24,IF(F6&lt;$C$72,0,IF(F6=38718,CEILING(J65*3%+J65-0.9,10),IF(AND(38718&lt;F6,F6&lt;38899),VLOOKUP(F6-1,$C$72:$D$84,2,TRUE)+M66+N66+M65,IF(AND(38898&lt;F6,F6&lt;39084),CEILING(J65*3%+J65-0.9,10),IF(AND(39083&lt;F6,F6&lt;39264),VLOOKUP(F6-1,$C$72:$D$84,2,TRUE)+M66+N66+M65,IF(AND(39263&lt;F6,F6&lt;39449),CEILING(J65*3%+J65-0.9,10),IF(AND(39448&lt;F6,F6&lt;39630),VLOOKUP(F6-1,$C$72:$D$84,2,TRUE)+M66+N66+M65,IF(AND(39629&lt;F6,F6&lt;39815),CEILING(J65*3%+J65-0.9,10),IF(AND(39814&lt;F6,F6&lt;39995),VLOOKUP(F6-1,$C$72:$D$84,2,TRUE)+M66+N66+M65,IF(AND(39994&lt;F6,F6&lt;40180),CEILING(J65*3%+J65-0.9,10),IF(AND(40179&lt;F6,F6&lt;40360),VLOOKUP(F6-1,$C$72:$D$84,2,TRUE)+M66+N66+M65,IF(AND(40359&lt;F6,F6&lt;40545),CEILING(J65*3%+J65-0.9,10),IF(AND(40544&lt;F6,F6&lt;40725),VLOOKUP(F6-1,$C$72:$D$84,2,TRUE)+M66+N66+M65,IF(AND(40724&lt;F6,F6&lt;40910),CEILING(J65*3%+J65-0.9,10),IF(AND(40909&lt;F6,F6&lt;41091),VLOOKUP(F6-1,$C$72:$D$84,2,TRUE)+M66+N66+M65,IF(AND(41090&lt;F6,F6&lt;41276),CEILING(J65*3%+J65-0.9,10),IF(AND(41275&lt;F6,F6&lt;41456),VLOOKUP(F6-1,$C$72:$D$84,2,TRUE)+M66+N66+M65,IF(AND(41455&lt;F6,F6&lt;41641),CEILING(J65*3%+J65-0.9,10),IF(AND(41640&lt;F6,F6&lt;41821),VLOOKUP(F6-1,$C$72:$D$84,2,TRUE)+M66+N66+M65,IF(AND(41820&lt;F6,F6&lt;42006),CEILING(J65*3%+J65-0.9,10),IF(AND(42005&lt;F6,F6&lt;42186),VLOOKUP(F6-1,$C$72:$D$84,2,TRUE)+M66+N66+M65,IF(AND(42185&lt;F6,F6&lt;42371),CEILING(J65*3%+J65-0.9,10),IF(AND(42370&lt;F6,F6&lt;42552),VLOOKUP(F6-1,$C$72:$D$84,2,TRUE)+M66+N66+M65,IF(AND(42551&lt;F6,F6&lt;42826),"",IF(AND(F6&gt;$C$84,F6&lt;$C$87),CEILING(J65*3%+J65,10),IF(OR(F6&gt;$C$87,F6&lt;$C$95),MROUND(J65*3%+J65,100))))))))))))))))))))))))))))))</f>
        <v/>
      </c>
      <c r="K66" s="858" t="str">
        <f>IF(OR(I66&lt;$C$72,I66&gt;$C$95,I66=""),"","("&amp;IF(F6=38718,J65&amp;"+"&amp;CEILING(J65*3%-0.9,10),IF(AND(38718&lt;F6,F6&lt;38899),VLOOKUP(F6-1,$C$72:$D$94,2,TRUE)&amp;"+"&amp;M66&amp;"+"&amp;N66&amp;"+"&amp;M65,IF(AND(38898&lt;F6,F6&lt;39084),J65&amp;"+"&amp;CEILING(J65*3%-0.9,10),IF(AND(39083&lt;F6,F6&lt;39264),VLOOKUP(F6-1,$C$72:$D$94,2,TRUE)&amp;"+"&amp;M66&amp;"+"&amp;N66&amp;"+"&amp;M65,IF(AND(39263&lt;F6,F6&lt;39449),J65&amp;"+"&amp;CEILING(J65*3%-0.9,10),IF(AND(39448&lt;F6,F6&lt;39630),VLOOKUP(F6-1,$C$72:$D$94,2,TRUE)&amp;"+"&amp;M66&amp;"+"&amp;N66&amp;"+"&amp;M65,IF(AND(39629&lt;F6,F6&lt;39815),J65&amp;"+"&amp;CEILING(J65*3%-0.9,10),IF(AND(39814&lt;F6,F6&lt;39995),VLOOKUP(F6-1,$C$72:$D$94,2,TRUE)&amp;"+"&amp;M66&amp;"+"&amp;N66&amp;"+"&amp;M65,IF(AND(39994&lt;F6,F6&lt;40180),J65&amp;"+"&amp;CEILING(J65*3%-0.9,10),IF(AND(40179&lt;F6,F6&lt;40360),VLOOKUP(F6-1,$C$72:$D$94,2,TRUE)&amp;"+"&amp;M66&amp;"+"&amp;N66&amp;"+"&amp;M65,IF(AND(40359&lt;F6,F6&lt;40545),J65&amp;"+"&amp;CEILING(J65*3%-0.9,10),IF(AND(40544&lt;F6,F6&lt;40725),VLOOKUP(F6-1,$C$72:$D$94,2,TRUE)&amp;"+"&amp;M66&amp;"+"&amp;N66&amp;"+"&amp;M65,IF(AND(40724&lt;F6,F6&lt;40910),J65&amp;"+"&amp;CEILING(J65*3%-0.9,10),IF(AND(40909&lt;F6,F6&lt;41091),VLOOKUP(F6-1,$C$72:$D$94,2,TRUE)&amp;"+"&amp;M66&amp;"+"&amp;N66&amp;"+"&amp;M65,IF(AND(41090&lt;F6,F6&lt;41276),J65&amp;"+"&amp;CEILING(J65*3%-0.9,10),IF(AND(41275&lt;F6,F6&lt;41456),VLOOKUP(F6-1,$C$72:$D$94,2,TRUE)&amp;"+"&amp;M66&amp;"+"&amp;N66&amp;"+"&amp;M65,IF(AND(41455&lt;F6,F6&lt;41641),J65&amp;"+"&amp;CEILING(J65*3%-0.9,10),IF(AND(41640&lt;F6,F6&lt;41821),VLOOKUP(F6-1,$C$72:$D$94,2,TRUE)&amp;"+"&amp;M66&amp;"+"&amp;N66&amp;"+"&amp;M65,IF(AND(41820&lt;F6,F6&lt;42006),J65&amp;"+"&amp;CEILING(J65*3%-0.9,10),IF(AND(42005&lt;F6,F6&lt;42186),VLOOKUP(F6-1,$C$72:$D$94,2,TRUE)&amp;"+"&amp;M66&amp;"+"&amp;N66&amp;"+"&amp;M65,IF(AND(42185&lt;F6,F6&lt;42371),J65&amp;"+"&amp;CEILING(J65*3%-0.9,10),IF(AND(42370&lt;F6,F6&lt;42552),VLOOKUP(F6-1,$C$72:$D$94,2,TRUE)&amp;"+"&amp;M66&amp;"+"&amp;N66&amp;"+"&amp;M65,IF(AND(42551&lt;F6,F6&lt;42826),"",)))))))))))))))))))))))&amp;")")</f>
        <v/>
      </c>
      <c r="L66" s="859"/>
      <c r="M66" s="798">
        <f>IF(AND(38718&lt;F6,F6&lt;38899),CEILING(VLOOKUP(F6-1,$C$72:$D$94,2,TRUE)*3%-0.9,10),IF(AND(39083&lt;F6,F6&lt;39264),CEILING(VLOOKUP(F6-1,$C$72:$D$94,2,TRUE)*3%-0.9,10),IF(AND(39448&lt;F6,F6&lt;39630),CEILING(VLOOKUP(F6-1,$C$72:$D$94,2,TRUE)*3%-0.9,10),IF(AND(39814&lt;F6,F6&lt;39995),CEILING(VLOOKUP(F6-1,$C$72:$D$94,2,TRUE)*3%-0.9,10),IF(AND(40179&lt;F6,F6&lt;40360),CEILING(VLOOKUP(F6-1,$C$72:$D$94,2,TRUE)*3%-0.9,10),IF(AND(40544&lt;F6,F6&lt;40725),CEILING(VLOOKUP(F6-1,$C$72:$D$94,2,TRUE)*3%-0.9,10),IF(AND(40909&lt;F6,F6&lt;41091),CEILING(VLOOKUP(F6-1,$C$72:$D$94,2,TRUE)*3%-0.9,10),IF(AND(41275&lt;F6,F6&lt;41456),CEILING(VLOOKUP(F6-1,$C$72:$D$94,2,TRUE)*3%-0.9,10),IF(AND(41640&lt;F6,F6&lt;41821),CEILING(VLOOKUP(F6-1,$C$72:$D$94,2,TRUE)*3%-0.9,10),IF(AND(42005&lt;F6,F6&lt;42186),CEILING(VLOOKUP(F6-1,$C$72:$D$94,2,TRUE)*3%-0.9,10),IF(AND(42370&lt;F6,F6&lt;42552),CEILING(VLOOKUP(F6-1,$C$72:$D$94,2,TRUE)*3%-0.9,10),)))))))))))</f>
        <v>0</v>
      </c>
      <c r="N66" s="799">
        <f>IF(AND(38718&lt;F6,F6&lt;38899),CEILING((VLOOKUP(F6-1,$C$72:$D$94,2,TRUE)+M66)*3%-0.9,10),IF(AND(39083&lt;F6,F6&lt;39264),CEILING((VLOOKUP(F6-1,$C$72:$D$94,2,TRUE)+M66)*3%-0.9,10),IF(AND(39448&lt;F6,F6&lt;39630),CEILING((VLOOKUP(F6-1,$C$72:$D$94,2,TRUE)+M66)*3%-0.9,10),IF(AND(39814&lt;F6,F6&lt;39995),CEILING((VLOOKUP(F6-1,$C$72:$D$94,2,TRUE)+M66)*3%-0.9,10),IF(AND(40179&lt;F6,F6&lt;40360),CEILING((VLOOKUP(F6-1,$C$72:$D$94,2,TRUE)+M66)*3%-0.9,10),IF(AND(40544&lt;F6,F6&lt;40725),CEILING((VLOOKUP(F6-1,$C$72:$D$94,2,TRUE)+M66)*3%-0.9,10),IF(AND(40909&lt;F6,F6&lt;41091),CEILING((VLOOKUP(F6-1,$C$72:$D$94,2,TRUE)+M66)*3%-0.9,10),IF(AND(41275&lt;F6,F6&lt;41456),CEILING((VLOOKUP(F6-1,$C$72:$D$94,2,TRUE)+M66)*3%-0.9,10),IF(AND(41640&lt;F6,F6&lt;41821),CEILING((VLOOKUP(F6-1,$C$72:$D$94,2,TRUE)+M66)*3%-0.9,10),IF(AND(42005&lt;F6,F6&lt;42186),CEILING((VLOOKUP(F6-1,$C$72:$D$94,2,TRUE)+M66)*3%-0.9,10),IF(AND(42370&lt;F6,F6&lt;42552),CEILING((VLOOKUP(F6-1,$C$72:$D$94,2,TRUE)+M66)*3%-0.9,10),)))))))))))</f>
        <v>0</v>
      </c>
      <c r="O66" s="815"/>
      <c r="P66" s="822" t="str">
        <f>IF(I65="",P65,"")</f>
        <v/>
      </c>
      <c r="Q66" s="904"/>
    </row>
    <row r="67" spans="2:20" ht="16.5" customHeight="1" x14ac:dyDescent="0.25">
      <c r="B67" s="819" t="s">
        <v>60</v>
      </c>
      <c r="C67" s="819"/>
      <c r="D67" s="371">
        <f>D63+D64+D65+D66</f>
        <v>3310</v>
      </c>
      <c r="E67" s="817" t="str">
        <f ca="1">IF(F6="","",IF(F6&gt;$C$10,"",E6&amp;" on "&amp;TEXT(F6,"dd-mm-yyyy")&amp;" (after "&amp;YEAR(F6)-YEAR($C$9)&amp;" years)"))</f>
        <v>CAS-2 on 05-03-2004 (after 17 years)</v>
      </c>
      <c r="F67" s="817"/>
      <c r="H67" s="421" t="str">
        <f>IF($I$67="","",IF(OR(ISNUMBER(SEARCH("Grad",$E$7)),ISNUMBER(SEARCH("CAS",$E$7))),"ACP-3",$E$7))</f>
        <v>ACP-3</v>
      </c>
      <c r="I67" s="585">
        <f>IF(AND(F7&gt;38718,F7&lt;42826),F7,IF(AND(F7&gt;42825,F7&lt;43282,$L$73=TRUE),F7,""))</f>
        <v>40973</v>
      </c>
      <c r="J67" s="647">
        <f>IF(I67="","",IF(F7&lt;35065,J17,IF(AND(F7&gt;35065,F7&lt;38718),J25,IF(F7=38718,CEILING(($D$69+$D$70)*3%+$D$69+$D$70+M67-0.9,10),IF(AND(38718&lt;F7,F7&lt;38899),VLOOKUP(F7-1,$C$72:$D$94,2,TRUE)+M67,IF(AND(38898&lt;F7,F7&lt;39084),CEILING(VLOOKUP(F7-1,$C$72:$D$94,2,TRUE)*3%+VLOOKUP(F7-1,$C$72:$D$94,2,TRUE)+M67-0.9,10),IF(AND(39083&lt;F7,F7&lt;39264),VLOOKUP(F7-1,$C$72:$D$94,2,TRUE)+M67,IF(AND(39263&lt;F7,F7&lt;39449),CEILING(VLOOKUP(F7-1,$C$72:$D$94,2,TRUE)*3%+VLOOKUP(F7-1,$C$72:$D$94,2,TRUE)+M67-0.9,10),IF(AND(39448&lt;F7,F7&lt;39630),VLOOKUP(F7-1,$C$72:$D$94,2,TRUE)+M67,IF(AND(39629&lt;F7,F7&lt;39815),CEILING(VLOOKUP(F7-1,$C$72:$D$94,2,TRUE)*3%+VLOOKUP(F7-1,$C$72:$D$94,2,TRUE)+M67-0.9,10),IF(AND(39814&lt;F7,F7&lt;39995),VLOOKUP(F7-1,$C$72:$D$94,2,TRUE)+M67,IF(AND(39994&lt;F7,F7&lt;40180),CEILING(VLOOKUP(F7-1,$C$72:$D$94,2,TRUE)*3%+VLOOKUP(F7-1,$C$72:$D$94,2,TRUE)+M67-0.9,10),IF(AND(40179&lt;F7,F7&lt;40360),VLOOKUP(F7-1,$C$72:$D$94,2,TRUE)+M67,IF(AND(40359&lt;F7,F7&lt;40545),CEILING(VLOOKUP(F7-1,$C$72:$D$94,2,TRUE)*3%+VLOOKUP(F7-1,$C$72:$D$94,2,TRUE)+M67-0.9,10),IF(AND(40544&lt;F7,F7&lt;40725),VLOOKUP(F7-1,$C$72:$D$94,2,TRUE)+M67,IF(AND(40724&lt;F7,F7&lt;40910),CEILING(VLOOKUP(F7-1,$C$72:$D$94,2,TRUE)*3%+VLOOKUP(F7-1,$C$72:$D$94,2,TRUE)+M67-0.9,10),IF(AND(40909&lt;F7,F7&lt;41091),VLOOKUP(F7-1,$C$72:$D$94,2,TRUE)+M67,IF(AND(41090&lt;F7,F7&lt;41276),CEILING(VLOOKUP(F7-1,$C$72:$D$94,2,TRUE)*3%+VLOOKUP(F7-1,$C$72:$D$94,2,TRUE)+M67-0.9,10),IF(AND(41275&lt;F7,F7&lt;41456),VLOOKUP(F7-1,$C$72:$D$94,2,TRUE)+M67,IF(AND(41455&lt;F7,F7&lt;41641),CEILING(VLOOKUP(F7-1,$C$72:$D$94,2,TRUE)*3%+VLOOKUP(F7-1,$C$72:$D$94,2,TRUE)+M67-0.9,10),IF(AND(41640&lt;F7,F7&lt;41821),VLOOKUP(F7-1,$C$72:$D$94,2,TRUE)+M67,IF(AND(41820&lt;F7,F7&lt;42006),CEILING(VLOOKUP(F7-1,$C$72:$D$94,2,TRUE)*3%+VLOOKUP(F7-1,$C$72:$D$94,2,TRUE)+M67-0.9,10),IF(AND(42005&lt;F7,F7&lt;42186),VLOOKUP(F7-1,$C$72:$D$94,2,TRUE)+M67,IF(AND(42185&lt;F7,F7&lt;42371),CEILING(VLOOKUP(F7-1,$C$72:$D$94,2,TRUE)*3%+VLOOKUP(F7-1,$C$72:$D$94,2,TRUE)+M67-0.9,10),IF(AND(42370&lt;F7,F7&lt;42552),VLOOKUP(F7-1,$C$72:$D$94,2,TRUE)+M67,IF(AND(42552&lt;F7,F7&lt;42826),CEILING(VLOOKUP(F7-1,$C$72:$D$94,2,TRUE)*3%+VLOOKUP(F7-1,$C$72:$D$94,2,TRUE)+M67-0.9,10),IF(AND(42826&lt;F7,F7&lt;42917,$L$73=TRUE),CEILING(CEILING(D82*3%+D82-0.9,10)*3%+CEILING(D82*3%+D82-0.9,10)+M67-0.9,10))))))))))))))))))))))))))))</f>
        <v>9630</v>
      </c>
      <c r="K67" s="910" t="str">
        <f>IF(OR(I67&lt;$C$72,I67&gt;$C$95),"",IF(F7&lt;35065,K17,IF(AND(F7&gt;35065,F7&lt;38718),K25,"("&amp;IF(F7=38718,$D$69+$D$70&amp;"+"&amp;CEILING(($D$69+$D$70)*3%-0.9,10)&amp;"+"&amp;M67,IF(AND(38718&lt;F7,F7&lt;38899),VLOOKUP(F7-1,$C$72:$D$94,2,TRUE)&amp;"+"&amp;M67,IF(AND(38898&lt;F7,F7&lt;39084),VLOOKUP(F7-1,$C$72:$D$94,2,TRUE)&amp;"+"&amp;CEILING(VLOOKUP(F7-1,$C$72:$D$94,2,TRUE)*3%-0.9,10)&amp;"+"&amp;M67,IF(AND(39083&lt;F7,F7&lt;39264),VLOOKUP(F7-1,$C$72:$D$94,2,TRUE)&amp;"+"&amp;M67,IF(AND(39263&lt;F7,F7&lt;39449),VLOOKUP(F7-1,$C$72:$D$94,2,TRUE)&amp;"+"&amp;CEILING(VLOOKUP(F7-1,$C$72:$D$94,2,TRUE)*3%-0.9,10)&amp;"+"&amp;M67,IF(AND(39448&lt;F7,F7&lt;39630),VLOOKUP(F7-1,$C$72:$D$94,2,TRUE)&amp;"+"&amp;M67,IF(AND(39629&lt;F7,F7&lt;39815),VLOOKUP(F7-1,$C$72:$D$94,2,TRUE)&amp;"+"&amp;CEILING(VLOOKUP(F7-1,$C$72:$D$94,2,TRUE)*3%-0.9,10)&amp;"+"&amp;M67,IF(AND(39814&lt;F7,F7&lt;39995),VLOOKUP(F7-1,$C$72:$D$94,2,TRUE)&amp;"+"&amp;M67,IF(AND(39994&lt;F7,F7&lt;40180),VLOOKUP(F7-1,$C$72:$D$94,2,TRUE)&amp;"+"&amp;CEILING(VLOOKUP(F7-1,$C$72:$D$94,2,TRUE)*3%-0.9,10)&amp;"+"&amp;M67,IF(AND(40179&lt;F7,F7&lt;40360),VLOOKUP(F7-1,$C$72:$D$94,2,TRUE)&amp;"+"&amp;M67,IF(AND(40359&lt;F7,F7&lt;40545),VLOOKUP(F7-1,$C$72:$D$94,2,TRUE)&amp;"+"&amp;CEILING(VLOOKUP(F7-1,$C$72:$D$94,2,TRUE)*3%-0.9,10)&amp;"+"&amp;M67,IF(AND(40544&lt;F7,F7&lt;40725),VLOOKUP(F7-1,$C$72:$D$94,2,TRUE)&amp;"+"&amp;M67,IF(AND(40724&lt;F7,F7&lt;40910),VLOOKUP(F7-1,$C$72:$D$94,2,TRUE)&amp;"+"&amp;CEILING(VLOOKUP(F7-1,$C$72:$D$94,2,TRUE)*3%-0.9,10)&amp;"+"&amp;M67,IF(AND(40909&lt;F7,F7&lt;41091),VLOOKUP(F7-1,$C$72:$D$94,2,TRUE)&amp;"+"&amp;M67,IF(AND(41090&lt;F7,F7&lt;41276),VLOOKUP(F7-1,$C$72:$D$94,2,TRUE)&amp;"+"&amp;CEILING(VLOOKUP(F7-1,$C$72:$D$94,2,TRUE)*3%-0.9,10)&amp;"+"&amp;M67,IF(AND(41275&lt;F7,F7&lt;41456),VLOOKUP(F7-1,$C$72:$D$94,2,TRUE)&amp;"+"&amp;M67,IF(AND(41455&lt;F7,F7&lt;41641),VLOOKUP(F7-1,$C$72:$D$94,2,TRUE)&amp;"+"&amp;CEILING(VLOOKUP(F7-1,$C$72:$D$94,2,TRUE)*3%-0.9,10)&amp;"+"&amp;M67,IF(AND(41640&lt;F7,F7&lt;41821),VLOOKUP(F7-1,$C$72:$D$94,2,TRUE)&amp;"+"&amp;M67,IF(AND(41821&lt;F7,F7&lt;42005),VLOOKUP(F7-1,$C$72:$D$94,2,TRUE)&amp;"+"&amp;CEILING(VLOOKUP(F7-1,$C$72:$D$94,2,TRUE)*3%-0.9,10)&amp;"+"&amp;M67,IF(AND(42005&lt;F7,F7&lt;42186),VLOOKUP(F7-1,$C$72:$D$94,2,TRUE)&amp;"+"&amp;M67,IF(AND(42186&lt;F7,F7&lt;42370),VLOOKUP(F7-1,$C$72:$D$94,2,TRUE)&amp;"+"&amp;CEILING(VLOOKUP(F7-1,$C$72:$D$94,2,TRUE)*3%-0.9,10)&amp;"+"&amp;M67,IF(AND(42370&lt;F7,F7&lt;42552),VLOOKUP(F7-1,$C$72:$D$94,2,TRUE)&amp;"+"&amp;M67,IF(AND(42551&lt;F7,F7&lt;42826),VLOOKUP(F7-1,$C$72:$D$94,2,TRUE)&amp;"+"&amp;CEILING(VLOOKUP(F7-1,$C$72:$D$94,2,TRUE)*3%-0.9,10)&amp;"+"&amp;M67,IF(AND(42826&lt;F7,F7&lt;42917,$L$73=TRUE),$D$83&amp;"+"&amp;CEILING($D$83*3%-0.9,10)&amp;"+"&amp;M67,)))))))))))))))))))))))))&amp;")"))</f>
        <v>(9530+100)</v>
      </c>
      <c r="L67" s="911"/>
      <c r="M67" s="812">
        <f>O67-O65</f>
        <v>100</v>
      </c>
      <c r="N67" s="813"/>
      <c r="O67" s="814" cm="1">
        <f t="array" ref="O67">IF(OR(F7&lt;$C$72,AND(F7&gt;42825,$L$73=FALSE),I67=""),O65,INDEX('Pay Scales'!$N$133:$N$152,MATCH(O65,'Pay Scales'!$N$133:$N$152,0)+1,1))</f>
        <v>1900</v>
      </c>
      <c r="P67" s="905" t="str">
        <f>IF(I67="","",IF(AND($F$7&gt;$C$84,$L$73=FALSE),"",IF($F$7&lt;35065,$R$17,IF(AND($F$7&gt;35064,$F$7&lt;$C$72),$R$25,"(Grade Pay = "&amp;TEXT($O$67,"₹#,##0;")&amp;")"))))</f>
        <v>(Grade Pay = ₹1,900)</v>
      </c>
      <c r="Q67" s="906"/>
    </row>
    <row r="68" spans="2:20" ht="16.5" customHeight="1" thickBot="1" x14ac:dyDescent="0.3">
      <c r="B68" s="819" t="str">
        <f>"(Total Pay "&amp;TEXT(D67,"₹#,##0;")&amp;" × 1.86)"</f>
        <v>(Total Pay ₹3,310 × 1.86)</v>
      </c>
      <c r="C68" s="819"/>
      <c r="D68" s="371">
        <f>D67*1.86</f>
        <v>6156.6</v>
      </c>
      <c r="E68" s="817" t="str">
        <f>IF(F6="","",IF(OR(F7&gt;$C$10,F7=""),"",E7&amp;" on "&amp;TEXT(F7,"dd-mm-yyyy")&amp;" (after "&amp;YEAR(F7)-YEAR($C$9)&amp;" years)"))</f>
        <v>ACP-3 on 05-03-2012 (after 25 years)</v>
      </c>
      <c r="F68" s="817"/>
      <c r="H68" s="439" t="str">
        <f>IF(H67="",IF(AND($F$7&gt;42826,$F$7&lt;$C$10,MONTH($F$7)&lt;7,$L$73=TRUE),$E$7,""),"")</f>
        <v/>
      </c>
      <c r="I68" s="586" cm="1">
        <f t="array" ref="I68">IF(OR($F$7="",$F$7&lt;$C$72,$F$7&gt;$C$95,$F$7&gt;42825),"",IF(OR(IF(OR($F$7&lt;$C$72,$F$7&gt;$C$95),"",INDEX($C$72:$C$94,1+MATCH($F$7,$C$72:$C$94,1)))=$C$84,IF(OR($F$7&lt;$C$72,$F$7&gt;$C$95),"",INDEX($C$72:$C$94,1+MATCH($F$7,$C$72:$C$94,1)))=$C$87),"",IF($F$7&lt;35065,$I$16,IF(AND($F$7&gt;$C$48,$F$7&lt;$C$63),$I$24,IF(AND($F$7&gt;38717,MONTH($F$7)=1,DAY($F$7)=1),EDATE($F$7,6),IF(AND($F$7&gt;$C$72,$F$7&lt;$C$84),INDEX($C$72:$C$94,1+MATCH($F$7,$C$72:$C$94,1)),IF(AND($F$7&gt;$C$84,$F$7&lt;$C$87,$L$73=TRUE),INDEX($C$84:$C$87,1+MATCH($F$7,$C$84:$C$87,1)),(IF(MONTH($F$7)&gt;6,DATE(YEAR($F$7)+1,7,1),IF(AND($F$7&gt;$C$87,$F$7&lt;$C$95),IF(AND($L$73=TRUE,$F$7&lt;45231),INDEX($C$87:$C$94,1+MATCH($F$7,$C$87:$C$94,1)),(IF(MONTH($F$7)&gt;6,DATE(YEAR($F$7)+1,7,1),DATE(YEAR($F$7)+1,1,1))))))))))))))</f>
        <v>41091</v>
      </c>
      <c r="J68" s="648">
        <f>IF(I68="","",IF(F7&lt;35065,J18,IF(AND(F7&gt;35065,F7&lt;38718),J26,IF(F7&lt;$C$72,0,IF(F7=38718,CEILING(J67*3%+J67-0.9,10),IF(AND(38718&lt;F7,F7&lt;38899),VLOOKUP(F7-1,$C$72:$D$84,2,TRUE)+M68+N68+M67,IF(AND(38898&lt;F7,F7&lt;39084),CEILING(J67*3%+J67-0.9,10),IF(AND(39083&lt;F7,F7&lt;39264),VLOOKUP(F7-1,$C$72:$D$84,2,TRUE)+M68+N68+M67,IF(AND(39263&lt;F7,F7&lt;39449),CEILING(J67*3%+J67-0.9,10),IF(AND(39448&lt;F7,F7&lt;39630),VLOOKUP(F7-1,$C$72:$D$84,2,TRUE)+M68+N68+M67,IF(AND(39629&lt;F7,F7&lt;39815),CEILING(J67*3%+J67-0.9,10),IF(AND(39814&lt;F7,F7&lt;39995),VLOOKUP(F7-1,$C$72:$D$84,2,TRUE)+M68+N68+M67,IF(AND(39994&lt;F7,F7&lt;40180),CEILING(J67*3%+J67-0.9,10),IF(AND(40179&lt;F7,F7&lt;40360),VLOOKUP(F7-1,$C$72:$D$84,2,TRUE)+M68+N68+M67,IF(AND(40359&lt;F7,F7&lt;40545),CEILING(J67*3%+J67-0.9,10),IF(AND(40544&lt;F7,F7&lt;40725),VLOOKUP(F7-1,$C$72:$D$84,2,TRUE)+M68+N68+M67,IF(AND(40724&lt;F7,F7&lt;40910),CEILING(J67*3%+J67-0.9,10),IF(AND(40909&lt;F7,F7&lt;41091),VLOOKUP(F7-1,$C$72:$D$84,2,TRUE)+M68+N68+M67,IF(AND(41090&lt;F7,F7&lt;41276),CEILING(J67*3%+J67-0.9,10),IF(AND(41275&lt;F7,F7&lt;41456),VLOOKUP(F7-1,$C$72:$D$84,2,TRUE)+M68+N68+M67,IF(AND(41455&lt;F7,F7&lt;41641),CEILING(J67*3%+J67-0.9,10),IF(AND(41640&lt;F7,F7&lt;41821),VLOOKUP(F7-1,$C$72:$D$84,2,TRUE)+M68+N68+M67,IF(AND(41820&lt;F7,F7&lt;42006),CEILING(J67*3%+J67-0.9,10),IF(AND(42005&lt;F7,F7&lt;42186),VLOOKUP(F7-1,$C$72:$D$84,2,TRUE)+M68+N68+M67,IF(AND(42185&lt;F7,F7&lt;42371),CEILING(J67*3%+J67-0.9,10),IF(AND(42370&lt;F7,F7&lt;42552),VLOOKUP(F7-1,$C$72:$D$84,2,TRUE)+M68+N68+M67,IF(AND(42551&lt;F7,F7&lt;42826),"",IF(AND(F7&gt;$C$84,F7&lt;$C$87),CEILING(J67*3%+J67,10),IF(OR(F7&gt;$C$87,F7&lt;$C$95),MROUND(J67*3%+J67,100))))))))))))))))))))))))))))))</f>
        <v>10220</v>
      </c>
      <c r="K68" s="858" t="str">
        <f>IF(OR(I68&lt;$C$72,I68&gt;$C$95,I68=""),"","("&amp;IF(F7=38718,J67&amp;"+"&amp;CEILING(J67*3%-0.9,10),IF(AND(38718&lt;F7,F7&lt;38899),VLOOKUP(F7-1,$C$72:$D$94,2,TRUE)&amp;"+"&amp;M68&amp;"+"&amp;N68&amp;"+"&amp;M67,IF(AND(38898&lt;F7,F7&lt;39084),J67&amp;"+"&amp;CEILING(J67*3%-0.9,10),IF(AND(39083&lt;F7,F7&lt;39264),VLOOKUP(F7-1,$C$72:$D$94,2,TRUE)&amp;"+"&amp;M68&amp;"+"&amp;N68&amp;"+"&amp;M67,IF(AND(39263&lt;F7,F7&lt;39449),J67&amp;"+"&amp;CEILING(J67*3%-0.9,10),IF(AND(39448&lt;F7,F7&lt;39630),VLOOKUP(F7-1,$C$72:$D$94,2,TRUE)&amp;"+"&amp;M68&amp;"+"&amp;N68&amp;"+"&amp;M67,IF(AND(39629&lt;F7,F7&lt;39815),J67&amp;"+"&amp;CEILING(J67*3%-0.9,10),IF(AND(39814&lt;F7,F7&lt;39995),VLOOKUP(F7-1,$C$72:$D$94,2,TRUE)&amp;"+"&amp;M68&amp;"+"&amp;N68&amp;"+"&amp;M67,IF(AND(39994&lt;F7,F7&lt;40180),J67&amp;"+"&amp;CEILING(J67*3%-0.9,10),IF(AND(40179&lt;F7,F7&lt;40360),VLOOKUP(F7-1,$C$72:$D$94,2,TRUE)&amp;"+"&amp;M68&amp;"+"&amp;N68&amp;"+"&amp;M67,IF(AND(40359&lt;F7,F7&lt;40545),J67&amp;"+"&amp;CEILING(J67*3%-0.9,10),IF(AND(40544&lt;F7,F7&lt;40725),VLOOKUP(F7-1,$C$72:$D$94,2,TRUE)&amp;"+"&amp;M68&amp;"+"&amp;N68&amp;"+"&amp;M67,IF(AND(40724&lt;F7,F7&lt;40910),J67&amp;"+"&amp;CEILING(J67*3%-0.9,10),IF(AND(40909&lt;F7,F7&lt;41091),VLOOKUP(F7-1,$C$72:$D$94,2,TRUE)&amp;"+"&amp;M68&amp;"+"&amp;N68&amp;"+"&amp;M67,IF(AND(41090&lt;F7,F7&lt;41276),J67&amp;"+"&amp;CEILING(J67*3%-0.9,10),IF(AND(41275&lt;F7,F7&lt;41456),VLOOKUP(F7-1,$C$72:$D$94,2,TRUE)&amp;"+"&amp;M68&amp;"+"&amp;N68&amp;"+"&amp;M67,IF(AND(41455&lt;F7,F7&lt;41641),J67&amp;"+"&amp;CEILING(J67*3%-0.9,10),IF(AND(41640&lt;F7,F7&lt;41821),VLOOKUP(F7-1,$C$72:$D$94,2,TRUE)&amp;"+"&amp;M68&amp;"+"&amp;N68&amp;"+"&amp;M67,IF(AND(41820&lt;F7,F7&lt;42006),J67&amp;"+"&amp;CEILING(J67*3%-0.9,10),IF(AND(42005&lt;F7,F7&lt;42186),VLOOKUP(F7-1,$C$72:$D$94,2,TRUE)&amp;"+"&amp;M68&amp;"+"&amp;N68&amp;"+"&amp;M67,IF(AND(42185&lt;F7,F7&lt;42371),J67&amp;"+"&amp;CEILING(J67*3%-0.9,10),IF(AND(42370&lt;F7,F7&lt;42552),VLOOKUP(F7-1,$C$72:$D$94,2,TRUE)&amp;"+"&amp;M68&amp;"+"&amp;N68&amp;"+"&amp;M67,IF(AND(42551&lt;F7,F7&lt;42826),"",)))))))))))))))))))))))&amp;")")</f>
        <v>(9530+290+300+100)</v>
      </c>
      <c r="L68" s="859"/>
      <c r="M68" s="796">
        <f>IF(AND(38718&lt;F7,F7&lt;38899),CEILING(VLOOKUP(F7-1,$C$72:$D$94,2,TRUE)*3%-0.9,10),IF(AND(39083&lt;F7,F7&lt;39264),CEILING(VLOOKUP(F7-1,$C$72:$D$94,2,TRUE)*3%-0.9,10),IF(AND(39448&lt;F7,F7&lt;39630),CEILING(VLOOKUP(F7-1,$C$72:$D$94,2,TRUE)*3%-0.9,10),IF(AND(39814&lt;F7,F7&lt;39995),CEILING(VLOOKUP(F7-1,$C$72:$D$94,2,TRUE)*3%-0.9,10),IF(AND(40179&lt;F7,F7&lt;40360),CEILING(VLOOKUP(F7-1,$C$72:$D$94,2,TRUE)*3%-0.9,10),IF(AND(40544&lt;F7,F7&lt;40725),CEILING(VLOOKUP(F7-1,$C$72:$D$94,2,TRUE)*3%-0.9,10),IF(AND(40909&lt;F7,F7&lt;41091),CEILING(VLOOKUP(F7-1,$C$72:$D$94,2,TRUE)*3%-0.9,10),IF(AND(41275&lt;F7,F7&lt;41456),CEILING(VLOOKUP(F7-1,$C$72:$D$94,2,TRUE)*3%-0.9,10),IF(AND(41640&lt;F7,F7&lt;41821),CEILING(VLOOKUP(F7-1,$C$72:$D$94,2,TRUE)*3%-0.9,10),IF(AND(42005&lt;F7,F7&lt;42186),CEILING(VLOOKUP(F7-1,$C$72:$D$94,2,TRUE)*3%-0.9,10),IF(AND(42370&lt;F7,F7&lt;42552),CEILING(VLOOKUP(F7-1,$C$72:$D$94,2,TRUE)*3%-0.9,10),)))))))))))</f>
        <v>290</v>
      </c>
      <c r="N68" s="797">
        <f>IF(AND(38718&lt;F7,F7&lt;38899),CEILING((VLOOKUP(F7-1,$C$72:$D$94,2,TRUE)+M68)*3%-0.9,10),IF(AND(39083&lt;F7,F7&lt;39264),CEILING((VLOOKUP(F7-1,$C$72:$D$94,2,TRUE)+M68)*3%-0.9,10),IF(AND(39448&lt;F7,F7&lt;39630),CEILING((VLOOKUP(F7-1,$C$72:$D$94,2,TRUE)+M68)*3%-0.9,10),IF(AND(39814&lt;F7,F7&lt;39995),CEILING((VLOOKUP(F7-1,$C$72:$D$94,2,TRUE)+M68)*3%-0.9,10),IF(AND(40179&lt;F7,F7&lt;40360),CEILING((VLOOKUP(F7-1,$C$72:$D$94,2,TRUE)+M68)*3%-0.9,10),IF(AND(40544&lt;F7,F7&lt;40725),CEILING((VLOOKUP(F7-1,$C$72:$D$94,2,TRUE)+M68)*3%-0.9,10),IF(AND(40909&lt;F7,F7&lt;41091),CEILING((VLOOKUP(F7-1,$C$72:$D$94,2,TRUE)+M68)*3%-0.9,10),IF(AND(41275&lt;F7,F7&lt;41456),CEILING((VLOOKUP(F7-1,$C$72:$D$94,2,TRUE)+M68)*3%-0.9,10),IF(AND(41640&lt;F7,F7&lt;41821),CEILING((VLOOKUP(F7-1,$C$72:$D$94,2,TRUE)+M68)*3%-0.9,10),IF(AND(42005&lt;F7,F7&lt;42186),CEILING((VLOOKUP(F7-1,$C$72:$D$94,2,TRUE)+M68)*3%-0.9,10),IF(AND(42370&lt;F7,F7&lt;42552),CEILING((VLOOKUP(F7-1,$C$72:$D$94,2,TRUE)+M68)*3%-0.9,10),)))))))))))</f>
        <v>300</v>
      </c>
      <c r="O68" s="815"/>
      <c r="P68" s="822" t="str">
        <f>IF(I67="",P67,"")</f>
        <v/>
      </c>
      <c r="Q68" s="904"/>
    </row>
    <row r="69" spans="2:20" ht="16.5" customHeight="1" x14ac:dyDescent="0.25">
      <c r="B69" s="819" t="s">
        <v>61</v>
      </c>
      <c r="C69" s="819"/>
      <c r="D69" s="371">
        <f>CEILING(D68-0.9,10)</f>
        <v>6160</v>
      </c>
      <c r="E69" s="817" t="str">
        <f>IF(ISBLANK(E8),"",E8&amp;" on "&amp;TEXT(F8,"dd-mm-yyyy")&amp;" (after "&amp;YEAR(F8)-YEAR($C$9)&amp;" years)")</f>
        <v/>
      </c>
      <c r="F69" s="817"/>
      <c r="H69" s="421" t="str">
        <f>IF(ISBLANK($E$8),"",$E$8)</f>
        <v/>
      </c>
      <c r="I69" s="587" t="str">
        <f>IF(AND(F8&gt;38718,F8&lt;42826),F8,IF(AND(F8&gt;42825,F8&lt;43282,$L$73=TRUE),F8,""))</f>
        <v/>
      </c>
      <c r="J69" s="647" t="str">
        <f>IF(I69="","",IF(F8=38718,CEILING(($D$69+$D$70)*3%+$D$69+$D$70+M69-0.9,10),IF(AND(38718&lt;F8,F8&lt;38899),VLOOKUP(F8-1,$C$72:$D$94,2,TRUE)+M69,IF(AND(38898&lt;F8,F8&lt;39084),CEILING(VLOOKUP(F8-1,$C$72:$D$94,2,TRUE)*3%+VLOOKUP(F8-1,$C$72:$D$94,2,TRUE)+M69-0.9,10),IF(AND(39083&lt;F8,F8&lt;39264),VLOOKUP(F8-1,$C$72:$D$94,2,TRUE)+M69,IF(AND(39263&lt;F8,F8&lt;39449),CEILING(VLOOKUP(F8-1,$C$72:$D$94,2,TRUE)*3%+VLOOKUP(F8-1,$C$72:$D$94,2,TRUE)+M69-0.9,10),IF(AND(39448&lt;F8,F8&lt;39630),VLOOKUP(F8-1,$C$72:$D$94,2,TRUE)+M69,IF(AND(39629&lt;F8,F8&lt;39815),CEILING(VLOOKUP(F8-1,$C$72:$D$94,2,TRUE)*3%+VLOOKUP(F8-1,$C$72:$D$94,2,TRUE)+M69-0.9,10),IF(AND(39814&lt;F8,F8&lt;39995),VLOOKUP(F8-1,$C$72:$D$94,2,TRUE)+M69,IF(AND(39994&lt;F8,F8&lt;40180),CEILING(VLOOKUP(F8-1,$C$72:$D$94,2,TRUE)*3%+VLOOKUP(F8-1,$C$72:$D$94,2,TRUE)+M69-0.9,10),IF(AND(40179&lt;F8,F8&lt;40360),VLOOKUP(F8-1,$C$72:$D$94,2,TRUE)+M69,IF(AND(40359&lt;F8,F8&lt;40545),CEILING(VLOOKUP(F8-1,$C$72:$D$94,2,TRUE)*3%+VLOOKUP(F8-1,$C$72:$D$94,2,TRUE)+M69-0.9,10),IF(AND(40544&lt;F8,F8&lt;40725),VLOOKUP(F8-1,$C$72:$D$94,2,TRUE)+M69,IF(AND(40724&lt;F8,F8&lt;40910),CEILING(VLOOKUP(F8-1,$C$72:$D$94,2,TRUE)*3%+VLOOKUP(F8-1,$C$72:$D$94,2,TRUE)+M69-0.9,10),IF(AND(40909&lt;F8,F8&lt;41091),VLOOKUP(F8-1,$C$72:$D$94,2,TRUE)+M69,IF(AND(41090&lt;F8,F8&lt;41276),CEILING(VLOOKUP(F8-1,$C$72:$D$94,2,TRUE)*3%+VLOOKUP(F8-1,$C$72:$D$94,2,TRUE)+M69-0.9,10),IF(AND(41275&lt;F8,F8&lt;41456),VLOOKUP(F8-1,$C$72:$D$94,2,TRUE)+M69,IF(AND(41455&lt;F8,F8&lt;41641),CEILING(VLOOKUP(F8-1,$C$72:$D$94,2,TRUE)*3%+VLOOKUP(F8-1,$C$72:$D$94,2,TRUE)+M69-0.9,10),IF(AND(41640&lt;F8,F8&lt;41821),VLOOKUP(F8-1,$C$72:$D$94,2,TRUE)+M69,IF(AND(41820&lt;F8,F8&lt;42006),CEILING(VLOOKUP(F8-1,$C$72:$D$94,2,TRUE)*3%+VLOOKUP(F8-1,$C$72:$D$94,2,TRUE)+M69-0.9,10),IF(AND(42005&lt;F8,F8&lt;42186),VLOOKUP(F8-1,$C$72:$D$94,2,TRUE)+M69,IF(AND(42185&lt;F8,F8&lt;42371),CEILING(VLOOKUP(F8-1,$C$72:$D$94,2,TRUE)*3%+VLOOKUP(F8-1,$C$72:$D$94,2,TRUE)+M69-0.9,10),IF(AND(42370&lt;F8,F8&lt;42552),VLOOKUP(F8-1,$C$72:$D$94,2,TRUE)+M69,IF(AND(42551&lt;F8,F8&lt;$C$87),CEILING(VLOOKUP(F8-1,$C$72:$D$94,2,TRUE)*3%+VLOOKUP(F8-1,$C$72:$D$94,2,TRUE)+M69-0.9,10),IF(OR(F8&gt;$C$87,F8&lt;$C$95),MROUND(VLOOKUP(F8-1,$C$87:$D$94,2,TRUE)*3%+VLOOKUP(F8-1,$C$87:$D$94,2,TRUE),100))))))))))))))))))))))))))</f>
        <v/>
      </c>
      <c r="K69" s="910" t="str">
        <f>IF(OR(I69&lt;$C$72,I69&gt;$C$95),"",IF(F8&lt;35065,K19,IF(AND(F8&gt;35065,F8&lt;38718),K27,"("&amp;IF(F8=38718,$D$69+$D$70&amp;"+"&amp;CEILING(($D$69+$D$70)*3%-0.9,10)&amp;"+"&amp;M69,IF(AND(38718&lt;F8,F8&lt;38899),VLOOKUP(F8-1,$C$72:$D$94,2,TRUE)&amp;"+"&amp;M69,IF(AND(38898&lt;F8,F8&lt;39084),VLOOKUP(F8-1,$C$72:$D$94,2,TRUE)&amp;"+"&amp;CEILING(VLOOKUP(F8-1,$C$72:$D$94,2,TRUE)*3%-0.9,10)&amp;"+"&amp;M69,IF(AND(39083&lt;F8,F8&lt;39264),VLOOKUP(F8-1,$C$72:$D$94,2,TRUE)&amp;"+"&amp;M69,IF(AND(39263&lt;F8,F8&lt;39449),VLOOKUP(F8-1,$C$72:$D$94,2,TRUE)&amp;"+"&amp;CEILING(VLOOKUP(F8-1,$C$72:$D$94,2,TRUE)*3%-0.9,10)&amp;"+"&amp;M69,IF(AND(39448&lt;F8,F8&lt;39630),VLOOKUP(F8-1,$C$72:$D$94,2,TRUE)&amp;"+"&amp;M69,IF(AND(39629&lt;F8,F8&lt;39815),VLOOKUP(F8-1,$C$72:$D$94,2,TRUE)&amp;"+"&amp;CEILING(VLOOKUP(F8-1,$C$72:$D$94,2,TRUE)*3%-0.9,10)&amp;"+"&amp;M69,IF(AND(39814&lt;F8,F8&lt;39995),VLOOKUP(F8-1,$C$72:$D$94,2,TRUE)&amp;"+"&amp;M69,IF(AND(39994&lt;F8,F8&lt;40180),VLOOKUP(F8-1,$C$72:$D$94,2,TRUE)&amp;"+"&amp;CEILING(VLOOKUP(F8-1,$C$72:$D$94,2,TRUE)*3%-0.9,10)&amp;"+"&amp;M69,IF(AND(40179&lt;F8,F8&lt;40360),VLOOKUP(F8-1,$C$72:$D$94,2,TRUE)&amp;"+"&amp;M69,IF(AND(40359&lt;F8,F8&lt;40545),VLOOKUP(F8-1,$C$72:$D$94,2,TRUE)&amp;"+"&amp;CEILING(VLOOKUP(F8-1,$C$72:$D$94,2,TRUE)*3%-0.9,10)&amp;"+"&amp;M69,IF(AND(40544&lt;F8,F8&lt;40725),VLOOKUP(F8-1,$C$72:$D$94,2,TRUE)&amp;"+"&amp;M69,IF(AND(40724&lt;F8,F8&lt;40910),VLOOKUP(F8-1,$C$72:$D$94,2,TRUE)&amp;"+"&amp;CEILING(VLOOKUP(F8-1,$C$72:$D$94,2,TRUE)*3%-0.9,10)&amp;"+"&amp;M69,IF(AND(40909&lt;F8,F8&lt;41091),VLOOKUP(F8-1,$C$72:$D$94,2,TRUE)&amp;"+"&amp;M69,IF(AND(41090&lt;F8,F8&lt;41276),VLOOKUP(F8-1,$C$72:$D$94,2,TRUE)&amp;"+"&amp;CEILING(VLOOKUP(F8-1,$C$72:$D$94,2,TRUE)*3%-0.9,10)&amp;"+"&amp;M69,IF(AND(41275&lt;F8,F8&lt;41456),VLOOKUP(F8-1,$C$72:$D$94,2,TRUE)&amp;"+"&amp;M69,IF(AND(41455&lt;F8,F8&lt;41641),VLOOKUP(F8-1,$C$72:$D$94,2,TRUE)&amp;"+"&amp;CEILING(VLOOKUP(F8-1,$C$72:$D$94,2,TRUE)*3%-0.9,10)&amp;"+"&amp;M69,IF(AND(41640&lt;F8,F8&lt;41821),VLOOKUP(F8-1,$C$72:$D$94,2,TRUE)&amp;"+"&amp;M69,IF(AND(41821&lt;F8,F8&lt;42005),VLOOKUP(F8-1,$C$72:$D$94,2,TRUE)&amp;"+"&amp;CEILING(VLOOKUP(F8-1,$C$72:$D$94,2,TRUE)*3%-0.9,10)&amp;"+"&amp;M69,IF(AND(42005&lt;F8,F8&lt;42186),VLOOKUP(F8-1,$C$72:$D$94,2,TRUE)&amp;"+"&amp;M69,IF(AND(42186&lt;F8,F8&lt;42370),VLOOKUP(F8-1,$C$72:$D$94,2,TRUE)&amp;"+"&amp;CEILING(VLOOKUP(F8-1,$C$72:$D$94,2,TRUE)*3%-0.9,10)&amp;"+"&amp;M69,IF(AND(42370&lt;F8,F8&lt;42552),VLOOKUP(F8-1,$C$72:$D$94,2,TRUE)&amp;"+"&amp;M69,IF(AND(42551&lt;F8,F8&lt;42826),VLOOKUP(F8-1,$C$72:$D$94,2,TRUE)&amp;"+"&amp;CEILING(VLOOKUP(F8-1,$C$72:$D$94,2,TRUE)*3%-0.9,10)&amp;"+"&amp;M69,IF(AND(42826&lt;F8,F8&lt;42917,$L$73=TRUE),$D$83&amp;"+"&amp;CEILING($D$83*3%-0.9,10)&amp;"+"&amp;M69,)))))))))))))))))))))))))&amp;")"))</f>
        <v/>
      </c>
      <c r="L69" s="911"/>
      <c r="M69" s="812">
        <f>O69-O67</f>
        <v>0</v>
      </c>
      <c r="N69" s="813"/>
      <c r="O69" s="814" cm="1">
        <f t="array" ref="O69">IF(OR(F8&lt;$C$72,AND(F8&gt;42825,$L$73=FALSE),I69=""),O67,INDEX('Pay Scales'!$N$133:$N$152,MATCH(O67,'Pay Scales'!$N$133:$N$152,0)+1,1))</f>
        <v>1900</v>
      </c>
      <c r="P69" s="905" t="str">
        <f>IF(I69="","",IF(AND($F$8&gt;$C$84,$L$73=FALSE),"",IF($F$8&lt;35065,$R$17,IF(AND($F$8&gt;35064,$F$8&lt;$C$72),$R$25,"(Grade Pay = "&amp;TEXT($O$69,"₹#,##0;")&amp;")"))))</f>
        <v/>
      </c>
      <c r="Q69" s="906"/>
    </row>
    <row r="70" spans="2:20" ht="15.75" customHeight="1" thickBot="1" x14ac:dyDescent="0.3">
      <c r="B70" s="832" t="s">
        <v>11</v>
      </c>
      <c r="C70" s="832"/>
      <c r="D70" s="378">
        <f>VLOOKUP(VLOOKUP($C$63,$C$48:$H$61,6,TRUE),'Pay Scales'!$J$133:$N$153,5,FALSE)</f>
        <v>1800</v>
      </c>
      <c r="E70" s="817" t="str">
        <f>IF(ISBLANK(E9),"",E9&amp;" on "&amp;TEXT(F9,"dd-mm-yyyy")&amp;" (after "&amp;YEAR(F9)-YEAR($C$9)&amp;" years)")</f>
        <v/>
      </c>
      <c r="F70" s="817"/>
      <c r="H70" s="439" t="str">
        <f>IF(H69="",IF(AND($F$8&gt;42826,$F$8&lt;$C$10,MONTH($F$8)&lt;7,$L$73=TRUE),$E$8,""),"")</f>
        <v/>
      </c>
      <c r="I70" s="586" t="str" cm="1">
        <f t="array" ref="I70">IF(OR($F$8="",$F$8&lt;$C$72,$F$8&gt;$C$95,$F$8&gt;42825),"",IF(OR(IF(OR($F$8&lt;$C$72,$F$8&gt;$C$95),"",INDEX($C$72:$C$94,1+MATCH($F$8,$C$72:$C$94,1)))=$C$84,IF(OR($F$8&lt;$C$72,$F$8&gt;$C$95),"",INDEX($C$72:$C$94,1+MATCH($F$8,$C$72:$C$94,1)))=$C$87),"",IF($F$8&lt;35065,$I$16,IF(AND($F$8&gt;$C$48,$F$8&lt;$C$63),$I$24,IF(AND($F$8&gt;38717,MONTH($F$8)=1,DAY($F$8)=1),EDATE($F$8,6),IF(AND($F$8&gt;$C$72,$F$8&lt;$C$84),INDEX($C$72:$C$94,1+MATCH($F$8,$C$72:$C$94,1)),IF(AND($F$8&gt;$C$84,$F$8&lt;$C$87,$L$73=TRUE),INDEX($C$84:$C$87,1+MATCH($F$8,$C$84:$C$87,1)),(IF(MONTH($F$8)&gt;6,DATE(YEAR($F$8)+1,7,1),IF(AND($F$8&gt;$C$87,$F$8&lt;$C$95),IF(AND($L$73=TRUE,$F$8&lt;45231),INDEX($C$87:$C$94,1+MATCH($F$8,$C$87:$C$94,1)),(IF(MONTH($F$8)&gt;6,DATE(YEAR($F$8)+1,7,1),DATE(YEAR($F$8)+1,1,1))))))))))))))</f>
        <v/>
      </c>
      <c r="J70" s="648" t="str">
        <f>IF(I70="","",IF(F8&lt;$C$72,0,IF(F8=38718,CEILING(J69*3%+J69-0.9,10),IF(AND(38718&lt;F8,F8&lt;38899),VLOOKUP(F8-1,$C$72:$D$84,2,TRUE)+M70+N70+M69,IF(AND(38898&lt;F8,F8&lt;39084),CEILING(J69*3%+J69-0.9,10),IF(AND(39083&lt;F8,F8&lt;39264),VLOOKUP(F8-1,$C$72:$D$84,2,TRUE)+M70+N70+M69,IF(AND(39263&lt;F8,F8&lt;39449),CEILING(J69*3%+J69-0.9,10),IF(AND(39448&lt;F8,F8&lt;39630),VLOOKUP(F8-1,$C$72:$D$84,2,TRUE)+M70+N70+M69,IF(AND(39629&lt;F8,F8&lt;39815),CEILING(J69*3%+J69-0.9,10),IF(AND(39814&lt;F8,F8&lt;39995),VLOOKUP(F8-1,$C$72:$D$84,2,TRUE)+M70+N70+M69,IF(AND(39994&lt;F8,F8&lt;40180),CEILING(J69*3%+J69-0.9,10),IF(AND(40179&lt;F8,F8&lt;40360),VLOOKUP(F8-1,$C$72:$D$84,2,TRUE)+M70+N70+M69,IF(AND(40359&lt;F8,F8&lt;40545),CEILING(J69*3%+J69-0.9,10),IF(AND(40544&lt;F8,F8&lt;40725),VLOOKUP(F8-1,$C$72:$D$84,2,TRUE)+M70+N70+M69,IF(AND(40724&lt;F8,F8&lt;40910),CEILING(J69*3%+J69-0.9,10),IF(AND(40909&lt;F8,F8&lt;41091),VLOOKUP(F8-1,$C$72:$D$84,2,TRUE)+M70+N70+M69,IF(AND(41090&lt;F8,F8&lt;41276),CEILING(J69*3%+J69-0.9,10),IF(AND(41275&lt;F8,F8&lt;41456),VLOOKUP(F8-1,$C$72:$D$84,2,TRUE)+M70+N70+M69,IF(AND(41455&lt;F8,F8&lt;41641),CEILING(J69*3%+J69-0.9,10),IF(AND(41640&lt;F8,F8&lt;41821),VLOOKUP(F8-1,$C$72:$D$84,2,TRUE)+M70+N70+M69,IF(AND(41820&lt;F8,F8&lt;42006),CEILING(J69*3%+J69-0.9,10),IF(AND(42005&lt;F8,F8&lt;42186),VLOOKUP(F8-1,$C$72:$D$84,2,TRUE)+M70+N70+M69,IF(AND(42185&lt;F8,F8&lt;42371),CEILING(J69*3%+J69-0.9,10),IF(AND(42370&lt;F8,F8&lt;42552),VLOOKUP(F8-1,$C$72:$D$84,2,TRUE)+M70+N70+M69,IF(AND(42551&lt;F8,F8&lt;42826),"",IF(AND(F8&gt;$C$84,F8&lt;$C$87),CEILING(J69*3%+J69,10),IF(OR(F8&gt;$C$87,F8&lt;$C$95),MROUND(J69*3%+J69,100))))))))))))))))))))))))))))</f>
        <v/>
      </c>
      <c r="K70" s="858" t="str">
        <f>IF(OR(I70&lt;$C$72,I70&gt;$C$95,I70=""),"","("&amp;IF(F8=38718,J69&amp;"+"&amp;CEILING(J69*3%-0.9,10),IF(AND(38718&lt;F8,F8&lt;38899),VLOOKUP(F8-1,$C$72:$D$94,2,TRUE)&amp;"+"&amp;M70&amp;"+"&amp;N70&amp;"+"&amp;M69,IF(AND(38898&lt;F8,F8&lt;39084),J69&amp;"+"&amp;CEILING(J69*3%-0.9,10),IF(AND(39083&lt;F8,F8&lt;39264),VLOOKUP(F8-1,$C$72:$D$94,2,TRUE)&amp;"+"&amp;M70&amp;"+"&amp;N70&amp;"+"&amp;M69,IF(AND(39263&lt;F8,F8&lt;39449),J69&amp;"+"&amp;CEILING(J69*3%-0.9,10),IF(AND(39448&lt;F8,F8&lt;39630),VLOOKUP(F8-1,$C$72:$D$94,2,TRUE)&amp;"+"&amp;M70&amp;"+"&amp;N70&amp;"+"&amp;M69,IF(AND(39629&lt;F8,F8&lt;39815),J69&amp;"+"&amp;CEILING(J69*3%-0.9,10),IF(AND(39814&lt;F8,F8&lt;39995),VLOOKUP(F8-1,$C$72:$D$94,2,TRUE)&amp;"+"&amp;M70&amp;"+"&amp;N70&amp;"+"&amp;M69,IF(AND(39994&lt;F8,F8&lt;40180),J69&amp;"+"&amp;CEILING(J69*3%-0.9,10),IF(AND(40179&lt;F8,F8&lt;40360),VLOOKUP(F8-1,$C$72:$D$94,2,TRUE)&amp;"+"&amp;M70&amp;"+"&amp;N70&amp;"+"&amp;M69,IF(AND(40359&lt;F8,F8&lt;40545),J69&amp;"+"&amp;CEILING(J69*3%-0.9,10),IF(AND(40544&lt;F8,F8&lt;40725),VLOOKUP(F8-1,$C$72:$D$94,2,TRUE)&amp;"+"&amp;M70&amp;"+"&amp;N70&amp;"+"&amp;M69,IF(AND(40724&lt;F8,F8&lt;40910),J69&amp;"+"&amp;CEILING(J69*3%-0.9,10),IF(AND(40909&lt;F8,F8&lt;41091),VLOOKUP(F8-1,$C$72:$D$94,2,TRUE)&amp;"+"&amp;M70&amp;"+"&amp;N70&amp;"+"&amp;M69,IF(AND(41090&lt;F8,F8&lt;41276),J69&amp;"+"&amp;CEILING(J69*3%-0.9,10),IF(AND(41275&lt;F8,F8&lt;41456),VLOOKUP(F8-1,$C$72:$D$94,2,TRUE)&amp;"+"&amp;M70&amp;"+"&amp;N70&amp;"+"&amp;M69,IF(AND(41455&lt;F8,F8&lt;41641),J69&amp;"+"&amp;CEILING(J69*3%-0.9,10),IF(AND(41640&lt;F8,F8&lt;41821),VLOOKUP(F8-1,$C$72:$D$94,2,TRUE)&amp;"+"&amp;M70&amp;"+"&amp;N70&amp;"+"&amp;M69,IF(AND(41820&lt;F8,F8&lt;42006),J69&amp;"+"&amp;CEILING(J69*3%-0.9,10),IF(AND(42005&lt;F8,F8&lt;42186),VLOOKUP(F8-1,$C$72:$D$94,2,TRUE)&amp;"+"&amp;M70&amp;"+"&amp;N70&amp;"+"&amp;M69,IF(AND(42185&lt;F8,F8&lt;42371),J69&amp;"+"&amp;CEILING(J69*3%-0.9,10),IF(AND(42370&lt;F8,F8&lt;42552),VLOOKUP(F8-1,$C$72:$D$94,2,TRUE)&amp;"+"&amp;M70&amp;"+"&amp;N70&amp;"+"&amp;M69,IF(AND(42551&lt;F8,F8&lt;42826),"",)))))))))))))))))))))))&amp;")")</f>
        <v/>
      </c>
      <c r="L70" s="859"/>
      <c r="M70" s="800">
        <f>IF(AND(38718&lt;F8,F8&lt;38899),CEILING(VLOOKUP(F8-1,$C$72:$D$94,2,TRUE)*3%-0.9,10),IF(AND(39083&lt;F8,F8&lt;39264),CEILING(VLOOKUP(F8-1,$C$72:$D$94,2,TRUE)*3%-0.9,10),IF(AND(39448&lt;F8,F8&lt;39630),CEILING(VLOOKUP(F8-1,$C$72:$D$94,2,TRUE)*3%-0.9,10),IF(AND(39814&lt;F8,F8&lt;39995),CEILING(VLOOKUP(F8-1,$C$72:$D$94,2,TRUE)*3%-0.9,10),IF(AND(40179&lt;F8,F8&lt;40360),CEILING(VLOOKUP(F8-1,$C$72:$D$94,2,TRUE)*3%-0.9,10),IF(AND(40544&lt;F8,F8&lt;40725),CEILING(VLOOKUP(F8-1,$C$72:$D$94,2,TRUE)*3%-0.9,10),IF(AND(40909&lt;F8,F8&lt;41091),CEILING(VLOOKUP(F8-1,$C$72:$D$94,2,TRUE)*3%-0.9,10),IF(AND(41275&lt;F8,F8&lt;41456),CEILING(VLOOKUP(F8-1,$C$72:$D$94,2,TRUE)*3%-0.9,10),IF(AND(41640&lt;F8,F8&lt;41821),CEILING(VLOOKUP(F8-1,$C$72:$D$94,2,TRUE)*3%-0.9,10),IF(AND(42005&lt;F8,F8&lt;42186),CEILING(VLOOKUP(F8-1,$C$72:$D$94,2,TRUE)*3%-0.9,10),IF(AND(42370&lt;F8,F8&lt;42552),CEILING(VLOOKUP(F8-1,$C$72:$D$94,2,TRUE)*3%-0.9,10),)))))))))))</f>
        <v>0</v>
      </c>
      <c r="N70" s="797">
        <f>IF(AND(38718&lt;F8,F8&lt;38899),CEILING((VLOOKUP(F8-1,$C$72:$D$94,2,TRUE)+M70)*3%-0.9,10),IF(AND(39083&lt;F8,F8&lt;39264),CEILING((VLOOKUP(F8-1,$C$72:$D$94,2,TRUE)+M70)*3%-0.9,10),IF(AND(39448&lt;F8,F8&lt;39630),CEILING((VLOOKUP(F8-1,$C$72:$D$94,2,TRUE)+M70)*3%-0.9,10),IF(AND(39814&lt;F8,F8&lt;39995),CEILING((VLOOKUP(F8-1,$C$72:$D$94,2,TRUE)+M70)*3%-0.9,10),IF(AND(40179&lt;F8,F8&lt;40360),CEILING((VLOOKUP(F8-1,$C$72:$D$94,2,TRUE)+M70)*3%-0.9,10),IF(AND(40544&lt;F8,F8&lt;40725),CEILING((VLOOKUP(F8-1,$C$72:$D$94,2,TRUE)+M70)*3%-0.9,10),IF(AND(40909&lt;F8,F8&lt;41091),CEILING((VLOOKUP(F8-1,$C$72:$D$94,2,TRUE)+M70)*3%-0.9,10),IF(AND(41275&lt;F8,F8&lt;41456),CEILING((VLOOKUP(F8-1,$C$72:$D$94,2,TRUE)+M70)*3%-0.9,10),IF(AND(41640&lt;F8,F8&lt;41821),CEILING((VLOOKUP(F8-1,$C$72:$D$94,2,TRUE)+M70)*3%-0.9,10),IF(AND(42005&lt;F8,F8&lt;42186),CEILING((VLOOKUP(F8-1,$C$72:$D$94,2,TRUE)+M70)*3%-0.9,10),IF(AND(42370&lt;F8,F8&lt;42552),CEILING((VLOOKUP(F8-1,$C$72:$D$94,2,TRUE)+M70)*3%-0.9,10),)))))))))))</f>
        <v>0</v>
      </c>
      <c r="O70" s="815"/>
      <c r="P70" s="822" t="str">
        <f>IF(I69="",P69,"")</f>
        <v/>
      </c>
      <c r="Q70" s="904"/>
    </row>
    <row r="71" spans="2:20" ht="15.75" customHeight="1" x14ac:dyDescent="0.25">
      <c r="B71" s="379"/>
      <c r="C71" s="666" t="s">
        <v>46</v>
      </c>
      <c r="D71" s="371" t="s">
        <v>47</v>
      </c>
      <c r="E71" s="818"/>
      <c r="F71" s="818"/>
      <c r="H71" s="421" t="str">
        <f>IF(ISBLANK($E$9),"",$E$9)</f>
        <v/>
      </c>
      <c r="I71" s="585" t="str">
        <f>IF(AND(F9&gt;38718,F9&lt;42826),F9,IF(AND(F9&gt;42825,F9&lt;43282,$L$73=TRUE),F9,""))</f>
        <v/>
      </c>
      <c r="J71" s="647" t="str">
        <f>IF(I71="","",IF(F9=38718,CEILING(($D$69+$D$70)*3%+$D$69+$D$70+M71-0.9,10),IF(AND(38718&lt;F9,F9&lt;38899),VLOOKUP(F9-1,$C$72:$D$94,2,TRUE)+M71,IF(AND(38898&lt;F9,F9&lt;39084),CEILING(VLOOKUP(F9-1,$C$72:$D$94,2,TRUE)*3%+VLOOKUP(F9-1,$C$72:$D$94,2,TRUE)+M71-0.9,10),IF(AND(39083&lt;F9,F9&lt;39264),VLOOKUP(F9-1,$C$72:$D$94,2,TRUE)+M71,IF(AND(39263&lt;F9,F9&lt;39449),CEILING(VLOOKUP(F9-1,$C$72:$D$94,2,TRUE)*3%+VLOOKUP(F9-1,$C$72:$D$94,2,TRUE)+M71-0.9,10),IF(AND(39448&lt;F9,F9&lt;39630),VLOOKUP(F9-1,$C$72:$D$94,2,TRUE)+M71,IF(AND(39629&lt;F9,F9&lt;39815),CEILING(VLOOKUP(F9-1,$C$72:$D$94,2,TRUE)*3%+VLOOKUP(F9-1,$C$72:$D$94,2,TRUE)+M71-0.9,10),IF(AND(39814&lt;F9,F9&lt;39995),VLOOKUP(F9-1,$C$72:$D$94,2,TRUE)+M71,IF(AND(39994&lt;F9,F9&lt;40180),CEILING(VLOOKUP(F9-1,$C$72:$D$94,2,TRUE)*3%+VLOOKUP(F9-1,$C$72:$D$94,2,TRUE)+M71-0.9,10),IF(AND(40179&lt;F9,F9&lt;40360),VLOOKUP(F9-1,$C$72:$D$94,2,TRUE)+M71,IF(AND(40359&lt;F9,F9&lt;40545),CEILING(VLOOKUP(F9-1,$C$72:$D$94,2,TRUE)*3%+VLOOKUP(F9-1,$C$72:$D$94,2,TRUE)+M71-0.9,10),IF(AND(40544&lt;F9,F9&lt;40725),VLOOKUP(F9-1,$C$72:$D$94,2,TRUE)+M71,IF(AND(40724&lt;F9,F9&lt;40910),CEILING(VLOOKUP(F9-1,$C$72:$D$94,2,TRUE)*3%+VLOOKUP(F9-1,$C$72:$D$94,2,TRUE)+M71-0.9,10),IF(AND(40909&lt;F9,F9&lt;41091),VLOOKUP(F9-1,$C$72:$D$94,2,TRUE)+M71,IF(AND(41090&lt;F9,F9&lt;41276),CEILING(VLOOKUP(F9-1,$C$72:$D$94,2,TRUE)*3%+VLOOKUP(F9-1,$C$72:$D$94,2,TRUE)+M71-0.9,10),IF(AND(41275&lt;F9,F9&lt;41456),VLOOKUP(F9-1,$C$72:$D$94,2,TRUE)+M71,IF(AND(41455&lt;F9,F9&lt;41641),CEILING(VLOOKUP(F9-1,$C$72:$D$94,2,TRUE)*3%+VLOOKUP(F9-1,$C$72:$D$94,2,TRUE)+M71-0.9,10),IF(AND(41640&lt;F9,F9&lt;41821),VLOOKUP(F9-1,$C$72:$D$94,2,TRUE)+M71,IF(AND(41820&lt;F9,F9&lt;42006),CEILING(VLOOKUP(F9-1,$C$72:$D$94,2,TRUE)*3%+VLOOKUP(F9-1,$C$72:$D$94,2,TRUE)+M71-0.9,10),IF(AND(42005&lt;F9,F9&lt;42186),VLOOKUP(F9-1,$C$72:$D$94,2,TRUE)+M71,IF(AND(42185&lt;F9,F9&lt;42371),CEILING(VLOOKUP(F9-1,$C$72:$D$94,2,TRUE)*3%+VLOOKUP(F9-1,$C$72:$D$94,2,TRUE)+M71-0.9,10),IF(AND(42370&lt;F9,F9&lt;42552),VLOOKUP(F9-1,$C$72:$D$94,2,TRUE)+M71,IF(AND(42551&lt;F9,F9&lt;$C$87),CEILING(VLOOKUP(F9-1,$C$72:$D$94,2,TRUE)*3%+VLOOKUP(F9-1,$C$72:$D$94,2,TRUE)+M71-0.9,10),IF(OR(F9&gt;$C$87,F9&lt;$C$95),MROUND(VLOOKUP(F9-1,$C$87:$D$94,2,TRUE)*3%+VLOOKUP(F9-1,$C$87:$D$94,2,TRUE),100))))))))))))))))))))))))))</f>
        <v/>
      </c>
      <c r="K71" s="910" t="str">
        <f>IF(OR(I71&lt;$C$72,I71&gt;$C$95),"",IF(F9&lt;35065,K21,IF(AND(F9&gt;35065,F9&lt;38718),K29,"("&amp;IF(F9=38718,$D$69+$D$70&amp;"+"&amp;CEILING(($D$69+$D$70)*3%-0.9,10)&amp;"+"&amp;M71,IF(AND(38718&lt;F9,F9&lt;38899),VLOOKUP(F9-1,$C$72:$D$94,2,TRUE)&amp;"+"&amp;M71,IF(AND(38898&lt;F9,F9&lt;39084),VLOOKUP(F9-1,$C$72:$D$94,2,TRUE)&amp;"+"&amp;CEILING(VLOOKUP(F9-1,$C$72:$D$94,2,TRUE)*3%-0.9,10)&amp;"+"&amp;M71,IF(AND(39083&lt;F9,F9&lt;39264),VLOOKUP(F9-1,$C$72:$D$94,2,TRUE)&amp;"+"&amp;M71,IF(AND(39263&lt;F9,F9&lt;39449),VLOOKUP(F9-1,$C$72:$D$94,2,TRUE)&amp;"+"&amp;CEILING(VLOOKUP(F9-1,$C$72:$D$94,2,TRUE)*3%-0.9,10)&amp;"+"&amp;M71,IF(AND(39448&lt;F9,F9&lt;39630),VLOOKUP(F9-1,$C$72:$D$94,2,TRUE)&amp;"+"&amp;M71,IF(AND(39629&lt;F9,F9&lt;39815),VLOOKUP(F9-1,$C$72:$D$94,2,TRUE)&amp;"+"&amp;CEILING(VLOOKUP(F9-1,$C$72:$D$94,2,TRUE)*3%-0.9,10)&amp;"+"&amp;M71,IF(AND(39814&lt;F9,F9&lt;39995),VLOOKUP(F9-1,$C$72:$D$94,2,TRUE)&amp;"+"&amp;M71,IF(AND(39994&lt;F9,F9&lt;40180),VLOOKUP(F9-1,$C$72:$D$94,2,TRUE)&amp;"+"&amp;CEILING(VLOOKUP(F9-1,$C$72:$D$94,2,TRUE)*3%-0.9,10)&amp;"+"&amp;M71,IF(AND(40179&lt;F9,F9&lt;40360),VLOOKUP(F9-1,$C$72:$D$94,2,TRUE)&amp;"+"&amp;M71,IF(AND(40359&lt;F9,F9&lt;40545),VLOOKUP(F9-1,$C$72:$D$94,2,TRUE)&amp;"+"&amp;CEILING(VLOOKUP(F9-1,$C$72:$D$94,2,TRUE)*3%-0.9,10)&amp;"+"&amp;M71,IF(AND(40544&lt;F9,F9&lt;40725),VLOOKUP(F9-1,$C$72:$D$94,2,TRUE)&amp;"+"&amp;M71,IF(AND(40724&lt;F9,F9&lt;40910),VLOOKUP(F9-1,$C$72:$D$94,2,TRUE)&amp;"+"&amp;CEILING(VLOOKUP(F9-1,$C$72:$D$94,2,TRUE)*3%-0.9,10)&amp;"+"&amp;M71,IF(AND(40909&lt;F9,F9&lt;41091),VLOOKUP(F9-1,$C$72:$D$94,2,TRUE)&amp;"+"&amp;M71,IF(AND(41090&lt;F9,F9&lt;41276),VLOOKUP(F9-1,$C$72:$D$94,2,TRUE)&amp;"+"&amp;CEILING(VLOOKUP(F9-1,$C$72:$D$94,2,TRUE)*3%-0.9,10)&amp;"+"&amp;M71,IF(AND(41275&lt;F9,F9&lt;41456),VLOOKUP(F9-1,$C$72:$D$94,2,TRUE)&amp;"+"&amp;M71,IF(AND(41455&lt;F9,F9&lt;41641),VLOOKUP(F9-1,$C$72:$D$94,2,TRUE)&amp;"+"&amp;CEILING(VLOOKUP(F9-1,$C$72:$D$94,2,TRUE)*3%-0.9,10)&amp;"+"&amp;M71,IF(AND(41640&lt;F9,F9&lt;41821),VLOOKUP(F9-1,$C$72:$D$94,2,TRUE)&amp;"+"&amp;M71,IF(AND(41821&lt;F9,F9&lt;42005),VLOOKUP(F9-1,$C$72:$D$94,2,TRUE)&amp;"+"&amp;CEILING(VLOOKUP(F9-1,$C$72:$D$94,2,TRUE)*3%-0.9,10)&amp;"+"&amp;M71,IF(AND(42005&lt;F9,F9&lt;42186),VLOOKUP(F9-1,$C$72:$D$94,2,TRUE)&amp;"+"&amp;M71,IF(AND(42186&lt;F9,F9&lt;42370),VLOOKUP(F9-1,$C$72:$D$94,2,TRUE)&amp;"+"&amp;CEILING(VLOOKUP(F9-1,$C$72:$D$94,2,TRUE)*3%-0.9,10)&amp;"+"&amp;M71,IF(AND(42370&lt;F9,F9&lt;42552),VLOOKUP(F9-1,$C$72:$D$94,2,TRUE)&amp;"+"&amp;M71,IF(AND(42551&lt;F9,F9&lt;42826),VLOOKUP(F9-1,$C$72:$D$94,2,TRUE)&amp;"+"&amp;CEILING(VLOOKUP(F9-1,$C$72:$D$94,2,TRUE)*3%-0.9,10)&amp;"+"&amp;M71,IF(AND(42826&lt;F9,F9&lt;42917,$L$73=TRUE),$D$83&amp;"+"&amp;CEILING($D$83*3%-0.9,10)&amp;"+"&amp;M71,)))))))))))))))))))))))))&amp;")"))</f>
        <v/>
      </c>
      <c r="L71" s="911"/>
      <c r="M71" s="812">
        <f>O71-O69</f>
        <v>0</v>
      </c>
      <c r="N71" s="813"/>
      <c r="O71" s="814" cm="1">
        <f t="array" ref="O71">IF(OR(F9&lt;$C$72,AND(F9&gt;42825,$L$73=FALSE),I71=""),O69,INDEX('Pay Scales'!$N$133:$N$152,MATCH(O69,'Pay Scales'!$N$133:$N$152,0)+1,1))</f>
        <v>1900</v>
      </c>
      <c r="P71" s="905" t="str">
        <f>IF(I71="","",IF(AND($F$9&gt;$C$84,$L$73=FALSE),"",IF($F$9&lt;35065,$R$17,IF(AND($F$9&gt;35064,$F$9&lt;$C$72),$R$25,"(Grade Pay = "&amp;TEXT($O$71,"₹#,##0;")&amp;")"))))</f>
        <v/>
      </c>
      <c r="Q71" s="906"/>
    </row>
    <row r="72" spans="2:20" ht="15.75" customHeight="1" thickBot="1" x14ac:dyDescent="0.3">
      <c r="B72" s="380" t="s">
        <v>55</v>
      </c>
      <c r="C72" s="582">
        <f>IF(C63&gt;38718,C63,38718)</f>
        <v>38718</v>
      </c>
      <c r="D72" s="371">
        <f>IF($C$95&lt;C72," ",CEILING(D67*1.86+D70-0.9,10))</f>
        <v>7960</v>
      </c>
      <c r="E72" s="381" t="str">
        <f>IF(OR(AND(D70=1400,D72=6240),AND(D70=1650,D72=6580),AND(D70=1800,D72=6920),AND(D70=1900,D72=7300),AND(D70=2000,D72=7700),AND(D70=2100,D72=8060),AND(D70=2200,D72=8340),AND(D70=2400,D72=9840),AND(D70=2800,D72=10620),AND(D70=4200,D72=13500),AND(D70=4400,D72=14630),AND(D70=4600,D72=16690),AND(D70=4800,D72=18660),AND(D70=5400,D72=21000),AND(D70=6600,D72=25200),AND(D70=6800,D72=26610),AND(D70=7000,D72=27460),AND(D70=7100,D72=27840),AND(D70=7600,D72=29920)),"(Minimum Pay)","")</f>
        <v/>
      </c>
      <c r="F72" s="382" t="str">
        <f>"(Grade Pay = "&amp;TEXT(D70,"₹#,##0;")&amp;")"</f>
        <v>(Grade Pay = ₹1,800)</v>
      </c>
      <c r="H72" s="439" t="str">
        <f>IF(H71="",IF(AND($F$9&gt;42826,$F$9&lt;$C$10,MONTH($F$9)&lt;7,$L$73=TRUE),$E$9,""),"")</f>
        <v/>
      </c>
      <c r="I72" s="586" t="str" cm="1">
        <f t="array" ref="I72">IF(OR($F$9="",$F$9&lt;$C$72,$F$9&gt;$C$95,$F$9&gt;42825),"",IF(OR(IF(OR($F$9&lt;$C$72,$F$9&gt;$C$95),"",INDEX($C$72:$C$94,1+MATCH($F$9,$C$72:$C$94,1)))=$C$84,IF(OR($F$9&lt;$C$72,$F$9&gt;$C$95),"",INDEX($C$72:$C$94,1+MATCH($F$9,$C$72:$C$94,1)))=$C$87),"",IF($F$9&lt;35065,$I$16,IF(AND($F$9&gt;$C$48,$F$9&lt;$C$63),$I$24,IF(AND($F$9&gt;38717,MONTH($F$9)=1,DAY($F$9)=1),EDATE($F$9,6),IF(AND($F$9&gt;$C$72,$F$9&lt;$C$84),INDEX($C$72:$C$94,1+MATCH($F$9,$C$72:$C$94,1)),IF(AND($F$9&gt;$C$84,$F$9&lt;$C$87,$L$73=TRUE),INDEX($C$84:$C$87,1+MATCH($F$9,$C$84:$C$87,1)),(IF(MONTH($F$9)&gt;6,DATE(YEAR($F$9)+1,7,1),IF(AND($F$9&gt;$C$87,$F$9&lt;$C$95),IF(AND($L$73=TRUE,$F$9&lt;45231),INDEX($C$87:$C$94,1+MATCH($F$9,$C$87:$C$94,1)),(IF(MONTH($F$9)&gt;6,DATE(YEAR($F$9)+1,7,1),DATE(YEAR($F$9)+1,1,1))))))))))))))</f>
        <v/>
      </c>
      <c r="J72" s="649" t="str">
        <f>IF(I72="","",IF(F9&lt;$C$72,0,IF(F9=38718,CEILING(J71*3%+J71-0.9,10),IF(AND(38718&lt;F9,F9&lt;38899),VLOOKUP(F9-1,$C$72:$D$84,2,TRUE)+M72+N72+M71,IF(AND(38898&lt;F9,F9&lt;39084),CEILING(J71*3%+J71-0.9,10),IF(AND(39083&lt;F9,F9&lt;39264),VLOOKUP(F9-1,$C$72:$D$84,2,TRUE)+M72+N72+M71,IF(AND(39263&lt;F9,F9&lt;39449),CEILING(J71*3%+J71-0.9,10),IF(AND(39448&lt;F9,F9&lt;39630),VLOOKUP(F9-1,$C$72:$D$84,2,TRUE)+M72+N72+M71,IF(AND(39629&lt;F9,F9&lt;39815),CEILING(J71*3%+J71-0.9,10),IF(AND(39814&lt;F9,F9&lt;39995),VLOOKUP(F9-1,$C$72:$D$84,2,TRUE)+M72+N72+M71,IF(AND(39994&lt;F9,F9&lt;40180),CEILING(J71*3%+J71-0.9,10),IF(AND(40179&lt;F9,F9&lt;40360),VLOOKUP(F9-1,$C$72:$D$84,2,TRUE)+M72+N72+M71,IF(AND(40359&lt;F9,F9&lt;40545),CEILING(J71*3%+J71-0.9,10),IF(AND(40544&lt;F9,F9&lt;40725),VLOOKUP(F9-1,$C$72:$D$84,2,TRUE)+M72+N72+M71,IF(AND(40724&lt;F9,F9&lt;40910),CEILING(J71*3%+J71-0.9,10),IF(AND(40909&lt;F9,F9&lt;41091),VLOOKUP(F9-1,$C$72:$D$84,2,TRUE)+M72+N72+M71,IF(AND(41090&lt;F9,F9&lt;41276),CEILING(J71*3%+J71-0.9,10),IF(AND(41275&lt;F9,F9&lt;41456),VLOOKUP(F9-1,$C$72:$D$84,2,TRUE)+M72+N72+M71,IF(AND(41455&lt;F9,F9&lt;41641),CEILING(J71*3%+J71-0.9,10),IF(AND(41640&lt;F9,F9&lt;41821),VLOOKUP(F9-1,$C$72:$D$84,2,TRUE)+M72+N72+M71,IF(AND(41820&lt;F9,F9&lt;42006),CEILING(J71*3%+J71-0.9,10),IF(AND(42005&lt;F9,F9&lt;42186),VLOOKUP(F9-1,$C$72:$D$84,2,TRUE)+M72+N72+M71,IF(AND(42185&lt;F9,F9&lt;42371),CEILING(J71*3%+J71-0.9,10),IF(AND(42370&lt;F9,F9&lt;42552),VLOOKUP(F9-1,$C$72:$D$84,2,TRUE)+M72+N72+M71,IF(AND(42551&lt;F9,F9&lt;42826),"",IF(AND(F9&gt;$C$84,F9&lt;$C$87),CEILING(J71*3%+J71,10),IF(OR(F9&gt;$C$87,F9&lt;$C$95),MROUND(J71*3%+J71,100))))))))))))))))))))))))))))</f>
        <v/>
      </c>
      <c r="K72" s="909" t="str">
        <f>IF(OR(I72&lt;$C$72,I72&gt;$C$95,I72=""),"","("&amp;IF(F9=38718,J71&amp;"+"&amp;CEILING(J71*3%-0.9,10),IF(AND(38718&lt;F9,F9&lt;38899),VLOOKUP(F9-1,$C$72:$D$94,2,TRUE)&amp;"+"&amp;M72&amp;"+"&amp;N72&amp;"+"&amp;M71,IF(AND(38898&lt;F9,F9&lt;39084),J71&amp;"+"&amp;CEILING(J71*3%-0.9,10),IF(AND(39083&lt;F9,F9&lt;39264),VLOOKUP(F9-1,$C$72:$D$94,2,TRUE)&amp;"+"&amp;M72&amp;"+"&amp;N72&amp;"+"&amp;M71,IF(AND(39263&lt;F9,F9&lt;39449),J71&amp;"+"&amp;CEILING(J71*3%-0.9,10),IF(AND(39448&lt;F9,F9&lt;39630),VLOOKUP(F9-1,$C$72:$D$94,2,TRUE)&amp;"+"&amp;M72&amp;"+"&amp;N72&amp;"+"&amp;M71,IF(AND(39629&lt;F9,F9&lt;39815),J71&amp;"+"&amp;CEILING(J71*3%-0.9,10),IF(AND(39814&lt;F9,F9&lt;39995),VLOOKUP(F9-1,$C$72:$D$94,2,TRUE)&amp;"+"&amp;M72&amp;"+"&amp;N72&amp;"+"&amp;M71,IF(AND(39994&lt;F9,F9&lt;40180),J71&amp;"+"&amp;CEILING(J71*3%-0.9,10),IF(AND(40179&lt;F9,F9&lt;40360),VLOOKUP(F9-1,$C$72:$D$94,2,TRUE)&amp;"+"&amp;M72&amp;"+"&amp;N72&amp;"+"&amp;M71,IF(AND(40359&lt;F9,F9&lt;40545),J71&amp;"+"&amp;CEILING(J71*3%-0.9,10),IF(AND(40544&lt;F9,F9&lt;40725),VLOOKUP(F9-1,$C$72:$D$94,2,TRUE)&amp;"+"&amp;M72&amp;"+"&amp;N72&amp;"+"&amp;M71,IF(AND(40724&lt;F9,F9&lt;40910),J71&amp;"+"&amp;CEILING(J71*3%-0.9,10),IF(AND(40909&lt;F9,F9&lt;41091),VLOOKUP(F9-1,$C$72:$D$94,2,TRUE)&amp;"+"&amp;M72&amp;"+"&amp;N72&amp;"+"&amp;M71,IF(AND(41090&lt;F9,F9&lt;41276),J71&amp;"+"&amp;CEILING(J71*3%-0.9,10),IF(AND(41275&lt;F9,F9&lt;41456),VLOOKUP(F9-1,$C$72:$D$94,2,TRUE)&amp;"+"&amp;M72&amp;"+"&amp;N72&amp;"+"&amp;M71,IF(AND(41455&lt;F9,F9&lt;41641),J71&amp;"+"&amp;CEILING(J71*3%-0.9,10),IF(AND(41640&lt;F9,F9&lt;41821),VLOOKUP(F9-1,$C$72:$D$94,2,TRUE)&amp;"+"&amp;M72&amp;"+"&amp;N72&amp;"+"&amp;M71,IF(AND(41820&lt;F9,F9&lt;42006),J71&amp;"+"&amp;CEILING(J71*3%-0.9,10),IF(AND(42005&lt;F9,F9&lt;42186),VLOOKUP(F9-1,$C$72:$D$94,2,TRUE)&amp;"+"&amp;M72&amp;"+"&amp;N72&amp;"+"&amp;M71,IF(AND(42185&lt;F9,F9&lt;42371),J71&amp;"+"&amp;CEILING(J71*3%-0.9,10),IF(AND(42370&lt;F9,F9&lt;42552),VLOOKUP(F9-1,$C$72:$D$94,2,TRUE)&amp;"+"&amp;M72&amp;"+"&amp;N72&amp;"+"&amp;M71,IF(AND(42551&lt;F9,F9&lt;42826),"",)))))))))))))))))))))))&amp;")")</f>
        <v/>
      </c>
      <c r="L72" s="859"/>
      <c r="M72" s="796">
        <f>IF(AND(38718&lt;F9,F9&lt;38899),CEILING(VLOOKUP(F9-1,$C$72:$D$94,2,TRUE)*3%-0.9,10),IF(AND(39083&lt;F9,F9&lt;39264),CEILING(VLOOKUP(F9-1,$C$72:$D$94,2,TRUE)*3%-0.9,10),IF(AND(39448&lt;F9,F9&lt;39630),CEILING(VLOOKUP(F9-1,$C$72:$D$94,2,TRUE)*3%-0.9,10),IF(AND(39814&lt;F9,F9&lt;39995),CEILING(VLOOKUP(F9-1,$C$72:$D$94,2,TRUE)*3%-0.9,10),IF(AND(40179&lt;F9,F9&lt;40360),CEILING(VLOOKUP(F9-1,$C$72:$D$94,2,TRUE)*3%-0.9,10),IF(AND(40544&lt;F9,F9&lt;40725),CEILING(VLOOKUP(F9-1,$C$72:$D$94,2,TRUE)*3%-0.9,10),IF(AND(40909&lt;F9,F9&lt;41091),CEILING(VLOOKUP(F9-1,$C$72:$D$94,2,TRUE)*3%-0.9,10),IF(AND(41275&lt;F9,F9&lt;41456),CEILING(VLOOKUP(F9-1,$C$72:$D$94,2,TRUE)*3%-0.9,10),IF(AND(41640&lt;F9,F9&lt;41821),CEILING(VLOOKUP(F9-1,$C$72:$D$94,2,TRUE)*3%-0.9,10),IF(AND(42005&lt;F9,F9&lt;42186),CEILING(VLOOKUP(F9-1,$C$72:$D$94,2,TRUE)*3%-0.9,10),IF(AND(42370&lt;F9,F9&lt;42552),CEILING(VLOOKUP(F9-1,$C$72:$D$94,2,TRUE)*3%-0.9,10),)))))))))))</f>
        <v>0</v>
      </c>
      <c r="N72" s="797">
        <f>IF(AND(38718&lt;F9,F9&lt;38899),CEILING((VLOOKUP(F9-1,$C$72:$D$94,2,TRUE)+M72)*3%-0.9,10),IF(AND(39083&lt;F9,F9&lt;39264),CEILING((VLOOKUP(F9-1,$C$72:$D$94,2,TRUE)+M72)*3%-0.9,10),IF(AND(39448&lt;F9,F9&lt;39630),CEILING((VLOOKUP(F9-1,$C$72:$D$94,2,TRUE)+M72)*3%-0.9,10),IF(AND(39814&lt;F9,F9&lt;39995),CEILING((VLOOKUP(F9-1,$C$72:$D$94,2,TRUE)+M72)*3%-0.9,10),IF(AND(40179&lt;F9,F9&lt;40360),CEILING((VLOOKUP(F9-1,$C$72:$D$94,2,TRUE)+M72)*3%-0.9,10),IF(AND(40544&lt;F9,F9&lt;40725),CEILING((VLOOKUP(F9-1,$C$72:$D$94,2,TRUE)+M72)*3%-0.9,10),IF(AND(40909&lt;F9,F9&lt;41091),CEILING((VLOOKUP(F9-1,$C$72:$D$94,2,TRUE)+M72)*3%-0.9,10),IF(AND(41275&lt;F9,F9&lt;41456),CEILING((VLOOKUP(F9-1,$C$72:$D$94,2,TRUE)+M72)*3%-0.9,10),IF(AND(41640&lt;F9,F9&lt;41821),CEILING((VLOOKUP(F9-1,$C$72:$D$94,2,TRUE)+M72)*3%-0.9,10),IF(AND(42005&lt;F9,F9&lt;42186),CEILING((VLOOKUP(F9-1,$C$72:$D$94,2,TRUE)+M72)*3%-0.9,10),IF(AND(42370&lt;F9,F9&lt;42552),CEILING((VLOOKUP(F9-1,$C$72:$D$94,2,TRUE)+M72)*3%-0.9,10),)))))))))))</f>
        <v>0</v>
      </c>
      <c r="O72" s="815"/>
      <c r="P72" s="822" t="str">
        <f>IF(I71="",P71,"")</f>
        <v/>
      </c>
      <c r="Q72" s="904"/>
    </row>
    <row r="73" spans="2:20" ht="15.75" customHeight="1" thickBot="1" x14ac:dyDescent="0.3">
      <c r="B73" s="380"/>
      <c r="C73" s="582">
        <f>IF(C72&gt;42370,"",IF(AND(MONTH(C72)=1,DAY(C72)=1),EDATE(C72,6),EDATE(EDATE(EOMONTH(C72,0)+1,-(MONTH(C72))),18)))</f>
        <v>38899</v>
      </c>
      <c r="D73" s="371">
        <f>IF(C73="","",CEILING(D72*3%+D72-0.9,10))</f>
        <v>8200</v>
      </c>
      <c r="E73" s="367" t="str">
        <f t="shared" ref="E73" si="9">IF(C73="","","("&amp;D72&amp;" + "&amp;CEILING(D72*3%-0.9,10)&amp;")")</f>
        <v>(7960 + 240)</v>
      </c>
      <c r="F73" s="383"/>
      <c r="H73" s="670" t="s">
        <v>62</v>
      </c>
      <c r="I73" s="570">
        <f>$D$63+$D$64</f>
        <v>3310</v>
      </c>
      <c r="J73" s="830" t="str">
        <f>K60</f>
        <v>Option for Pre-Revised Scale</v>
      </c>
      <c r="K73" s="831"/>
      <c r="L73" s="434" t="b">
        <v>0</v>
      </c>
      <c r="N73" s="433"/>
      <c r="P73" s="402"/>
    </row>
    <row r="74" spans="2:20" ht="15.75" customHeight="1" x14ac:dyDescent="0.25">
      <c r="B74" s="380"/>
      <c r="C74" s="582">
        <f>IF(C73="","",IF(EDATE(C73,12)&gt;$C$84,"",EDATE(C73,12)))</f>
        <v>39264</v>
      </c>
      <c r="D74" s="371">
        <f t="shared" ref="D74:D82" si="10">IF(C74="","",CEILING(D73*3%+D73-0.9,10))</f>
        <v>8450</v>
      </c>
      <c r="E74" s="367" t="str">
        <f t="shared" ref="E74:E82" si="11">IF(C74="","","("&amp;D73&amp;" + "&amp;CEILING(D73*3%-0.9,10)&amp;")")</f>
        <v>(8200 + 250)</v>
      </c>
      <c r="F74" s="383"/>
      <c r="H74" s="429"/>
      <c r="I74" s="409"/>
      <c r="J74" s="409"/>
      <c r="K74" s="430"/>
      <c r="L74" s="431"/>
      <c r="M74" s="431"/>
      <c r="N74" s="432"/>
      <c r="O74" s="433"/>
      <c r="P74" s="403"/>
      <c r="Q74" s="174"/>
    </row>
    <row r="75" spans="2:20" ht="15.75" customHeight="1" x14ac:dyDescent="0.25">
      <c r="B75" s="380"/>
      <c r="C75" s="582">
        <f>IF(C74="","",IF(EDATE(C74,12)&gt;$C$84,"",EDATE(C74,12)))</f>
        <v>39630</v>
      </c>
      <c r="D75" s="371">
        <f t="shared" si="10"/>
        <v>8710</v>
      </c>
      <c r="E75" s="367" t="str">
        <f t="shared" si="11"/>
        <v>(8450 + 260)</v>
      </c>
      <c r="F75" s="383"/>
      <c r="P75" s="403"/>
      <c r="Q75" s="402"/>
    </row>
    <row r="76" spans="2:20" ht="15.75" customHeight="1" x14ac:dyDescent="0.25">
      <c r="B76" s="380"/>
      <c r="C76" s="582">
        <f>IF(C75="","",IF(EDATE(C75,12)&gt;$C$84,"",EDATE(C75,12)))</f>
        <v>39995</v>
      </c>
      <c r="D76" s="371">
        <f t="shared" si="10"/>
        <v>8980</v>
      </c>
      <c r="E76" s="367" t="str">
        <f t="shared" si="11"/>
        <v>(8710 + 270)</v>
      </c>
      <c r="F76" s="383"/>
      <c r="G76" s="175"/>
      <c r="H76" s="174"/>
      <c r="L76" s="174"/>
    </row>
    <row r="77" spans="2:20" ht="17.25" customHeight="1" x14ac:dyDescent="0.25">
      <c r="B77" s="380"/>
      <c r="C77" s="582">
        <f>IF(C76="","",IF(EDATE(C76,12)&gt;$C$84,"",EDATE(C76,12)))</f>
        <v>40360</v>
      </c>
      <c r="D77" s="371">
        <f t="shared" si="10"/>
        <v>9250</v>
      </c>
      <c r="E77" s="367" t="str">
        <f t="shared" si="11"/>
        <v>(8980 + 270)</v>
      </c>
      <c r="F77" s="383"/>
      <c r="G77" s="175"/>
      <c r="H77" s="174"/>
      <c r="J77" s="174"/>
      <c r="L77" s="174"/>
    </row>
    <row r="78" spans="2:20" ht="17.25" customHeight="1" x14ac:dyDescent="0.25">
      <c r="B78" s="380"/>
      <c r="C78" s="582">
        <f t="shared" ref="C78:C81" si="12">IF(C77="","",IF(EDATE(C77,12)&gt;$C$84,"",EDATE(C77,12)))</f>
        <v>40725</v>
      </c>
      <c r="D78" s="371">
        <f t="shared" ref="D78:D81" si="13">IF(C78="","",CEILING(D77*3%+D77-0.9,10))</f>
        <v>9530</v>
      </c>
      <c r="E78" s="367" t="str">
        <f t="shared" ref="E78:E81" si="14">IF(C78="","","("&amp;D77&amp;" + "&amp;CEILING(D77*3%-0.9,10)&amp;")")</f>
        <v>(9250 + 280)</v>
      </c>
      <c r="F78" s="383"/>
      <c r="H78" s="174"/>
      <c r="J78" s="174"/>
    </row>
    <row r="79" spans="2:20" ht="17.25" customHeight="1" x14ac:dyDescent="0.25">
      <c r="B79" s="380"/>
      <c r="C79" s="582">
        <f t="shared" si="12"/>
        <v>41091</v>
      </c>
      <c r="D79" s="371">
        <f t="shared" si="13"/>
        <v>9820</v>
      </c>
      <c r="E79" s="367" t="str">
        <f t="shared" si="14"/>
        <v>(9530 + 290)</v>
      </c>
      <c r="F79" s="383"/>
      <c r="S79" s="178"/>
      <c r="T79" s="178"/>
    </row>
    <row r="80" spans="2:20" ht="17.25" customHeight="1" x14ac:dyDescent="0.25">
      <c r="B80" s="380"/>
      <c r="C80" s="582">
        <f t="shared" si="12"/>
        <v>41456</v>
      </c>
      <c r="D80" s="371">
        <f t="shared" si="13"/>
        <v>10120</v>
      </c>
      <c r="E80" s="367" t="str">
        <f t="shared" si="14"/>
        <v>(9820 + 300)</v>
      </c>
      <c r="F80" s="383"/>
      <c r="H80" s="174"/>
      <c r="I80" s="174"/>
      <c r="S80" s="178"/>
      <c r="T80" s="178"/>
    </row>
    <row r="81" spans="2:20" ht="17.25" customHeight="1" x14ac:dyDescent="0.25">
      <c r="B81" s="380"/>
      <c r="C81" s="582">
        <f t="shared" si="12"/>
        <v>41821</v>
      </c>
      <c r="D81" s="371">
        <f t="shared" si="13"/>
        <v>10430</v>
      </c>
      <c r="E81" s="367" t="str">
        <f t="shared" si="14"/>
        <v>(10120 + 310)</v>
      </c>
      <c r="F81" s="383"/>
      <c r="I81" s="174"/>
      <c r="P81" s="403"/>
    </row>
    <row r="82" spans="2:20" ht="17.25" customHeight="1" x14ac:dyDescent="0.25">
      <c r="B82" s="380"/>
      <c r="C82" s="582">
        <f>IF(C81="","",IF(EDATE(C81,12)&gt;$C$84,"",EDATE(C81,12)))</f>
        <v>42186</v>
      </c>
      <c r="D82" s="371">
        <f t="shared" si="10"/>
        <v>10750</v>
      </c>
      <c r="E82" s="367" t="str">
        <f t="shared" si="11"/>
        <v>(10430 + 320)</v>
      </c>
      <c r="F82" s="383"/>
      <c r="J82" s="174"/>
      <c r="P82" s="403"/>
      <c r="T82" s="179"/>
    </row>
    <row r="83" spans="2:20" ht="17.25" customHeight="1" thickBot="1" x14ac:dyDescent="0.3">
      <c r="B83" s="380"/>
      <c r="C83" s="582">
        <f>IF(C82="","",IF(EDATE(C82,12)&gt;$C$84,"",EDATE(C82,12)))</f>
        <v>42552</v>
      </c>
      <c r="D83" s="371">
        <f t="shared" ref="D83" si="15">IF(C83="","",CEILING(D82*3%+D82-0.9,10))</f>
        <v>11080</v>
      </c>
      <c r="E83" s="367" t="str">
        <f t="shared" ref="E83" si="16">IF(C83="","","("&amp;D82&amp;" + "&amp;CEILING(D82*3%-0.9,10)&amp;")")</f>
        <v>(10750 + 330)</v>
      </c>
      <c r="F83" s="383"/>
      <c r="H83" s="403"/>
      <c r="I83" s="403"/>
      <c r="J83" s="403"/>
      <c r="K83" s="403"/>
      <c r="L83" s="403"/>
      <c r="R83" s="180"/>
      <c r="S83" s="667"/>
      <c r="T83" s="667"/>
    </row>
    <row r="84" spans="2:20" ht="17.25" customHeight="1" thickBot="1" x14ac:dyDescent="0.3">
      <c r="B84" s="380" t="s">
        <v>63</v>
      </c>
      <c r="C84" s="588">
        <v>42826</v>
      </c>
      <c r="D84" s="371" cm="1">
        <f t="array" ref="D84">IF($C$95&lt;C84," ",INDEX('2017'!D6:V45,R86,R85))</f>
        <v>24930</v>
      </c>
      <c r="E84" s="384" t="str">
        <f>"(Level-"&amp;R85&amp;",Cell-"&amp;R86&amp;")"</f>
        <v>(Level-4,Cell-15)</v>
      </c>
      <c r="F84" s="385" t="str">
        <f>"("&amp;TEXT(VLOOKUP(42825,$C$72:$D$84,2,TRUE),"₹#,##0;")&amp;" × 2.25 = "&amp;TEXT(SUM(VLOOKUP(42825,$C$72:$D$84,2,TRUE)*2.25),"₹#,##0;")&amp;")"</f>
        <v>(₹11,080 × 2.25 = ₹24,930)</v>
      </c>
      <c r="H84" s="421" t="str">
        <f>IF($I$84="","",IF(OR(ISNUMBER(SEARCH("Grad",$E$5)),ISNUMBER(SEARCH("CAS",$E$5))),"ACP-1",$E$5))</f>
        <v/>
      </c>
      <c r="I84" s="585" t="str">
        <f>IF(AND($F$5&gt;42826,$F$5&lt;45231,MONTH($F$5)&lt;7,$N$84=TRUE),"",IF(OR($F$5&lt;42826,$F$5&gt;$C$95),"",$F$5))</f>
        <v/>
      </c>
      <c r="J84" s="785" t="str" cm="1">
        <f t="array" ref="J84">IF(OR(F5&lt;$C$84,F5&gt;$C$95),"",IF(AND(F5&gt;$C$84,F5&lt;$C$87),IF(N85="MACP",INDEX('2017'!$D$6:$V$45,P85,O85),INDEX('2017'!$D$6:$V$45,P85+1,O85)),IF(AND(F5&gt;$C$87,F5&lt;$C$95),IF(N85="MACP",INDEX('2018'!$D$6:$V$45,P85,O85),INDEX('2018'!$D$6:$V$45,P85+1,O85)))))</f>
        <v/>
      </c>
      <c r="K84" s="669" t="str">
        <f>IF(OR(F5&lt;$C$72,F5&gt;$C$95,I84=""),"",IF(N85="MACP","(L-"&amp;O84&amp;",C-"&amp;P84&amp;")","(L-"&amp;O84&amp;",C-"&amp;P84+1&amp;")"))</f>
        <v/>
      </c>
      <c r="L84" s="847"/>
      <c r="M84" s="848"/>
      <c r="N84" s="663" t="b">
        <v>0</v>
      </c>
      <c r="O84" s="598" t="s">
        <v>12</v>
      </c>
      <c r="P84" s="598" t="s">
        <v>33</v>
      </c>
      <c r="Q84" s="845" t="s">
        <v>63</v>
      </c>
      <c r="R84" s="846"/>
    </row>
    <row r="85" spans="2:20" ht="17.25" customHeight="1" thickBot="1" x14ac:dyDescent="0.3">
      <c r="B85" s="380"/>
      <c r="C85" s="588">
        <f>IF(OR(I63=42826,I65=42826,I67=42826,I69=42826,I71=42826,AND(C9&gt;42736,C9&lt;42826)),EDATE(C84,9),EDATE(C84,3))</f>
        <v>42917</v>
      </c>
      <c r="D85" s="371">
        <f>IF($C$95&lt;C85,"",CEILING(D84*3%+D84,10))</f>
        <v>25680</v>
      </c>
      <c r="E85" s="386" t="str">
        <f>IF(D85="","","(L-"&amp;$R$85&amp;",C-"&amp;MATCH(D85,IF($R$85=1,'2017'!$D$6:$D$45,IF($R$85=2,'2017'!$E$6:$E$45,IF($R$85=3,'2017'!$F$6:$F$45,IF($R$85=4,'2017'!$G$6:$G$45,IF($R$85=5,'2017'!$H$6:$H$45,IF($R$85=6,'2017'!$I$6:$I$45,IF($R$85=7,'2017'!$J$6:$J$45,IF($R$85=8,'2017'!$K$6:$K$45,IF($R$85=9,'2017'!$L$6:$L$45,IF($R$85=10,'2017'!$M$6:$M$45,IF($R$85=11,'2017'!$N$6:$N$45,IF($R$85=12,'2017'!$O$6:$O$45,IF($R$85=13,'2017'!$P$6:$P$45,IF($R$85=14,'2017'!$Q$6:$Q$45,IF($R$85=15,'2017'!$R$6:$R$45,IF($R$85=16,'2017'!$S$6:$S$45,IF($R$85=17,'2017'!$T$6:$T$45,IF($R$85=18,'2017'!$U$6:$U$45,IF($R$85=19,'2017'!$V$6:$V$45,0))))))))))))))))))))&amp;")")</f>
        <v>(L-4,C-16)</v>
      </c>
      <c r="F85" s="383"/>
      <c r="H85" s="439" t="str">
        <f>IF(OR(I85="",I84&lt;&gt;""),"",IF(AND($F$5&gt;42826,$F$5&lt;$C$10,MONTH($F$5)&lt;7,$N$84=TRUE),$E$5,""))</f>
        <v/>
      </c>
      <c r="I85" s="586" t="str" cm="1">
        <f t="array" ref="I85">IF(OR(F5="",F5&lt;$C$84,F5&gt;$C$95),"",IF(AND(F5&gt;$C$84,F5&lt;$C$87,N84=TRUE),INDEX($C$84:$C$87,1+MATCH(F5,$C$84:$C$87,1)),(IF(MONTH(F5)&gt;6,DATE(YEAR(F5)+1,7,1),IF(AND(F5&gt;$C$84,F5&lt;$C$95),IF(AND(N84=TRUE,F5&lt;45231),INDEX($C$84:$C$94,1+MATCH(F5,$C$84:$C$94,1)),(IF(AND(DAY(I84)=1,MONTH(I84)=1),DATE(YEAR(F5),7,1),IF(MONTH(F5)&gt;6,DATE(YEAR(F5)+1,7,1),DATE(YEAR(F5)+1,1,1))))))))))</f>
        <v/>
      </c>
      <c r="J85" s="786" t="str" cm="1">
        <f t="array" ref="J85">IF(F5&lt;$C$84,"",IF(AND(F5&gt;$C$84,F5&lt;$C$87),IF(N85="MACP",INDEX('2017'!$D$6:$V$45,P85+1,O85),INDEX('2017'!$D$6:$V$45,P85+2,O85)),IF(AND(F5&gt;$C$87,F5&lt;$C$95),IF(N85="MACP",INDEX('2018'!$D$6:$V$45,P85+1,O85),INDEX('2018'!$D$6:$V$45,P85+2,O85)))))</f>
        <v/>
      </c>
      <c r="K85" s="600" t="str">
        <f>IF(OR(F5&lt;$C$72,F5&gt;$C$95,I85=""),"",IF(N85="MACP","(L-"&amp;O84&amp;",C-"&amp;P84+1&amp;")","(L-"&amp;O84&amp;",C-"&amp;P84+2&amp;")"))</f>
        <v/>
      </c>
      <c r="L85" s="822" t="str">
        <f>IF(AND(I85&gt;$C$84,I85&lt;$C$95,MONTH($F$5)&lt;7,N84=TRUE,F5&lt;45231),"(Option Exercised for MACP)","")</f>
        <v/>
      </c>
      <c r="M85" s="823"/>
      <c r="N85" s="549" t="str">
        <f>IF(AND(H84="",H85=""),"",IF(ISNUMBER(SEARCH("MACP", E5)), "MACP", "Promotion"))</f>
        <v/>
      </c>
      <c r="O85" s="671">
        <f>IF(OR(F5&lt;$C$84,AND(F5&gt;C87-1,N84=FALSE),I84=""),R85,MATCH(R85,'2018'!D4:V4,0))</f>
        <v>4</v>
      </c>
      <c r="P85" s="669" t="str">
        <f>IF(F5&lt;$C$84,"",IF(AND(F5&gt;42825,F5&lt;$C$87),MATCH(VLOOKUP(F5-1,$C$84:$D$86,2,TRUE),IF(O85=1,'2017'!$D$6:$D$45,IF(O85=2,'2017'!$E$6:$E$45,IF(O85=3,'2017'!$F$6:$F$45,IF(O85=4,'2017'!$G$6:$G$45,IF(O85=5,'2017'!$H$6:$H$45,IF(O85=6,'2017'!$I$6:$I$45,IF(O85=7,'2017'!$J$6:$J$45,IF(O85=8,'2017'!$K$6:$K$45,IF(O85=9,'2017'!$L$6:$L$45,IF(O85=10,'2017'!$M$6:$M$45,IF(O85=11,'2017'!$N$6:$N$45,IF(O85=12,'2017'!$O$6:$O$45,IF(O85=13,'2017'!$P$6:$P$45,IF(O85=14,'2017'!$Q$6:$Q$45,IF(O85=15,'2017'!$R$6:$R$45,IF(O85=16,'2017'!$S$6:$S$45,IF(O85=17,'2017'!$T$6:$T$45,IF(O85=18,'2017'!$U$6:$U$45,IF(O85=19,'2017'!$V$6:$V$45))))))))))))))))))),1)+1,IF(AND(F5&gt;43373,F5&lt;$C$95),MATCH(VLOOKUP(F5-1,$C$87:$D$94,2,TRUE),IF(O85=1,'2018'!$D$6:$D$45,IF(O85=2,'2018'!$E$6:$E$45,IF(O85=3,'2018'!$F$6:$F$45,IF(O85=4,'2018'!$G$6:$G$45,IF(O85=5,'2018'!$H$6:$H$45,IF(O85=6,'2018'!$I$6:$I$45,IF(O85=7,'2018'!$J$6:$J$45,IF(O85=8,'2018'!$K$6:$K$45,IF(O85=9,'2018'!$L$6:$L$45,IF(O85=10,'2018'!$M$6:$M$45,IF(O85=11,'2018'!$N$6:$N$45,IF(O85=12,'2018'!$O$6:$O$45,IF(O85=13,'2018'!$P$6:$P$45,IF(O85=14,'2018'!$Q$6:$Q$45,IF(O85=15,'2018'!$R$6:$R$45,IF(O85=16,'2018'!$S$6:$S$45,IF(O85=17,'2018'!$T$6:$T$45,IF(O85=18,'2018'!$U$6:$U$45,IF(O85=19,'2018'!$V$6:$V$45))))))))))))))))))),1)+1)))</f>
        <v/>
      </c>
      <c r="Q85" s="597">
        <f>VLOOKUP(42825,$C$72:$D$84,2,TRUE)</f>
        <v>11080</v>
      </c>
      <c r="R85" s="803">
        <f>IF(O71=1400,1,IF(AND(O71=1650),2,IF(AND(O71=1800),3,IF(AND(O71=1900),4,IF(AND(O71=2000),5,IF(AND(O71=2100),6,IF(AND(O71=2200),7,IF(AND(O71=2400),8,IF(AND(O71=2800),9,IF(AND(O71=4200),10,IF(AND(O71=4400),11,IF(AND(O71=4600),12,IF(AND(O71=4800),13,IF(AND(O71=5400),14,IF(AND(O71=6600),15,IF(AND(O71=6800),16,IF(AND(O71=7000),17,IF(AND(O71=7100),18,IF(AND(O71=7600),19)))))))))))))))))))</f>
        <v>4</v>
      </c>
    </row>
    <row r="86" spans="2:20" ht="17.25" customHeight="1" thickBot="1" x14ac:dyDescent="0.3">
      <c r="B86" s="380"/>
      <c r="C86" s="588">
        <f>IF(EDATE(C85,12)&gt;43374,"",EDATE(C85,12))</f>
        <v>43282</v>
      </c>
      <c r="D86" s="371">
        <f>IF($C$95&lt;C86,"",CEILING(D85*3%+D85,10))</f>
        <v>26460</v>
      </c>
      <c r="E86" s="386" t="str">
        <f>IF(D86="","","(L-"&amp;$R$85&amp;",C-"&amp;MATCH(D86,IF($R$85=1,'2017'!$D$6:$D$45,IF($R$85=2,'2017'!$E$6:$E$45,IF($R$85=3,'2017'!$F$6:$F$45,IF($R$85=4,'2017'!$G$6:$G$45,IF($R$85=5,'2017'!$H$6:$H$45,IF($R$85=6,'2017'!$I$6:$I$45,IF($R$85=7,'2017'!$J$6:$J$45,IF($R$85=8,'2017'!$K$6:$K$45,IF($R$85=9,'2017'!$L$6:$L$45,IF($R$85=10,'2017'!$M$6:$M$45,IF($R$85=11,'2017'!$N$6:$N$45,IF($R$85=12,'2017'!$O$6:$O$45,IF($R$85=13,'2017'!$P$6:$P$45,IF($R$85=14,'2017'!$Q$6:$Q$45,IF($R$85=15,'2017'!$R$6:$R$45,IF($R$85=16,'2017'!$S$6:$S$45,IF($R$85=17,'2017'!$T$6:$T$45,IF($R$85=18,'2017'!$U$6:$U$45,IF($R$85=19,'2017'!$V$6:$V$45,0))))))))))))))))))))&amp;")")</f>
        <v>(L-4,C-17)</v>
      </c>
      <c r="F86" s="383"/>
      <c r="H86" s="421" t="str">
        <f>IF($I$86="","",IF(OR(ISNUMBER(SEARCH("Grad",$E$6)),ISNUMBER(SEARCH("CAS",$E$6))),"ACP-2",$E$6))</f>
        <v/>
      </c>
      <c r="I86" s="587" t="str">
        <f>IF(AND($F$6&gt;42825,$F$6&lt;45231,MONTH($F$6)&lt;7,$N$86=TRUE),"",IF(OR($F$6&lt;42826,$F$6&gt;$C$95),"",$F$6))</f>
        <v/>
      </c>
      <c r="J86" s="785" t="str" cm="1">
        <f t="array" ref="J86">IF(OR(F6&lt;$C$84,F6&gt;$C$95),"",IF(AND(F6&gt;$C$84,F6&lt;$C$87),IF(OR(N87="MACP",AND(N87="Promotion",N85="MACP",I86-I84&lt;365)),INDEX('2017'!$D$6:$V$45,P86,O86),INDEX('2017'!$D$6:$V$45,P86+1,O86)),IF(AND(F6&gt;$C$87,F6&lt;$C$95),IF(N87="MACP",INDEX('2018'!$D$6:$V$45,P86,O86),INDEX('2018'!$D$6:$V$45,P86+1,O86)))))</f>
        <v/>
      </c>
      <c r="K86" s="669" t="str">
        <f>IF(OR(F6&lt;$C$72,F6&gt;$C$95,I86=""),"",IF(N87="MACP","(L-"&amp;O86&amp;",C-"&amp;P86&amp;")","(L-"&amp;O86&amp;",C-"&amp;P86+1&amp;")"))</f>
        <v/>
      </c>
      <c r="L86" s="847"/>
      <c r="M86" s="848"/>
      <c r="N86" s="663" t="b">
        <v>0</v>
      </c>
      <c r="O86" s="824">
        <f>O85</f>
        <v>4</v>
      </c>
      <c r="P86" s="826" t="str">
        <f>IF(F6&lt;$C$84,"",IF(AND(F6&gt;42825,F6&lt;$C$87),MATCH(VLOOKUP(F6-1,$C$84:$D$86,2,TRUE),IF(O86=1,'2017'!$D$6:$D$45,IF(O86=2,'2017'!$E$6:$E$45,IF(O86=3,'2017'!$F$6:$F$45,IF(O86=4,'2017'!$G$6:$G$45,IF(O86=5,'2017'!$H$6:$H$45,IF(O86=6,'2017'!$I$6:$I$45,IF(O86=7,'2017'!$J$6:$J$45,IF(O86=8,'2017'!$K$6:$K$45,IF(O86=9,'2017'!$L$6:$L$45,IF(O86=10,'2017'!$M$6:$M$45,IF(O86=11,'2017'!$N$6:$N$45,IF(O86=12,'2017'!$O$6:$O$45,IF(O86=13,'2017'!$P$6:$P$45,IF(O86=14,'2017'!$Q$6:$Q$45,IF(O86=15,'2017'!$R$6:$R$45,IF(O86=16,'2017'!$S$6:$S$45,IF(O86=17,'2017'!$T$6:$T$45,IF(O86=18,'2017'!$U$6:$U$45,IF(O86=19,'2017'!$V$6:$V$45))))))))))))))))))),1)+1,IF(AND(F6&gt;43373,F6&lt;$C$95),MATCH(VLOOKUP(F6-1,$C$87:$D$94,2,TRUE),IF(O86=1,'2018'!$D$6:$D$45,IF(O86=2,'2018'!$E$6:$E$45,IF(O86=3,'2018'!$F$6:$F$45,IF(O86=4,'2018'!$G$6:$G$45,IF(O86=5,'2018'!$H$6:$H$45,IF(O86=6,'2018'!$I$6:$I$45,IF(O86=7,'2018'!$J$6:$J$45,IF(O86=8,'2018'!$K$6:$K$45,IF(O86=9,'2018'!$L$6:$L$45,IF(O86=10,'2018'!$M$6:$M$45,IF(O86=11,'2018'!$N$6:$N$45,IF(O86=12,'2018'!$O$6:$O$45,IF(O86=13,'2018'!$P$6:$P$45,IF(O86=14,'2018'!$Q$6:$Q$45,IF(O86=15,'2018'!$R$6:$R$45,IF(O86=16,'2018'!$S$6:$S$45,IF(O86=17,'2018'!$T$6:$T$45,IF(O86=18,'2018'!$U$6:$U$45,IF(O86=19,'2018'!$V$6:$V$45))))))))))))))))))),1)+1)))</f>
        <v/>
      </c>
      <c r="Q86" s="801">
        <f>ROUNDUP(SUM(VLOOKUP(42825,$C$72:$D$84,2,TRUE)*2.25),0)</f>
        <v>24930</v>
      </c>
      <c r="R86" s="802">
        <f>IF(INDEX('2017'!D6:V45,IF(O71=1400,MATCH(Q86,'2017'!D6:D45,1),IF(O71=1650,MATCH(Q86,'2017'!E6:E45,1),IF(O71=1800,MATCH(Q86,'2017'!F6:F45,1),IF(O71=1900,MATCH(Q86,'2017'!G6:G45,1),IF(O71=2000,MATCH(Q86,'2017'!H6:H45,1),IF(O71=2100,MATCH(Q86,'2017'!I6:I45,1),IF(O71=2200,MATCH(Q86,'2017'!J6:J45,1),IF(O71=2400,MATCH(Q86,'2017'!K6:K45,1),IF(O71=2800,MATCH(Q86,'2017'!L6:L45,1),IF(O71=4200,MATCH(Q86,'2017'!M6:M45,1),IF(O71=4400,MATCH(Q86,'2017'!N6:N45,1),IF(O71=4600,MATCH(Q86,'2017'!O6:O45,1),IF(O71=4800,MATCH(Q86,'2017'!P6:P45,1),IF(O71=5400,MATCH(Q86,'2017'!Q6:Q45,1),IF(O71=6600,MATCH(Q86,'2017'!R6:R45,1),IF(O71=6800,MATCH(Q86,'2017'!S6:S45,1),IF(O71=7000,MATCH(Q86,'2017'!T6:T45,1),IF(O71=7100,MATCH(Q86,'2017'!U6:U45,1),IF(O71=7600,MATCH(Q86,'2017'!V6:V45,1),))))))))))))))))))),IPS!R85)=Q86,IF(O71=1400,MATCH(Q86,'2017'!D6:D45,1),IF(O71=1650,MATCH(Q86,'2017'!E6:E45,1),IF(O71=1800,MATCH(Q86,'2017'!F6:F45,1),IF(O71=1900,MATCH(Q86,'2017'!G6:G45,1),IF(O71=2000,MATCH(Q86,'2017'!H6:H45,1),IF(O71=2100,MATCH(Q86,'2017'!I6:I45,1),IF(O71=2200,MATCH(Q86,'2017'!J6:J45,1),IF(O71=2400,MATCH(Q86,'2017'!K6:K45,1),IF(O71=2800,MATCH(Q86,'2017'!L6:L45,1),IF(O71=4200,MATCH(Q86,'2017'!M6:M45,1),IF(O71=4400,MATCH(Q86,'2017'!N6:N45,1),IF(O71=4600,MATCH(Q86,'2017'!O6:O45,1),IF(O71=4800,MATCH(Q86,'2017'!P6:P45,1),IF(O71=5400,MATCH(Q86,'2017'!Q6:Q45,1),IF(O71=6600,MATCH(Q86,'2017'!R6:R45,1),IF(O71=6800,MATCH(Q86,'2017'!S6:S45,1),IF(O71=7000,MATCH(Q86,'2017'!T6:T45,1),IF(O71=7100,MATCH(Q86,'2017'!U6:U45,1),IF(O71=7600,MATCH(Q86,'2017'!V6:V45,1),))))))))))))))))))),IF(O71=1400,MATCH(Q86,'2017'!D6:D45,1),IF(O71=1650,MATCH(Q86,'2017'!E6:E45,1),IF(O71=1800,MATCH(Q86,'2017'!F6:F45,1),IF(O71=1900,MATCH(Q86,'2017'!G6:G45,1),IF(O71=2000,MATCH(Q86,'2017'!H6:H45,1),IF(O71=2100,MATCH(Q86,'2017'!I6:I45,1),IF(O71=2200,MATCH(Q86,'2017'!J6:J45,1),IF(O71=2400,MATCH(Q86,'2017'!K6:K45,1),IF(O71=2800,MATCH(Q86,'2017'!L6:L45,1),IF(O71=4200,MATCH(Q86,'2017'!M6:M45,1),IF(O71=4400,MATCH(Q86,'2017'!N6:N45,1),IF(O71=4600,MATCH(Q86,'2017'!O6:O45,1),IF(O71=4800,MATCH(Q86,'2017'!P6:P45,1),IF(O71=5400,MATCH(Q86,'2017'!Q6:Q45,1),IF(O71=6600,MATCH(Q86,'2017'!R6:R45,1),IF(O71=6800,MATCH(Q86,'2017'!S6:S45,1),IF(O71=7000,MATCH(Q86,'2017'!T6:T45,1),IF(O71=7100,MATCH(Q86,'2017'!U6:U45,1),IF(O71=7600,MATCH(Q86,'2017'!V6:V45,1),)))))))))))))))))))+1)</f>
        <v>15</v>
      </c>
    </row>
    <row r="87" spans="2:20" ht="17.25" customHeight="1" thickBot="1" x14ac:dyDescent="0.3">
      <c r="B87" s="380" t="s">
        <v>64</v>
      </c>
      <c r="C87" s="588">
        <v>43374</v>
      </c>
      <c r="D87" s="371" cm="1">
        <f t="array" ref="D87">IF($C$95&lt;C87,"",INDEX('2018'!$D$6:$V$45,IPS!R89,IPS!R88))</f>
        <v>28800</v>
      </c>
      <c r="E87" s="384" t="str">
        <f>"(Level-"&amp;R88&amp;",Cell-"&amp;R89&amp;")"</f>
        <v>(Level-4,Cell-18)</v>
      </c>
      <c r="F87" s="385" t="str">
        <f>"("&amp;TEXT(VLOOKUP(43373,$C$84:$D$87,2,TRUE),"₹#,##0;")&amp;"×"&amp;IF(OR(O71=1400,O71=2100,O71=2200,O71=2400,O71=2800,O71=4200,O71=4400,O71=4600,O71=5400,O71=6600,O71=6800,O71=7000,O71=7100,O71=7600),2.57,IF(O71=1650,2.51,IF(O71=1800,2.45,IF(O71=1900,2.4,IF(O71=2000,2.34,IF(O71=4800,2.55,))))))&amp;"÷2.25 = "&amp;TEXT(SUM(VLOOKUP(43373,$C$84:$D$87,2,TRUE)*IF(OR(O71=1400,O71=2100,O71=2200,O71=2400,O71=2800,O71=4200,O71=4400,O71=4600,O71=5400,O71=6600,O71=6800,O71=7000,O71=7100,O71=7600),2.57,IF(O71=1650,2.51,IF(O71=1800,2.45,IF(O71=1900,2.4,IF(O71=2000,2.34,IF(O71=4800,2.55,))))))/2.25),"₹#,##0;")&amp;")"</f>
        <v>(₹26,460×2.4÷2.25 = ₹28,224)</v>
      </c>
      <c r="H87" s="439" t="str">
        <f>IF(OR(I87="",I86&lt;&gt;""),"",IF(AND($F$6&gt;42826,$F$6&lt;$C$10,MONTH($F$6)&lt;7,$N$86=TRUE),$E$6,""))</f>
        <v/>
      </c>
      <c r="I87" s="586" t="str" cm="1">
        <f t="array" ref="I87">IF(OR(F6="",F6&lt;$C$84,F6&gt;$C$95),"",IF(AND(F6&gt;$C$84,F6&lt;$C$87,N86=TRUE),INDEX($C$84:$C$87,1+MATCH(F6,$C$84:$C$87,1)),(IF(MONTH(F6)&gt;6,DATE(YEAR(F6)+1,7,1),IF(AND(F6&gt;$C$84,F6&lt;$C$95),IF(AND(N86=TRUE,F6&lt;45231),INDEX($C$84:$C$94,1+MATCH(F6,$C$84:$C$94,1)),(IF(AND(DAY(I86)=1,MONTH(I86)=1),DATE(YEAR(F6),7,1),IF(MONTH(F6)&gt;6,DATE(YEAR(F6)+1,7,1),DATE(YEAR(F6)+1,1,1))))))))))</f>
        <v/>
      </c>
      <c r="J87" s="786" t="str" cm="1">
        <f t="array" ref="J87">IF(F5&lt;$C$84,"",IF(AND(F5&gt;$C$84,F5&lt;$C$87),IF(N87="MACP",INDEX('2017'!$D$6:$V$45,P86+1,O86),INDEX('2017'!$D$6:$V$45,P86+2,O86)),IF(AND(F5&gt;$C$87,F5&lt;$C$95),IF(N87="MACP",INDEX('2018'!$D$6:$V$45,P86+1,O86),INDEX('2018'!$D$6:$V$45,P86+2,O86)))))</f>
        <v/>
      </c>
      <c r="K87" s="600" t="str">
        <f>IF(OR(F6&lt;$C$72,F6&gt;$C$95,I87=""),"",IF(N87="MACP","(L-"&amp;O86&amp;",C-"&amp;P86+1&amp;")","(L-"&amp;O86&amp;",C-"&amp;P86+2&amp;")"))</f>
        <v/>
      </c>
      <c r="L87" s="822" t="str">
        <f>IF(AND(I87&gt;$C$84,I87&lt;$C$95,MONTH($F$6)&lt;7,N86=TRUE,F6&lt;45231),"(Option Exercised for MACP)","")</f>
        <v/>
      </c>
      <c r="M87" s="823"/>
      <c r="N87" s="549" t="str">
        <f>IF(AND(H86="",H87=""),"",IF(ISNUMBER(SEARCH("MACP", E6)), "MACP", "Promotion"))</f>
        <v/>
      </c>
      <c r="O87" s="825"/>
      <c r="P87" s="844"/>
      <c r="Q87" s="845" t="s">
        <v>64</v>
      </c>
      <c r="R87" s="846"/>
    </row>
    <row r="88" spans="2:20" ht="17.25" customHeight="1" thickBot="1" x14ac:dyDescent="0.3">
      <c r="B88" s="380"/>
      <c r="C88" s="582">
        <f>IF(C86="",EDATE(C85,12),EDATE(C86,12))</f>
        <v>43647</v>
      </c>
      <c r="D88" s="371">
        <f t="shared" ref="D88:D94" si="17">IF($C$95&lt;C88,"",MROUND(D87*3%+D87,100))</f>
        <v>29700</v>
      </c>
      <c r="E88" s="386" t="str">
        <f>IF(D88="","","(L-"&amp;$R$88&amp;",C-"&amp;MATCH(D88,IF($R$88=1,'2018'!$D$6:$D$45,IF($R$88=2,'2018'!$E$6:$E$45,IF($R$88=3,'2018'!$F$6:$F$45,IF($R$88=4,'2018'!$G$6:$G$45,IF($R$88=5,'2018'!$H$6:$H$45,IF($R$88=6,'2018'!$I$6:$I$45,IF($R$88=7,'2018'!$J$6:$J$45,IF($R$88=8,'2018'!$K$6:$K$45,IF($R$88=9,'2018'!$L$6:$L$45,IF($R$88=10,'2018'!$M$6:$M$45,IF($R$88=11,'2018'!$N$6:$N$45,IF($R$88=12,'2018'!$O$6:$O$45,IF($R$88=13,'2018'!$P$6:$P$45,IF($R$88=14,'2018'!$Q$6:$Q$45,IF($R$88=15,'2018'!$R$6:$R$45,IF($R$88=16,'2018'!$S$6:$S$45,IF($R$88=17,'2018'!$T$6:$T$45,IF($R$88=18,'2018'!$U$6:$U$45,IF($R$88=19,'2018'!$V$6:$V$45,0))))))))))))))))))))&amp;")")</f>
        <v>(L-4,C-19)</v>
      </c>
      <c r="F88" s="383"/>
      <c r="G88" s="228"/>
      <c r="H88" s="421" t="str">
        <f>IF($I$88="","",IF(OR(ISNUMBER(SEARCH("Grad",$E$7)),ISNUMBER(SEARCH("CAS",$E$7))),"ACP-3",$E$7))</f>
        <v/>
      </c>
      <c r="I88" s="585" t="str">
        <f>IF(AND($F$7&gt;$C$84,$F$7&lt;45231,MONTH($F$7)&lt;7,$N$88=TRUE),"",IF(OR($F$7&lt;42826,$F$7&gt;$C$95),"",$F$7))</f>
        <v/>
      </c>
      <c r="J88" s="785" t="str" cm="1">
        <f t="array" ref="J88">IF(OR(F7&lt;$C$84,F7&gt;$C$95),"",IF(AND(F7&gt;$C$84,F7&lt;$C$87),IF(OR(N89="MACP",AND(N89="Promotion",N87="MACP",I88-I86&lt;365)),INDEX('2017'!$D$6:$V$45,P88,O88),INDEX('2017'!$D$6:$V$45,P88+1,O88)),IF(AND(F7&gt;$C$87,F7&lt;$C$95),IF(N89="MACP",INDEX('2018'!$D$6:$V$45,P88,O88),INDEX('2018'!$D$6:$V$45,P88+1,O88)))))</f>
        <v/>
      </c>
      <c r="K88" s="669" t="str">
        <f>IF(OR(F7&lt;$C$72,F7&gt;$C$95,I88=""),"",IF(N89="MACP","(L-"&amp;O88&amp;",C-"&amp;P88&amp;")","(L-"&amp;O88&amp;",C-"&amp;P88+1&amp;")"))</f>
        <v/>
      </c>
      <c r="L88" s="847"/>
      <c r="M88" s="848"/>
      <c r="N88" s="663" t="b">
        <v>0</v>
      </c>
      <c r="O88" s="826">
        <f>O86</f>
        <v>4</v>
      </c>
      <c r="P88" s="826" t="str">
        <f>IF(F7&lt;$C$84,"",IF(AND(F7&gt;42825,F7&lt;$C$87),MATCH(VLOOKUP(F7-1,$C$84:$D$86,2,TRUE),IF(O88=1,'2017'!$D$6:$D$45,IF(O88=2,'2017'!$E$6:$E$45,IF(O88=3,'2017'!$F$6:$F$45,IF(O88=4,'2017'!$G$6:$G$45,IF(O88=5,'2017'!$H$6:$H$45,IF(O88=6,'2017'!$I$6:$I$45,IF(O88=7,'2017'!$J$6:$J$45,IF(O88=8,'2017'!$K$6:$K$45,IF(O88=9,'2017'!$L$6:$L$45,IF(O88=10,'2017'!$M$6:$M$45,IF(O88=11,'2017'!$N$6:$N$45,IF(O88=12,'2017'!$O$6:$O$45,IF(O88=13,'2017'!$P$6:$P$45,IF(O88=14,'2017'!$Q$6:$Q$45,IF(O88=15,'2017'!$R$6:$R$45,IF(O88=16,'2017'!$S$6:$S$45,IF(O88=17,'2017'!$T$6:$T$45,IF(O88=18,'2017'!$U$6:$U$45,IF(O88=19,'2017'!$V$6:$V$45))))))))))))))))))),1)+1,IF(AND(F7&gt;43373,F7&lt;$C$95),MATCH(VLOOKUP(F7-1,$C$87:$D$94,2,TRUE),IF(O88=1,'2018'!$D$6:$D$45,IF(O88=2,'2018'!$E$6:$E$45,IF(O88=3,'2018'!$F$6:$F$45,IF(O88=4,'2018'!$G$6:$G$45,IF(O88=5,'2018'!$H$6:$H$45,IF(O88=6,'2018'!$I$6:$I$45,IF(O88=7,'2018'!$J$6:$J$45,IF(O88=8,'2018'!$K$6:$K$45,IF(O88=9,'2018'!$L$6:$L$45,IF(O88=10,'2018'!$M$6:$M$45,IF(O88=11,'2018'!$N$6:$N$45,IF(O88=12,'2018'!$O$6:$O$45,IF(O88=13,'2018'!$P$6:$P$45,IF(O88=14,'2018'!$Q$6:$Q$45,IF(O88=15,'2018'!$R$6:$R$45,IF(O88=16,'2018'!$S$6:$S$45,IF(O88=17,'2018'!$T$6:$T$45,IF(O88=18,'2018'!$U$6:$U$45,IF(O88=19,'2018'!$V$6:$V$45))))))))))))))))))),1)+1)))</f>
        <v/>
      </c>
      <c r="Q88" s="597">
        <f>VLOOKUP(43373,$C$84:$D$87,2,TRUE)</f>
        <v>26460</v>
      </c>
      <c r="R88" s="803">
        <f>IPS!R85</f>
        <v>4</v>
      </c>
    </row>
    <row r="89" spans="2:20" ht="17.25" customHeight="1" thickBot="1" x14ac:dyDescent="0.3">
      <c r="B89" s="380"/>
      <c r="C89" s="582">
        <f t="shared" ref="C89:C94" si="18">IF(EDATE(C88,12)&gt;$C$95,"",EDATE(C88,12))</f>
        <v>44013</v>
      </c>
      <c r="D89" s="371">
        <f t="shared" si="17"/>
        <v>30600</v>
      </c>
      <c r="E89" s="386" t="str">
        <f>IF(D89="","","(L-"&amp;$R$88&amp;",C-"&amp;MATCH(D89,IF($R$88=1,'2018'!$D$6:$D$45,IF($R$88=2,'2018'!$E$6:$E$45,IF($R$88=3,'2018'!$F$6:$F$45,IF($R$88=4,'2018'!$G$6:$G$45,IF($R$88=5,'2018'!$H$6:$H$45,IF($R$88=6,'2018'!$I$6:$I$45,IF($R$88=7,'2018'!$J$6:$J$45,IF($R$88=8,'2018'!$K$6:$K$45,IF($R$88=9,'2018'!$L$6:$L$45,IF($R$88=10,'2018'!$M$6:$M$45,IF($R$88=11,'2018'!$N$6:$N$45,IF($R$88=12,'2018'!$O$6:$O$45,IF($R$88=13,'2018'!$P$6:$P$45,IF($R$88=14,'2018'!$Q$6:$Q$45,IF($R$88=15,'2018'!$R$6:$R$45,IF($R$88=16,'2018'!$S$6:$S$45,IF($R$88=17,'2018'!$T$6:$T$45,IF($R$88=18,'2018'!$U$6:$U$45,IF($R$88=19,'2018'!$V$6:$V$45,0))))))))))))))))))))&amp;")")</f>
        <v>(L-4,C-20)</v>
      </c>
      <c r="F89" s="383"/>
      <c r="G89" s="180"/>
      <c r="H89" s="439" t="str">
        <f>IF(OR(I89="",I88&lt;&gt;""),"",IF(AND($F$7&gt;42826,$F$7&lt;$C$10,MONTH($F$7)&lt;7,$N$88=TRUE),$E$7,""))</f>
        <v/>
      </c>
      <c r="I89" s="586" t="str" cm="1">
        <f t="array" ref="I89">IF(OR(F7="",F7&lt;$C$84,F7&gt;$C$95),"",IF(AND(F7&gt;$C$84,F7&lt;$C$87,N88=TRUE),INDEX($C$84:$C$87,1+MATCH(F7,$C$84:$C$87,1)),(IF(MONTH(F7)&gt;6,DATE(YEAR(F7)+1,7,1),IF(AND(F7&gt;$C$84,F7&lt;$C$95),IF(AND(N88=TRUE,F7&lt;45231),INDEX($C$84:$C$94,1+MATCH(F7,$C$84:$C$94,1)),(IF(AND(DAY(I88)=1,MONTH(I88)=1),DATE(YEAR(F7),7,1),IF(MONTH(F7)&gt;6,DATE(YEAR(F7)+1,7,1),DATE(YEAR(F7)+1,1,1))))))))))</f>
        <v/>
      </c>
      <c r="J89" s="786" t="str" cm="1">
        <f t="array" ref="J89">IF(F7&lt;$C$84,"",IF(AND(F7&gt;$C$84,F7&lt;$C$87),IF(N89="MACP",INDEX('2017'!$D$6:$V$45,P88+1,O88),INDEX('2017'!$D$6:$V$45,P88+2,O88)),IF(AND(F7&gt;$C$87,F7&lt;$C$95),IF(N89="MACP",INDEX('2018'!$D$6:$V$45,P88+1,O88),INDEX('2018'!$D$6:$V$45,P88+2,O88)))))</f>
        <v/>
      </c>
      <c r="K89" s="600" t="str">
        <f>IF(OR(F7&lt;$C$72,F7&gt;$C$95,I89=""),"",IF(N89="MACP","(L-"&amp;O88&amp;",C-"&amp;P88+1&amp;")","(L-"&amp;O88&amp;",C-"&amp;P88+2&amp;")"))</f>
        <v/>
      </c>
      <c r="L89" s="822" t="str">
        <f>IF(AND($I$89&gt;$C$84,$I$89&lt;$C$95,MONTH($F$7)&lt;7,$N$88=TRUE,F7&lt;45231),"(Option Exercised for MACP)","")</f>
        <v/>
      </c>
      <c r="M89" s="823"/>
      <c r="N89" s="549" t="str">
        <f>IF(AND(H88="",H89=""),"",IF(ISNUMBER(SEARCH("MACP", E7)), "MACP", "Promotion"))</f>
        <v/>
      </c>
      <c r="O89" s="827"/>
      <c r="P89" s="844"/>
      <c r="Q89" s="801">
        <f>ROUND(SUM(VLOOKUP(43373,$C$84:$D$87,2,TRUE)*IF(OR(O71=1400,O71=2100,O71=2200,O71=2400,O71=2800,O71=4200,O71=4400,O71=4600,O71=5400,O71=6600,O71=6800,O71=7000,O71=7100,O71=7600),2.57,IF(O71=1650,2.51,IF(O71=1800,2.45,IF(O71=1900,2.4,IF(O71=2000,2.34,IF(O71=4800,2.55,))))))/2.25),-2)</f>
        <v>28200</v>
      </c>
      <c r="R89" s="802">
        <f>IF(INDEX('2018'!D6:V45,IF(O71=1400,MATCH(Q89,'2018'!D6:D45,1),IF(O71=1650,MATCH(Q89,'2018'!E6:E45,1),IF(O71=1800,MATCH(Q89,'2018'!F6:F45,1),IF(O71=1900,MATCH(Q89,'2018'!G6:G45,1),IF(O71=2000,MATCH(Q89,'2018'!H6:H45,1),IF(O71=2100,MATCH(Q89,'2018'!I6:I45,1),IF(O71=2200,MATCH(Q89,'2018'!J6:J45,1),IF(O71=2400,MATCH(Q89,'2018'!K6:K45,1),IF(O71=2800,MATCH(Q89,'2018'!L6:L45,1),IF(O71=4200,MATCH(Q89,'2018'!M6:M45,1),IF(O71=4400,MATCH(Q89,'2018'!N6:N45,1),IF(O71=4600,MATCH(Q89,'2018'!O6:O45,1),IF(O71=4800,MATCH(Q89,'2018'!P6:P45,1),IF(O71=5400,MATCH(Q89,'2018'!Q6:Q45,1),IF(O71=6600,MATCH(Q89,'2018'!R6:R45,1),IF(O71=6800,MATCH(Q89,'2018'!S6:S45,1),IF(O71=7000,MATCH(Q89,'2018'!T6:T45,1),IF(O71=7100,MATCH(Q89,'2018'!U6:U45,1),IF(O71=7600,MATCH(Q89,'2018'!V6:V45,1),))))))))))))))))))),IPS!R88)=Q89,IF(O71=1400,MATCH(Q89,'2018'!D6:D45,1),IF(O71=1650,MATCH(Q89,'2018'!E6:E45,1),IF(O71=1800,MATCH(Q89,'2018'!F6:F45,1),IF(O71=1900,MATCH(Q89,'2018'!G6:G45,1),IF(O71=2000,MATCH(Q89,'2018'!H6:H45,1),IF(O71=2100,MATCH(Q89,'2018'!I6:I45,1),IF(O71=2200,MATCH(Q89,'2018'!J6:J45,1),IF(O71=2400,MATCH(Q89,'2018'!K6:K45,1),IF(O71=2800,MATCH(Q89,'2018'!L6:L45,1),IF(O71=4200,MATCH(Q89,'2018'!M6:M45,1),IF(O71=4400,MATCH(Q89,'2018'!N6:N45,1),IF(O71=4600,MATCH(Q89,'2018'!O6:O45,1),IF(O71=4800,MATCH(Q89,'2018'!P6:P45,1),IF(O71=5400,MATCH(Q89,'2018'!Q6:Q45,1),IF(O71=6600,MATCH(Q89,'2018'!R6:R45,1),IF(O71=6800,MATCH(Q89,'2018'!S6:S45,1),IF(O71=7000,MATCH(Q89,'2018'!T6:T45,1),IF(O71=7100,MATCH(Q89,'2018'!U6:U45,1),IF(O71=7600,MATCH(Q89,'2018'!V6:V45,1),))))))))))))))))))),IF(O71=1400,MATCH(Q89,'2018'!D6:D45,1),IF(O71=1650,MATCH(Q89,'2018'!E6:E45,1),IF(O71=1800,MATCH(Q89,'2018'!F6:F45,1),IF(O71=1900,MATCH(Q89,'2018'!G6:G45,1),IF(O71=2000,MATCH(Q89,'2018'!H6:H45,1),IF(O71=2100,MATCH(Q89,'2018'!I6:I45,1),IF(O71=2200,MATCH(Q89,'2018'!J6:J45,1),IF(O71=2400,MATCH(Q89,'2018'!K6:K45,1),IF(O71=2800,MATCH(Q89,'2018'!L6:L45,1),IF(O71=4200,MATCH(Q89,'2018'!M6:M45,1),IF(O71=4400,MATCH(Q89,'2018'!N6:N45,1),IF(O71=4600,MATCH(Q89,'2018'!O6:O45,1),IF(O71=4800,MATCH(Q89,'2018'!P6:P45,1),IF(O71=5400,MATCH(Q89,'2018'!Q6:Q45,1),IF(O71=6600,MATCH(Q89,'2018'!R6:R45,1),IF(O71=6800,MATCH(Q89,'2018'!S6:S45,1),IF(O71=7000,MATCH(Q89,'2018'!T6:T45,1),IF(O71=7100,MATCH(Q89,'2018'!U6:U45,1),IF(O71=7600,MATCH(Q89,'2018'!V6:V45,1),)))))))))))))))))))+1)</f>
        <v>18</v>
      </c>
    </row>
    <row r="90" spans="2:20" ht="17.25" customHeight="1" x14ac:dyDescent="0.25">
      <c r="B90" s="380"/>
      <c r="C90" s="582">
        <f t="shared" si="18"/>
        <v>44378</v>
      </c>
      <c r="D90" s="371">
        <f t="shared" si="17"/>
        <v>31500</v>
      </c>
      <c r="E90" s="386" t="str">
        <f>IF(D90="","","(L-"&amp;$R$88&amp;",C-"&amp;MATCH(D90,IF($R$88=1,'2018'!$D$6:$D$45,IF($R$88=2,'2018'!$E$6:$E$45,IF($R$88=3,'2018'!$F$6:$F$45,IF($R$88=4,'2018'!$G$6:$G$45,IF($R$88=5,'2018'!$H$6:$H$45,IF($R$88=6,'2018'!$I$6:$I$45,IF($R$88=7,'2018'!$J$6:$J$45,IF($R$88=8,'2018'!$K$6:$K$45,IF($R$88=9,'2018'!$L$6:$L$45,IF($R$88=10,'2018'!$M$6:$M$45,IF($R$88=11,'2018'!$N$6:$N$45,IF($R$88=12,'2018'!$O$6:$O$45,IF($R$88=13,'2018'!$P$6:$P$45,IF($R$88=14,'2018'!$Q$6:$Q$45,IF($R$88=15,'2018'!$R$6:$R$45,IF($R$88=16,'2018'!$S$6:$S$45,IF($R$88=17,'2018'!$T$6:$T$45,IF($R$88=18,'2018'!$U$6:$U$45,IF($R$88=19,'2018'!$V$6:$V$45,0))))))))))))))))))))&amp;")")</f>
        <v>(L-4,C-21)</v>
      </c>
      <c r="F90" s="383"/>
      <c r="G90" s="180"/>
      <c r="H90" s="421" t="str">
        <f>IF(ISBLANK($E$8),"",$E$8)</f>
        <v/>
      </c>
      <c r="I90" s="587" t="str">
        <f>IF(AND($F$8&gt;42826,$F$8&lt;45231,MONTH($F$8)&lt;7,$N$90=TRUE),"",IF(OR(ISBLANK($F$8),OR($F$8&lt;42826,$F$8&gt;$C$95)),"",$F$8))</f>
        <v/>
      </c>
      <c r="J90" s="785" t="str" cm="1">
        <f t="array" ref="J90">IF(OR(F8&lt;$C$84,F8&gt;$C$95),"",IF(AND(F8&gt;$C$84,F8&lt;$C$87),IF(OR(N91="MACP",AND(N91="Promotion",N89="MACP",I90-I88&lt;365)),INDEX('2017'!$D$6:$V$45,P90,O90),INDEX('2017'!$D$6:$V$45,P90+1,O90)),IF(AND(F8&gt;$C$87,F8&lt;$C$95),IF(N91="MACP",INDEX('2018'!$D$6:$V$45,P90,O90),INDEX('2018'!$D$6:$V$45,P90+1,O90)))))</f>
        <v/>
      </c>
      <c r="K90" s="669" t="str">
        <f>IF(OR(F8&lt;$C$72,F8&gt;$C$95,I90=""),"",IF(N91="MACP","(L-"&amp;O90&amp;",C-"&amp;P90&amp;")","(L-"&amp;O90&amp;",C-"&amp;P90+1&amp;")"))</f>
        <v/>
      </c>
      <c r="L90" s="847"/>
      <c r="M90" s="848"/>
      <c r="N90" s="663" t="b">
        <v>0</v>
      </c>
      <c r="O90" s="826">
        <f>O88</f>
        <v>4</v>
      </c>
      <c r="P90" s="826" t="str">
        <f>IF(F8&lt;$C$84,"",IF(AND(F8&gt;42825,F8&lt;$C$87),MATCH(VLOOKUP(F8-1,$C$84:$D$86,2,TRUE),IF(O90=1,'2017'!$D$6:$D$45,IF(O90=2,'2017'!$E$6:$E$45,IF(O90=3,'2017'!$F$6:$F$45,IF(O90=4,'2017'!$G$6:$G$45,IF(O90=5,'2017'!$H$6:$H$45,IF(O90=6,'2017'!$I$6:$I$45,IF(O90=7,'2017'!$J$6:$J$45,IF(O90=8,'2017'!$K$6:$K$45,IF(O90=9,'2017'!$L$6:$L$45,IF(O90=10,'2017'!$M$6:$M$45,IF(O90=11,'2017'!$N$6:$N$45,IF(O90=12,'2017'!$O$6:$O$45,IF(O90=13,'2017'!$P$6:$P$45,IF(O90=14,'2017'!$Q$6:$Q$45,IF(O90=15,'2017'!$R$6:$R$45,IF(O90=16,'2017'!$S$6:$S$45,IF(O90=17,'2017'!$T$6:$T$45,IF(O90=18,'2017'!$U$6:$U$45,IF(O90=19,'2017'!$V$6:$V$45))))))))))))))))))),1)+1,IF(AND(F8&gt;43373,F8&lt;$C$95),MATCH(VLOOKUP(F8-1,$C$87:$D$94,2,TRUE),IF(O90=1,'2018'!$D$6:$D$45,IF(O90=2,'2018'!$E$6:$E$45,IF(O90=3,'2018'!$F$6:$F$45,IF(O90=4,'2018'!$G$6:$G$45,IF(O90=5,'2018'!$H$6:$H$45,IF(O90=6,'2018'!$I$6:$I$45,IF(O90=7,'2018'!$J$6:$J$45,IF(O90=8,'2018'!$K$6:$K$45,IF(O90=9,'2018'!$L$6:$L$45,IF(O90=10,'2018'!$M$6:$M$45,IF(O90=11,'2018'!$N$6:$N$45,IF(O90=12,'2018'!$O$6:$O$45,IF(O90=13,'2018'!$P$6:$P$45,IF(O90=14,'2018'!$Q$6:$Q$45,IF(O90=15,'2018'!$R$6:$R$45,IF(O90=16,'2018'!$S$6:$S$45,IF(O90=17,'2018'!$T$6:$T$45,IF(O90=18,'2018'!$U$6:$U$45,IF(O90=19,'2018'!$V$6:$V$45))))))))))))))))))),1)+1)))</f>
        <v/>
      </c>
    </row>
    <row r="91" spans="2:20" ht="17.25" customHeight="1" thickBot="1" x14ac:dyDescent="0.3">
      <c r="B91" s="380"/>
      <c r="C91" s="582">
        <f t="shared" si="18"/>
        <v>44743</v>
      </c>
      <c r="D91" s="371">
        <f t="shared" si="17"/>
        <v>32400</v>
      </c>
      <c r="E91" s="386" t="str">
        <f>IF(D91="","","(L-"&amp;$R$88&amp;",C-"&amp;MATCH(D91,IF($R$88=1,'2018'!$D$6:$D$45,IF($R$88=2,'2018'!$E$6:$E$45,IF($R$88=3,'2018'!$F$6:$F$45,IF($R$88=4,'2018'!$G$6:$G$45,IF($R$88=5,'2018'!$H$6:$H$45,IF($R$88=6,'2018'!$I$6:$I$45,IF($R$88=7,'2018'!$J$6:$J$45,IF($R$88=8,'2018'!$K$6:$K$45,IF($R$88=9,'2018'!$L$6:$L$45,IF($R$88=10,'2018'!$M$6:$M$45,IF($R$88=11,'2018'!$N$6:$N$45,IF($R$88=12,'2018'!$O$6:$O$45,IF($R$88=13,'2018'!$P$6:$P$45,IF($R$88=14,'2018'!$Q$6:$Q$45,IF($R$88=15,'2018'!$R$6:$R$45,IF($R$88=16,'2018'!$S$6:$S$45,IF($R$88=17,'2018'!$T$6:$T$45,IF($R$88=18,'2018'!$U$6:$U$45,IF($R$88=19,'2018'!$V$6:$V$45,0))))))))))))))))))))&amp;")")</f>
        <v>(L-4,C-22)</v>
      </c>
      <c r="F91" s="383"/>
      <c r="G91" s="180"/>
      <c r="H91" s="439" t="str">
        <f>IF(OR(I91="",I90&lt;&gt;""),"",IF(AND($F$8&gt;42826,$F$8&lt;$C$10,MONTH($F$8)&lt;7,$N$90=TRUE),$E$8,""))</f>
        <v/>
      </c>
      <c r="I91" s="586" t="str" cm="1">
        <f t="array" ref="I91">IF(OR(F8="",F8&lt;$C$84,F8&gt;$C$95),"",IF(AND(F8&gt;$C$84,F8&lt;$C$87,N90=TRUE),INDEX($C$84:$C$87,1+MATCH(F8,$C$84:$C$87,1)),(IF(MONTH(F8)&gt;6,DATE(YEAR(F8)+1,7,1),IF(AND(F8&gt;$C$84,F8&lt;$C$95),IF(AND(N90=TRUE,F8&lt;45231),INDEX($C$84:$C$94,1+MATCH(F8,$C$84:$C$94,1)),(IF(AND(DAY(I90)=1,MONTH(I90)=1),DATE(YEAR(F8),7,1),IF(MONTH(F8)&gt;6,DATE(YEAR(F8)+1,7,1),DATE(YEAR(F8)+1,1,1))))))))))</f>
        <v/>
      </c>
      <c r="J91" s="786" t="str" cm="1">
        <f t="array" ref="J91">IF(F8&lt;$C$84,"",IF(AND(F8&gt;$C$84,F8&lt;$C$87),IF(N91="MACP",INDEX('2017'!$D$6:$V$45,P90+1,O90),INDEX('2017'!$D$6:$V$45,P90+2,O90)),IF(AND(F8&gt;$C$87,F8&lt;$C$95),IF(N91="MACP",INDEX('2018'!$D$6:$V$45,P90+1,O90),INDEX('2018'!$D$6:$V$45,P90+2,O90)))))</f>
        <v/>
      </c>
      <c r="K91" s="600" t="str">
        <f>IF(OR(F8&lt;$C$72,F8&gt;$C$95,I91=""),"",IF(N91="MACP","(L-"&amp;O90&amp;",C-"&amp;P90+1&amp;")","(L-"&amp;O90&amp;",C-"&amp;P90+2&amp;")"))</f>
        <v/>
      </c>
      <c r="L91" s="822" t="str">
        <f>IF(AND(I91&gt;$C$84,I91&lt;$C$95,MONTH($F$8)&lt;7,N90=TRUE,F8&lt;45231),"(Option Exercised for MACP)","")</f>
        <v/>
      </c>
      <c r="M91" s="823"/>
      <c r="N91" s="549" t="str">
        <f>IF(AND(H90="",H91=""),"",IF(ISNUMBER(SEARCH("MACP", E8)), "MACP", "Promotion"))</f>
        <v/>
      </c>
      <c r="O91" s="827"/>
      <c r="P91" s="844"/>
    </row>
    <row r="92" spans="2:20" ht="17.25" customHeight="1" x14ac:dyDescent="0.25">
      <c r="B92" s="380"/>
      <c r="C92" s="582">
        <f t="shared" si="18"/>
        <v>45108</v>
      </c>
      <c r="D92" s="371">
        <f t="shared" si="17"/>
        <v>33400</v>
      </c>
      <c r="E92" s="386" t="str">
        <f>IF(D92="","","(L-"&amp;$R$88&amp;",C-"&amp;MATCH(D92,IF($R$88=1,'2018'!$D$6:$D$45,IF($R$88=2,'2018'!$E$6:$E$45,IF($R$88=3,'2018'!$F$6:$F$45,IF($R$88=4,'2018'!$G$6:$G$45,IF($R$88=5,'2018'!$H$6:$H$45,IF($R$88=6,'2018'!$I$6:$I$45,IF($R$88=7,'2018'!$J$6:$J$45,IF($R$88=8,'2018'!$K$6:$K$45,IF($R$88=9,'2018'!$L$6:$L$45,IF($R$88=10,'2018'!$M$6:$M$45,IF($R$88=11,'2018'!$N$6:$N$45,IF($R$88=12,'2018'!$O$6:$O$45,IF($R$88=13,'2018'!$P$6:$P$45,IF($R$88=14,'2018'!$Q$6:$Q$45,IF($R$88=15,'2018'!$R$6:$R$45,IF($R$88=16,'2018'!$S$6:$S$45,IF($R$88=17,'2018'!$T$6:$T$45,IF($R$88=18,'2018'!$U$6:$U$45,IF($R$88=19,'2018'!$V$6:$V$45,0))))))))))))))))))))&amp;")")</f>
        <v>(L-4,C-23)</v>
      </c>
      <c r="F92" s="383"/>
      <c r="G92" s="180"/>
      <c r="H92" s="421" t="str">
        <f>IF(ISBLANK($E$9),"",$E$9)</f>
        <v/>
      </c>
      <c r="I92" s="585" t="str">
        <f>IF(AND($F$9&gt;42826,$F$9&lt;45231,MONTH($F$9)&lt;7,$N$92=TRUE),"",IF(OR(ISBLANK($F$9),OR($F$9&lt;42826,$F$9&gt;$C$95)),"",$F$9))</f>
        <v/>
      </c>
      <c r="J92" s="785" t="str" cm="1">
        <f t="array" ref="J92">IF(OR(F9&lt;$C$84,F9&gt;$C$95),"",IF(AND(F9&gt;$C$84,F9&lt;$C$87),IF(OR(N93="MACP",AND(N93="Promotion",N91="MACP",I92-I90&lt;365)),INDEX('2017'!$D$6:$V$45,P92,O92),INDEX('2017'!$D$6:$V$45,P92+1,O92)),IF(AND(F9&gt;$C$87,F9&lt;$C$95),IF(N93="MACP",INDEX('2018'!$D$6:$V$45,P92,O92),INDEX('2018'!$D$6:$V$45,P92+1,O92)))))</f>
        <v/>
      </c>
      <c r="K92" s="669" t="str">
        <f>IF(OR(F9&lt;$C$72,F9&gt;$C$95,I92=""),"",IF(N93="MACP","(L-"&amp;O92&amp;",C-"&amp;P92&amp;")","(L-"&amp;O92&amp;",C-"&amp;P92+1&amp;")"))</f>
        <v/>
      </c>
      <c r="L92" s="847"/>
      <c r="M92" s="848"/>
      <c r="N92" s="663" t="b">
        <v>0</v>
      </c>
      <c r="O92" s="826">
        <f t="shared" ref="O92" si="19">O90</f>
        <v>4</v>
      </c>
      <c r="P92" s="826" t="str">
        <f>IF(F9&lt;$C$84,"",IF(AND(F9&gt;42825,F9&lt;$C$87),MATCH(VLOOKUP(F9-1,$C$84:$D$86,2,TRUE),IF(O92=1,'2017'!$D$6:$D$45,IF(O92=2,'2017'!$E$6:$E$45,IF(O92=3,'2017'!$F$6:$F$45,IF(O92=4,'2017'!$G$6:$G$45,IF(O92=5,'2017'!$H$6:$H$45,IF(O92=6,'2017'!$I$6:$I$45,IF(O92=7,'2017'!$J$6:$J$45,IF(O92=8,'2017'!$K$6:$K$45,IF(O92=9,'2017'!$L$6:$L$45,IF(O92=10,'2017'!$M$6:$M$45,IF(O92=11,'2017'!$N$6:$N$45,IF(O92=12,'2017'!$O$6:$O$45,IF(O92=13,'2017'!$P$6:$P$45,IF(O92=14,'2017'!$Q$6:$Q$45,IF(O92=15,'2017'!$R$6:$R$45,IF(O92=16,'2017'!$S$6:$S$45,IF(O92=17,'2017'!$T$6:$T$45,IF(O92=18,'2017'!$U$6:$U$45,IF(O92=19,'2017'!$V$6:$V$45))))))))))))))))))),1)+1,IF(AND(F9&gt;43373,F9&lt;$C$95),MATCH(VLOOKUP(F9-1,$C$87:$D$94,2,TRUE),IF(O92=1,'2018'!$D$6:$D$45,IF(O92=2,'2018'!$E$6:$E$45,IF(O92=3,'2018'!$F$6:$F$45,IF(O92=4,'2018'!$G$6:$G$45,IF(O92=5,'2018'!$H$6:$H$45,IF(O92=6,'2018'!$I$6:$I$45,IF(O92=7,'2018'!$J$6:$J$45,IF(O92=8,'2018'!$K$6:$K$45,IF(O92=9,'2018'!$L$6:$L$45,IF(O92=10,'2018'!$M$6:$M$45,IF(O92=11,'2018'!$N$6:$N$45,IF(O92=12,'2018'!$O$6:$O$45,IF(O92=13,'2018'!$P$6:$P$45,IF(O92=14,'2018'!$Q$6:$Q$45,IF(O92=15,'2018'!$R$6:$R$45,IF(O92=16,'2018'!$S$6:$S$45,IF(O92=17,'2018'!$T$6:$T$45,IF(O92=18,'2018'!$U$6:$U$45,IF(O92=19,'2018'!$V$6:$V$45))))))))))))))))))),1)+1)))</f>
        <v/>
      </c>
    </row>
    <row r="93" spans="2:20" ht="17.25" customHeight="1" thickBot="1" x14ac:dyDescent="0.3">
      <c r="B93" s="380"/>
      <c r="C93" s="582">
        <f t="shared" si="18"/>
        <v>45474</v>
      </c>
      <c r="D93" s="371">
        <f t="shared" si="17"/>
        <v>34400</v>
      </c>
      <c r="E93" s="386" t="str">
        <f>IF(D93="","","(L-"&amp;$R$88&amp;",C-"&amp;MATCH(D93,IF($R$88=1,'2018'!$D$6:$D$45,IF($R$88=2,'2018'!$E$6:$E$45,IF($R$88=3,'2018'!$F$6:$F$45,IF($R$88=4,'2018'!$G$6:$G$45,IF($R$88=5,'2018'!$H$6:$H$45,IF($R$88=6,'2018'!$I$6:$I$45,IF($R$88=7,'2018'!$J$6:$J$45,IF($R$88=8,'2018'!$K$6:$K$45,IF($R$88=9,'2018'!$L$6:$L$45,IF($R$88=10,'2018'!$M$6:$M$45,IF($R$88=11,'2018'!$N$6:$N$45,IF($R$88=12,'2018'!$O$6:$O$45,IF($R$88=13,'2018'!$P$6:$P$45,IF($R$88=14,'2018'!$Q$6:$Q$45,IF($R$88=15,'2018'!$R$6:$R$45,IF($R$88=16,'2018'!$S$6:$S$45,IF($R$88=17,'2018'!$T$6:$T$45,IF($R$88=18,'2018'!$U$6:$U$45,IF($R$88=19,'2018'!$V$6:$V$45,0))))))))))))))))))))&amp;")")</f>
        <v>(L-4,C-24)</v>
      </c>
      <c r="F93" s="383"/>
      <c r="G93" s="180"/>
      <c r="H93" s="439" t="str">
        <f>IF(OR(I93="",I92&lt;&gt;""),"",IF(AND($F$9&gt;42826,$F$9&lt;$C$10,MONTH($F$9)&lt;7,$N$92=TRUE),$E$9,""))</f>
        <v/>
      </c>
      <c r="I93" s="586" t="str" cm="1">
        <f t="array" ref="I93">IF(OR(F9="",F9&lt;$C$84,F9&gt;$C$95),"",IF(AND(F9&gt;$C$84,F9&lt;$C$87,N92=TRUE),INDEX($C$84:$C$87,1+MATCH(F9,$C$84:$C$87,1)),(IF(MONTH(F9)&gt;6,DATE(YEAR(F9)+1,7,1),IF(AND(F9&gt;$C$84,F9&lt;$C$95),IF(AND(N92=TRUE,F9&lt;45231),INDEX($C$84:$C$94,1+MATCH(F9,$C$84:$C$94,1)),(IF(AND(DAY(I92)=1,MONTH(I92)=1),DATE(YEAR(F9),7,1),IF(MONTH(F9)&gt;6,DATE(YEAR(F9)+1,7,1),DATE(YEAR(F9)+1,1,1))))))))))</f>
        <v/>
      </c>
      <c r="J93" s="786" t="str" cm="1">
        <f t="array" ref="J93">IF(F9&lt;$C$84,"",IF(AND(F9&gt;$C$84,F9&lt;$C$87),IF(N93="MACP",INDEX('2017'!$D$6:$V$45,P92+1,O92),INDEX('2017'!$D$6:$V$45,P92+2,O92)),IF(AND(F9&gt;$C$87,F9&lt;$C$95),IF(N93="MACP",INDEX('2018'!$D$6:$V$45,P92+1,O92),INDEX('2018'!$D$6:$V$45,P92+2,O92)))))</f>
        <v/>
      </c>
      <c r="K93" s="600" t="str">
        <f>IF(OR(F9&lt;$C$72,F9&gt;$C$95,I93=""),"",IF(N93="MACP","(L-"&amp;O92&amp;",C-"&amp;P92+1&amp;")","(L-"&amp;O92&amp;",C-"&amp;P92+2&amp;")"))</f>
        <v/>
      </c>
      <c r="L93" s="822" t="str">
        <f>IF(AND(I93&gt;$C$84,I93&lt;$C$95,MONTH($F$9)&lt;7,N92=TRUE,F9&lt;45231),"(Option Exercised for MACP)","")</f>
        <v/>
      </c>
      <c r="M93" s="823"/>
      <c r="N93" s="549" t="str">
        <f>IF(AND(H92="",H93=""),"",IF(ISNUMBER(SEARCH("MACP", E9)), "MACP", "Promotion"))</f>
        <v/>
      </c>
      <c r="O93" s="827"/>
      <c r="P93" s="827"/>
    </row>
    <row r="94" spans="2:20" ht="17.25" customHeight="1" x14ac:dyDescent="0.25">
      <c r="B94" s="380"/>
      <c r="C94" s="582">
        <f t="shared" si="18"/>
        <v>45839</v>
      </c>
      <c r="D94" s="371">
        <f t="shared" si="17"/>
        <v>35400</v>
      </c>
      <c r="E94" s="386" t="str">
        <f>IF(D94="","","(L-"&amp;$R$88&amp;",C-"&amp;MATCH(D94,IF($R$88=1,'2018'!$D$6:$D$45,IF($R$88=2,'2018'!$E$6:$E$45,IF($R$88=3,'2018'!$F$6:$F$45,IF($R$88=4,'2018'!$G$6:$G$45,IF($R$88=5,'2018'!$H$6:$H$45,IF($R$88=6,'2018'!$I$6:$I$45,IF($R$88=7,'2018'!$J$6:$J$45,IF($R$88=8,'2018'!$K$6:$K$45,IF($R$88=9,'2018'!$L$6:$L$45,IF($R$88=10,'2018'!$M$6:$M$45,IF($R$88=11,'2018'!$N$6:$N$45,IF($R$88=12,'2018'!$O$6:$O$45,IF($R$88=13,'2018'!$P$6:$P$45,IF($R$88=14,'2018'!$Q$6:$Q$45,IF($R$88=15,'2018'!$R$6:$R$45,IF($R$88=16,'2018'!$S$6:$S$45,IF($R$88=17,'2018'!$T$6:$T$45,IF($R$88=18,'2018'!$U$6:$U$45,IF($R$88=19,'2018'!$V$6:$V$45,0))))))))))))))))))))&amp;")")</f>
        <v>(L-4,C-25)</v>
      </c>
      <c r="F94" s="383"/>
      <c r="G94" s="180"/>
      <c r="O94" s="596"/>
      <c r="P94" s="596"/>
    </row>
    <row r="95" spans="2:20" ht="17.25" customHeight="1" thickBot="1" x14ac:dyDescent="0.3">
      <c r="B95" s="369" t="str">
        <f>IF(OR(IPS!B1="Family Pension Case",IPS!B1="DRW Family Pension Case"),B11,B10)</f>
        <v>Date of Retirement</v>
      </c>
      <c r="C95" s="589">
        <f>IF(OR(IPS!B1="Family Pension Case",IPS!B1="DRW Family Pension Case"),C11,C10)</f>
        <v>45869</v>
      </c>
      <c r="D95" s="376">
        <f>INDEX(C72:D94,MATCH($C$95,C72:C94,1),2)</f>
        <v>35400</v>
      </c>
      <c r="E95" s="381" t="str">
        <f>"(LPC at P/"&amp;PR!M3&amp;"ᶜ)"</f>
        <v>(LPC at P/ᶜ)</v>
      </c>
      <c r="F95" s="437"/>
      <c r="G95" s="180"/>
      <c r="L95" s="599"/>
      <c r="Q95" s="174"/>
    </row>
    <row r="96" spans="2:20" ht="17.25" customHeight="1" x14ac:dyDescent="0.25">
      <c r="B96" s="387" t="str">
        <f>IF(AND(J96=TRUE,J97=TRUE),"#Provisionally fixation has been found correct.",IF(AND(J96=FALSE,J97=TRUE),"#Provisionally last pay has been found correct.",IF(AND(J96=FALSE,J97=FALSE),"")))</f>
        <v/>
      </c>
      <c r="D96" s="231"/>
      <c r="E96" s="388" t="str">
        <f>IF(J98=TRUE,"Observation","")</f>
        <v/>
      </c>
      <c r="F96" s="389" t="str">
        <f ca="1">IF(OR(J96=TRUE,J97=TRUE,J98=TRUE),"Forwarded to A.A.O. on "&amp;TEXT(TODAY(),"dd/mm/yyyy"),"")</f>
        <v/>
      </c>
      <c r="H96" s="820" t="s">
        <v>65</v>
      </c>
      <c r="I96" s="821"/>
      <c r="J96" s="229" t="b">
        <v>0</v>
      </c>
    </row>
    <row r="97" spans="2:14" ht="17.25" customHeight="1" thickBot="1" x14ac:dyDescent="0.3">
      <c r="B97" s="750"/>
      <c r="C97" s="750"/>
      <c r="D97" s="750"/>
      <c r="E97" s="750"/>
      <c r="F97" s="750"/>
      <c r="G97" s="180"/>
      <c r="H97" s="953" t="s">
        <v>66</v>
      </c>
      <c r="I97" s="954"/>
      <c r="J97" s="230" t="b">
        <f>J96</f>
        <v>0</v>
      </c>
    </row>
    <row r="98" spans="2:14" ht="17.25" customHeight="1" thickBot="1" x14ac:dyDescent="0.3">
      <c r="B98" s="750"/>
      <c r="C98" s="750"/>
      <c r="D98" s="750"/>
      <c r="E98" s="750"/>
      <c r="F98" s="750"/>
      <c r="G98" s="180"/>
      <c r="H98" s="951" t="s">
        <v>67</v>
      </c>
      <c r="I98" s="952"/>
      <c r="J98" s="295" t="b">
        <v>0</v>
      </c>
    </row>
    <row r="99" spans="2:14" ht="17.25" customHeight="1" x14ac:dyDescent="0.25">
      <c r="B99" s="750"/>
      <c r="C99" s="750"/>
      <c r="D99" s="750"/>
      <c r="E99" s="750"/>
      <c r="F99" s="750"/>
      <c r="G99" s="180"/>
      <c r="H99" s="944" t="s">
        <v>68</v>
      </c>
      <c r="I99" s="945"/>
      <c r="J99" s="283">
        <f>D95</f>
        <v>35400</v>
      </c>
      <c r="K99" s="231"/>
      <c r="L99" s="174"/>
      <c r="M99" s="174"/>
    </row>
    <row r="100" spans="2:14" ht="17.25" customHeight="1" x14ac:dyDescent="0.25">
      <c r="B100" s="750"/>
      <c r="C100" s="750"/>
      <c r="D100" s="750"/>
      <c r="E100" s="750"/>
      <c r="F100" s="750"/>
      <c r="G100" s="180"/>
      <c r="H100" s="550" t="s">
        <v>69</v>
      </c>
      <c r="I100" s="551" t="str">
        <f>IF(OR(AND(C95&gt;45046,MONTH(INDEX(C72:D94,MATCH($D$95,D72:D94,1),1))=7,MONTH(C95)=6),AND(C95&gt;45046,MONTH(INDEX(C72:D94,MATCH($D$95,D72:D94,1),1))=1,MONTH(C95)=12)),L103,"")</f>
        <v/>
      </c>
      <c r="J100" s="444" t="str">
        <f>IF(I100="","",MROUND(J99*3%+J99,100))</f>
        <v/>
      </c>
      <c r="K100" s="231"/>
      <c r="L100" s="174"/>
      <c r="M100" s="174"/>
    </row>
    <row r="101" spans="2:14" ht="17.25" customHeight="1" thickBot="1" x14ac:dyDescent="0.3">
      <c r="B101" s="750"/>
      <c r="C101" s="750"/>
      <c r="D101" s="750"/>
      <c r="E101" s="750"/>
      <c r="F101" s="750"/>
      <c r="G101" s="180"/>
      <c r="H101" s="916" t="s">
        <v>70</v>
      </c>
      <c r="I101" s="917"/>
      <c r="J101" s="573">
        <f>IF(OR(B1="Regular Pension Case",B1="LTA Pension"),I123,IF(B1="Family Pension Case",I128,IF(B1="DRW Pension Case",I137,IF(B1="Vol. Pension Case",I156,IF(B1="DRW Family Pension Case",I146)))))</f>
        <v>66</v>
      </c>
      <c r="K101" s="231"/>
    </row>
    <row r="102" spans="2:14" ht="17.25" customHeight="1" thickBot="1" x14ac:dyDescent="0.3">
      <c r="B102" s="816" t="s">
        <v>2511</v>
      </c>
      <c r="C102" s="816"/>
      <c r="D102" s="816" t="s">
        <v>74</v>
      </c>
      <c r="E102" s="816"/>
      <c r="F102" s="666" t="s">
        <v>75</v>
      </c>
      <c r="H102" s="890" t="s">
        <v>71</v>
      </c>
      <c r="I102" s="892"/>
      <c r="J102" s="805">
        <f>MAX(8000,IF(OR(B1="Family Pension Case",B1="DRW Family Pension Case"),SUM(J99*50%,0),IF(J101&gt;19,SUM(J99*MIN(50,(SUM(J101)))%,0),0)))</f>
        <v>17700</v>
      </c>
      <c r="K102" s="572" t="str">
        <f>IF(J100="","",MAX(8000,IF(OR(B1="Family Pension Case",B1="DRW Family Pension Case"),SUM(J100*50%,0),IF(J101&gt;19,SUM(J100*MIN(50,(SUM(J101)))%,0),0))))</f>
        <v/>
      </c>
      <c r="L102" s="667"/>
    </row>
    <row r="103" spans="2:14" ht="17.25" customHeight="1" thickBot="1" x14ac:dyDescent="0.3">
      <c r="B103" s="750"/>
      <c r="C103" s="750"/>
      <c r="D103" s="750"/>
      <c r="E103" s="750"/>
      <c r="F103" s="750"/>
      <c r="H103" s="890" t="s">
        <v>72</v>
      </c>
      <c r="I103" s="892"/>
      <c r="J103" s="805">
        <f>IF(J104&gt;J102,J104,J102)</f>
        <v>17700</v>
      </c>
      <c r="K103" s="572" t="str">
        <f>IF(J100="","",IF(K104&gt;K102,K104,K102))</f>
        <v/>
      </c>
      <c r="L103" s="804">
        <f>IF(OR(B1="Family Pension Case",B1="DRW Family Pension Case",B1="LTA Pension",),C11+1,C10+1)</f>
        <v>45870</v>
      </c>
      <c r="M103" s="804">
        <f>IF(OR(B1="Family Pension Case",B1="DRW Family Pension Case"),MIN((EDATE(C7,12*67)-1),(EDATE(C11,12*10))),EDATE(C7,12*67)-1)</f>
        <v>48406</v>
      </c>
    </row>
    <row r="104" spans="2:14" ht="17.25" customHeight="1" thickBot="1" x14ac:dyDescent="0.3">
      <c r="G104" s="237"/>
      <c r="H104" s="890" t="s">
        <v>76</v>
      </c>
      <c r="I104" s="892"/>
      <c r="J104" s="805">
        <f>MAX(8000,SUM(J99*30%,0))</f>
        <v>10620</v>
      </c>
      <c r="K104" s="572" t="str">
        <f>IF(J100="","",MAX(8000,SUM(J100*30%,0)))</f>
        <v/>
      </c>
      <c r="L104" s="804">
        <f>M103+1</f>
        <v>48407</v>
      </c>
    </row>
    <row r="105" spans="2:14" ht="17.25" customHeight="1" thickBot="1" x14ac:dyDescent="0.3">
      <c r="H105" s="926" t="str">
        <f>"D.A. Rate (w.e.f. "&amp;TEXT(VLOOKUP(C95,M138:O171,1,TRUE),"dd-mm-yyyy")&amp;")"</f>
        <v>D.A. Rate (w.e.f. 01-04-2025)</v>
      </c>
      <c r="I105" s="927"/>
      <c r="J105" s="571">
        <f>VLOOKUP(C95,M138:O171,3,TRUE)</f>
        <v>0.33</v>
      </c>
    </row>
    <row r="106" spans="2:14" ht="17.25" customHeight="1" thickBot="1" x14ac:dyDescent="0.3">
      <c r="H106" s="940" t="s">
        <v>77</v>
      </c>
      <c r="I106" s="941"/>
      <c r="J106" s="275">
        <f>SUM((IPS!J99+(IPS!J99*IPS!J105))*K106/30)</f>
        <v>470820</v>
      </c>
      <c r="K106" s="282">
        <v>300</v>
      </c>
    </row>
    <row r="107" spans="2:14" ht="17.25" customHeight="1" thickBot="1" x14ac:dyDescent="0.3">
      <c r="H107" s="930" t="s">
        <v>78</v>
      </c>
      <c r="I107" s="931"/>
      <c r="J107" s="281">
        <f>IF(B1="Family Pension Case",MIN(1000000,(IF(I126&lt;1,J99*2,IF(AND(I126&gt;=1,I126&lt;5),J99*6,IF(AND(I126&gt;=5,I126&lt;20),J99*12,IF(I126&gt;=20,SUM(J99*J101/2,0))))))),IF(B1="DRW Family Pension Case",MIN(1000000,(IF(I144&lt;1,J99*2,IF(AND(I144&gt;=1,I144&lt;5),J99*6,IF(AND(I144&gt;=5,I144&lt;20),J99*12,IF(I144&gt;=20,SUM(J99*J101/2,0))))))),MIN(1000000,(IF(J101&gt;19,SUM(J99*J101/4,0),SUM(J99*J101/2,0))))))</f>
        <v>584100</v>
      </c>
    </row>
    <row r="108" spans="2:14" ht="17.25" customHeight="1" x14ac:dyDescent="0.25">
      <c r="H108" s="928" t="s">
        <v>79</v>
      </c>
      <c r="I108" s="929"/>
      <c r="J108" s="336">
        <f>J106</f>
        <v>470820</v>
      </c>
      <c r="K108" s="918" t="b">
        <v>0</v>
      </c>
      <c r="L108" s="849" t="s">
        <v>1614</v>
      </c>
      <c r="M108" s="850"/>
      <c r="N108" s="229">
        <v>1</v>
      </c>
    </row>
    <row r="109" spans="2:14" ht="17.25" customHeight="1" thickBot="1" x14ac:dyDescent="0.3">
      <c r="C109" s="808" t="s">
        <v>80</v>
      </c>
      <c r="D109" s="808"/>
      <c r="E109" s="808"/>
      <c r="H109" s="924" t="s">
        <v>81</v>
      </c>
      <c r="I109" s="925"/>
      <c r="J109" s="278">
        <f>ROUND(MIN(750000,(SUM(J107*75%,0))),0)</f>
        <v>438075</v>
      </c>
      <c r="K109" s="919"/>
      <c r="L109" s="828" t="s">
        <v>1615</v>
      </c>
      <c r="M109" s="829"/>
      <c r="N109" s="230">
        <v>2</v>
      </c>
    </row>
    <row r="110" spans="2:14" ht="17.25" customHeight="1" x14ac:dyDescent="0.25">
      <c r="C110" s="752" t="s">
        <v>83</v>
      </c>
      <c r="D110" s="752" t="s">
        <v>84</v>
      </c>
      <c r="E110" s="752" t="s">
        <v>85</v>
      </c>
      <c r="H110" s="922" t="s">
        <v>86</v>
      </c>
      <c r="I110" s="923"/>
      <c r="J110" s="279">
        <f>J108-J106</f>
        <v>0</v>
      </c>
      <c r="K110" s="231"/>
    </row>
    <row r="111" spans="2:14" ht="15.75" x14ac:dyDescent="0.25">
      <c r="C111" s="755"/>
      <c r="D111" s="755"/>
      <c r="E111" s="665" t="str">
        <f>IF(C111="","",D111-C111+1)</f>
        <v/>
      </c>
      <c r="F111" s="237"/>
      <c r="H111" s="920" t="s">
        <v>87</v>
      </c>
      <c r="I111" s="921"/>
      <c r="J111" s="274">
        <v>0</v>
      </c>
      <c r="K111" s="231"/>
    </row>
    <row r="112" spans="2:14" ht="16.5" thickBot="1" x14ac:dyDescent="0.3">
      <c r="C112" s="753"/>
      <c r="D112" s="753"/>
      <c r="E112" s="753" t="str">
        <f>IF(C112="","",D112-C112+1)</f>
        <v/>
      </c>
      <c r="H112" s="942" t="s">
        <v>88</v>
      </c>
      <c r="I112" s="943"/>
      <c r="J112" s="280">
        <v>0</v>
      </c>
      <c r="K112" s="231"/>
      <c r="M112" s="405"/>
    </row>
    <row r="113" spans="3:18" ht="16.5" customHeight="1" thickBot="1" x14ac:dyDescent="0.3">
      <c r="C113" s="665"/>
      <c r="D113" s="665"/>
      <c r="E113" s="665" t="str">
        <f t="shared" ref="E113:E123" si="20">IF(C113="","",D113-C113+1)</f>
        <v/>
      </c>
      <c r="F113" s="174"/>
      <c r="L113" s="231"/>
    </row>
    <row r="114" spans="3:18" ht="16.5" thickBot="1" x14ac:dyDescent="0.3">
      <c r="C114" s="665"/>
      <c r="D114" s="665"/>
      <c r="E114" s="665" t="str">
        <f t="shared" si="20"/>
        <v/>
      </c>
      <c r="H114" s="938" t="s">
        <v>89</v>
      </c>
      <c r="I114" s="939"/>
      <c r="J114" s="939"/>
      <c r="K114" s="754" t="s">
        <v>85</v>
      </c>
      <c r="L114" s="667"/>
    </row>
    <row r="115" spans="3:18" ht="15.75" x14ac:dyDescent="0.25">
      <c r="C115" s="665"/>
      <c r="D115" s="665"/>
      <c r="E115" s="665" t="str">
        <f t="shared" si="20"/>
        <v/>
      </c>
      <c r="H115" s="232" t="s">
        <v>91</v>
      </c>
      <c r="I115" s="934" t="str">
        <f>IF(EDATE(C7,12*18)&gt;C8,C8,"")</f>
        <v/>
      </c>
      <c r="J115" s="935"/>
      <c r="K115" s="936">
        <f>IF(I115="",0,I116-I115+1)</f>
        <v>0</v>
      </c>
      <c r="L115" s="547"/>
      <c r="M115" s="546" t="s">
        <v>92</v>
      </c>
      <c r="N115" s="306" t="s">
        <v>93</v>
      </c>
      <c r="O115" s="307" t="s">
        <v>94</v>
      </c>
    </row>
    <row r="116" spans="3:18" ht="16.5" thickBot="1" x14ac:dyDescent="0.3">
      <c r="C116" s="665"/>
      <c r="D116" s="665"/>
      <c r="E116" s="665" t="str">
        <f t="shared" si="20"/>
        <v/>
      </c>
      <c r="F116" s="174"/>
      <c r="H116" s="233" t="s">
        <v>96</v>
      </c>
      <c r="I116" s="932" t="str">
        <f>IF(EDATE(C7,12*18)&gt;C8,EDATE(C7,12*18)-1,"")</f>
        <v/>
      </c>
      <c r="J116" s="933"/>
      <c r="K116" s="937"/>
      <c r="L116" s="548" t="s">
        <v>97</v>
      </c>
      <c r="M116" s="664">
        <f>IF(I115="",0,MAX(0,INT(((I116-I115)-K115)/365.25)))</f>
        <v>0</v>
      </c>
      <c r="N116" s="665">
        <f>IF(I115="",0,MAX(0,INT((((I116-I115)-K115)-(INT(((I116-I115)-K115)/365.25)*365.25))/30.4375)))</f>
        <v>0</v>
      </c>
      <c r="O116" s="309">
        <f>ROUND(IF(I115="",0,MAX(0,_xlfn.LET(_xlpm.NetDays,(I116-I115)-K115,_xlpm.Y,INT(_xlpm.NetDays/365.25),_xlpm.M,INT((_xlpm.NetDays-(_xlpm.Y*365.25))/30.4375),ROUND(_xlpm.NetDays-(_xlpm.Y*365.25)-(_xlpm.M*30.4375),0)))),0)</f>
        <v>0</v>
      </c>
    </row>
    <row r="117" spans="3:18" ht="16.5" thickBot="1" x14ac:dyDescent="0.3">
      <c r="C117" s="665"/>
      <c r="D117" s="665"/>
      <c r="E117" s="665" t="str">
        <f t="shared" si="20"/>
        <v/>
      </c>
      <c r="F117" s="174"/>
      <c r="H117" s="234" t="s">
        <v>1616</v>
      </c>
      <c r="I117" s="235">
        <f>M118</f>
        <v>0</v>
      </c>
      <c r="J117" s="236">
        <f>N118</f>
        <v>0</v>
      </c>
      <c r="K117" s="766">
        <f>O118</f>
        <v>0</v>
      </c>
      <c r="L117" s="751" t="s">
        <v>80</v>
      </c>
      <c r="M117" s="764">
        <f>INT(E124/365.25)</f>
        <v>0</v>
      </c>
      <c r="N117" s="752">
        <f>INT(MOD(E124, 365.25)/30.4375)</f>
        <v>0</v>
      </c>
      <c r="O117" s="545">
        <f>ROUND(MOD(MOD(E124, 365.25), 30.4375),0)</f>
        <v>0</v>
      </c>
    </row>
    <row r="118" spans="3:18" ht="16.5" thickBot="1" x14ac:dyDescent="0.3">
      <c r="C118" s="665"/>
      <c r="D118" s="665"/>
      <c r="E118" s="665" t="str">
        <f t="shared" si="20"/>
        <v/>
      </c>
      <c r="F118" s="174"/>
      <c r="H118" s="833" t="s">
        <v>15</v>
      </c>
      <c r="I118" s="834"/>
      <c r="J118" s="834"/>
      <c r="K118" s="835"/>
      <c r="L118" s="851" t="s">
        <v>38</v>
      </c>
      <c r="M118" s="305">
        <f>IF(OR(IPS!B1="DRW Pension Case",IPS!B1="DRW Family Pension Case"),(SUM(M116:M117)+I134)+INT(((SUM(N116:N117)+J134)+INT((SUM(O116:O117)+K134)/30.4375))/12),SUM(M116:M117)+INT((SUM(N116:N117)+INT(SUM(O116:O117)/30.4375))/12))</f>
        <v>0</v>
      </c>
      <c r="N118" s="306">
        <f>IF(OR(IPS!B1="DRW Pension Case",IPS!B1="DRW Family Pension Case"),MOD((SUM(N116:N117)+J134)+INT((SUM(O116:O117)+K134)/30.4375),12),MOD(SUM(N116:N117)+INT(SUM(O116:O117)/30.4375),12))</f>
        <v>0</v>
      </c>
      <c r="O118" s="765">
        <f>IF(OR(IPS!B1="DRW Pension Case",IPS!B1="DRW Family Pension Case"),ROUND(MOD((SUM(O116:O117)+K134),30.4375),0),ROUND(MOD(SUM(O116:O117),30.4375),0))</f>
        <v>0</v>
      </c>
      <c r="R118" s="767"/>
    </row>
    <row r="119" spans="3:18" ht="16.5" thickBot="1" x14ac:dyDescent="0.3">
      <c r="C119" s="665"/>
      <c r="D119" s="665"/>
      <c r="E119" s="665" t="str">
        <f t="shared" si="20"/>
        <v/>
      </c>
      <c r="H119" s="238"/>
      <c r="I119" s="757" t="s">
        <v>99</v>
      </c>
      <c r="J119" s="239" t="s">
        <v>100</v>
      </c>
      <c r="K119" s="758" t="s">
        <v>94</v>
      </c>
      <c r="L119" s="852"/>
      <c r="M119" s="853" t="s">
        <v>98</v>
      </c>
      <c r="N119" s="854"/>
      <c r="O119" s="771">
        <f>ROUND((M118*365.25)+(N118*30.42)+O118,0)</f>
        <v>0</v>
      </c>
    </row>
    <row r="120" spans="3:18" ht="16.5" thickBot="1" x14ac:dyDescent="0.3">
      <c r="C120" s="665"/>
      <c r="D120" s="665"/>
      <c r="E120" s="665" t="str">
        <f t="shared" si="20"/>
        <v/>
      </c>
      <c r="H120" s="240" t="s">
        <v>101</v>
      </c>
      <c r="I120" s="759">
        <f>INT(((C10-C8))/365.25)</f>
        <v>38</v>
      </c>
      <c r="J120" s="225">
        <f>INT((((C10-C8))-(INT(((C10-C8))/365.25)*365.25))/30.4375)</f>
        <v>4</v>
      </c>
      <c r="K120" s="242">
        <f>_xlfn.LET(_xlpm.NetDays,(C10-C8),_xlpm.Y,INT(_xlpm.NetDays/365.25),_xlpm.M,INT((_xlpm.NetDays-(_xlpm.Y*365.25))/30.4375),ROUND(_xlpm.NetDays-(_xlpm.Y*365.25)-(_xlpm.M*30.4375),0))+1</f>
        <v>28</v>
      </c>
    </row>
    <row r="121" spans="3:18" ht="15.75" x14ac:dyDescent="0.25">
      <c r="C121" s="665"/>
      <c r="D121" s="665"/>
      <c r="E121" s="665" t="str">
        <f t="shared" si="20"/>
        <v/>
      </c>
      <c r="H121" s="243" t="s">
        <v>102</v>
      </c>
      <c r="I121" s="760">
        <f>INT(((C10-C8)-O119)/365.25)</f>
        <v>38</v>
      </c>
      <c r="J121" s="294">
        <f>INT((((C10-C8)-O119)-(INT(((C10-C8)-O119)/365.25)*365.25))/30.4375)</f>
        <v>4</v>
      </c>
      <c r="K121" s="768">
        <f>_xlfn.LET(_xlpm.NetDays,(C10-C8)-O119,_xlpm.Y,INT(_xlpm.NetDays/365.25),_xlpm.M,INT((_xlpm.NetDays-(_xlpm.Y*365.25))/30.4375),ROUND(_xlpm.NetDays-(_xlpm.Y*365.25)-(_xlpm.M*30.4375), 0))+1</f>
        <v>28</v>
      </c>
      <c r="L121" s="756"/>
      <c r="M121" s="546" t="str">
        <f>M115</f>
        <v>Years</v>
      </c>
      <c r="N121" s="306" t="str">
        <f t="shared" ref="N121:O121" si="21">N115</f>
        <v>Months</v>
      </c>
      <c r="O121" s="307" t="str">
        <f t="shared" si="21"/>
        <v>Days</v>
      </c>
    </row>
    <row r="122" spans="3:18" ht="16.5" thickBot="1" x14ac:dyDescent="0.3">
      <c r="C122" s="665"/>
      <c r="D122" s="665"/>
      <c r="E122" s="665" t="str">
        <f t="shared" si="20"/>
        <v/>
      </c>
      <c r="H122" s="244" t="s">
        <v>103</v>
      </c>
      <c r="I122" s="761">
        <f>I121*2</f>
        <v>76</v>
      </c>
      <c r="J122" s="762" t="str">
        <f>IF(J121&lt;3,"0",IF(AND(J121&gt;=3,J121&lt;9),"1",IF(AND(J121&gt;=9),"2")))</f>
        <v>1</v>
      </c>
      <c r="K122" s="763"/>
      <c r="L122" s="659" t="s">
        <v>101</v>
      </c>
      <c r="M122" s="425">
        <f>DATEDIF(C8,C10,"y")</f>
        <v>38</v>
      </c>
      <c r="N122" s="311">
        <f>IF(DAY(C8)=1,DATEDIF(C8,C10,"ym")+1,DATEDIF(C8,C10,"ym"))</f>
        <v>4</v>
      </c>
      <c r="O122" s="312">
        <f>IF(DAY(C8)=1,0,IF(DAY(C8)=2,EOMONTH(C8,0)-C8,IF((EOMONTH(C8,0)-C8+1)&gt;=30,(EOMONTH(C8,0)-C8+1)-30,(EOMONTH(C8,0)-C8+1))))+1</f>
        <v>28</v>
      </c>
      <c r="R122" s="767"/>
    </row>
    <row r="123" spans="3:18" ht="16.5" thickBot="1" x14ac:dyDescent="0.3">
      <c r="C123" s="665"/>
      <c r="D123" s="665"/>
      <c r="E123" s="665" t="str">
        <f t="shared" si="20"/>
        <v/>
      </c>
      <c r="H123" s="238" t="s">
        <v>104</v>
      </c>
      <c r="I123" s="881">
        <f>MIN(66,(SUM(I122+J122)))</f>
        <v>66</v>
      </c>
      <c r="J123" s="882"/>
      <c r="K123" s="883"/>
      <c r="R123" s="767"/>
    </row>
    <row r="124" spans="3:18" ht="16.5" thickBot="1" x14ac:dyDescent="0.3">
      <c r="C124" s="842" t="s">
        <v>38</v>
      </c>
      <c r="D124" s="843"/>
      <c r="E124" s="665">
        <f>SUM(E111:E123)</f>
        <v>0</v>
      </c>
      <c r="H124" s="833" t="s">
        <v>105</v>
      </c>
      <c r="I124" s="834"/>
      <c r="J124" s="834"/>
      <c r="K124" s="835"/>
    </row>
    <row r="125" spans="3:18" ht="15.75" x14ac:dyDescent="0.25">
      <c r="C125" s="808" t="str">
        <f>DATEDIF(DATE(1900,1,1), DATE(1900,1,1)+E124, "y") &amp; " Years " &amp; DATEDIF(DATE(1900,1,1), DATE(1900,1,1)+E124, "ym") &amp; " Months " &amp; DATEDIF(DATE(1900,1,1), DATE(1900,1,1)+E124, "md") &amp; " Days"</f>
        <v>0 Years 0 Months 0 Days</v>
      </c>
      <c r="D125" s="808"/>
      <c r="E125" s="808"/>
      <c r="H125" s="240" t="str">
        <f>H120</f>
        <v>QS</v>
      </c>
      <c r="I125" s="241" t="e">
        <f>DATEDIF(C8,C11,"y")</f>
        <v>#NUM!</v>
      </c>
      <c r="J125" s="225" t="e">
        <f>DATEDIF(C8,C11,"ym")</f>
        <v>#NUM!</v>
      </c>
      <c r="K125" s="242" t="e">
        <f>IF((DATEDIF(C8,C11,"md")+1)&gt;=30,(DATEDIF(C8,C11,"md")+1)-30,(DATEDIF(C8,C11,"md")+1))</f>
        <v>#NUM!</v>
      </c>
    </row>
    <row r="126" spans="3:18" ht="15.75" x14ac:dyDescent="0.25">
      <c r="H126" s="243" t="str">
        <f>H121</f>
        <v>Net QS</v>
      </c>
      <c r="I126" s="293" t="e">
        <f>IF(J125&lt;J117,I125-1-I117,(IF(J117=0,I125-I117,IF((J125-1)&lt;J117,I125-1-I117,I125-I117))))</f>
        <v>#NUM!</v>
      </c>
      <c r="J126" s="294" t="e">
        <f>IF(AND(J125&gt;=J117,K125&gt;=K117),J125-J117,IF(AND(J125&gt;J117,K125&lt;K117),J125-1-J117,IF(AND(J125&lt;=J117,K125&lt;K117),J125-1+12-J117,IF(AND(J125&lt;J117,K125&gt;K117),J125+12-J117,))))</f>
        <v>#NUM!</v>
      </c>
      <c r="K126" s="768" t="e">
        <f>IF(K125&lt;K117,K125+30-K117,K125-K117)</f>
        <v>#NUM!</v>
      </c>
    </row>
    <row r="127" spans="3:18" ht="16.5" thickBot="1" x14ac:dyDescent="0.3">
      <c r="H127" s="248" t="s">
        <v>103</v>
      </c>
      <c r="I127" s="245" t="e">
        <f>I126*2</f>
        <v>#NUM!</v>
      </c>
      <c r="J127" s="246" t="e">
        <f>IF(J126&lt;3,"0",IF(AND(J126&gt;=3,J126&lt;9),"1",IF(AND(J126&gt;=9),"2")))</f>
        <v>#NUM!</v>
      </c>
      <c r="K127" s="247"/>
    </row>
    <row r="128" spans="3:18" ht="16.5" thickBot="1" x14ac:dyDescent="0.3">
      <c r="H128" s="238" t="s">
        <v>104</v>
      </c>
      <c r="I128" s="881" t="e">
        <f>MIN(66,(SUM(I127+J127)))</f>
        <v>#NUM!</v>
      </c>
      <c r="J128" s="882"/>
      <c r="K128" s="883"/>
    </row>
    <row r="129" spans="8:17" ht="16.5" thickBot="1" x14ac:dyDescent="0.3">
      <c r="H129" s="833" t="s">
        <v>106</v>
      </c>
      <c r="I129" s="834"/>
      <c r="J129" s="834"/>
      <c r="K129" s="835"/>
      <c r="L129" s="667"/>
      <c r="M129" s="667"/>
      <c r="N129" s="667"/>
      <c r="O129" s="667"/>
    </row>
    <row r="130" spans="8:17" ht="15.75" customHeight="1" x14ac:dyDescent="0.25">
      <c r="H130" s="249" t="s">
        <v>107</v>
      </c>
      <c r="I130" s="884">
        <f>IF(EDATE(C7,12*18)&gt;C8,EDATE(C7,12*18),C8)</f>
        <v>31841</v>
      </c>
      <c r="J130" s="885"/>
      <c r="K130" s="886"/>
      <c r="L130" s="389"/>
      <c r="M130" s="667"/>
      <c r="N130" s="667"/>
      <c r="O130" s="772"/>
    </row>
    <row r="131" spans="8:17" ht="16.5" thickBot="1" x14ac:dyDescent="0.3">
      <c r="H131" s="396" t="s">
        <v>109</v>
      </c>
      <c r="I131" s="887">
        <f>C9-1</f>
        <v>31840</v>
      </c>
      <c r="J131" s="888"/>
      <c r="K131" s="889"/>
      <c r="L131" s="389"/>
      <c r="M131" s="667"/>
      <c r="N131" s="667"/>
      <c r="O131" s="772"/>
    </row>
    <row r="132" spans="8:17" ht="16.5" thickBot="1" x14ac:dyDescent="0.3">
      <c r="H132" s="227" t="str">
        <f>H125</f>
        <v>QS</v>
      </c>
      <c r="I132" s="241">
        <f>I120</f>
        <v>38</v>
      </c>
      <c r="J132" s="225">
        <f>J120</f>
        <v>4</v>
      </c>
      <c r="K132" s="242">
        <f>K120</f>
        <v>28</v>
      </c>
      <c r="L132" s="389"/>
      <c r="M132" s="667"/>
      <c r="N132" s="667"/>
      <c r="O132" s="772"/>
    </row>
    <row r="133" spans="8:17" ht="15.75" x14ac:dyDescent="0.25">
      <c r="H133" s="250" t="s">
        <v>110</v>
      </c>
      <c r="I133" s="251" t="e">
        <f>DATEDIF(I130,I131,"y")</f>
        <v>#NUM!</v>
      </c>
      <c r="J133" s="252" t="e">
        <f>DATEDIF(I130,I131,"ym")</f>
        <v>#NUM!</v>
      </c>
      <c r="K133" s="773" t="e">
        <f>DATEDIF(I130,I131,"md")+1</f>
        <v>#NUM!</v>
      </c>
      <c r="L133" s="389"/>
      <c r="M133" s="667"/>
      <c r="N133" s="667"/>
      <c r="O133" s="772"/>
    </row>
    <row r="134" spans="8:17" ht="16.5" thickBot="1" x14ac:dyDescent="0.3">
      <c r="H134" s="254" t="s">
        <v>111</v>
      </c>
      <c r="I134" s="255" t="e">
        <f>ROUNDDOWN(I133/2,0)</f>
        <v>#NUM!</v>
      </c>
      <c r="J134" s="256" t="e">
        <f>IF(ISODD(I133),ROUNDDOWN(J133/2,0)+6,ROUNDDOWN(J133/2,0))</f>
        <v>#NUM!</v>
      </c>
      <c r="K134" s="774" t="e">
        <f>IF(IF(ISODD(J133),ROUNDDOWN(K133/2,0)+15,ROUNDDOWN(K133/2,0))&gt;=30,ROUNDDOWN(K133/2,0)+15-30,IF(ISODD(J133),ROUNDDOWN(K133/2,0)+15,ROUNDDOWN(K133/2,0)))</f>
        <v>#NUM!</v>
      </c>
    </row>
    <row r="135" spans="8:17" ht="16.5" thickBot="1" x14ac:dyDescent="0.3">
      <c r="H135" s="227" t="str">
        <f>H126</f>
        <v>Net QS</v>
      </c>
      <c r="I135" s="258">
        <f>DATEDIF(DATE(2020+M118,1+N118,1+O118),DATE(2020+I132,1+J132,1+K132),"Y")</f>
        <v>38</v>
      </c>
      <c r="J135" s="224">
        <f>DATEDIF(DATE(2020+M118,1+N118,1+O118),DATE(2020+I132,1+J132,1+K132),"YM")</f>
        <v>4</v>
      </c>
      <c r="K135" s="769">
        <f>DATEDIF(DATE(2020+M118,1+N118,1+O118),DATE(2020+I132,1+J132, 1+K132),"MD")+1</f>
        <v>29</v>
      </c>
    </row>
    <row r="136" spans="8:17" ht="16.5" thickBot="1" x14ac:dyDescent="0.3">
      <c r="H136" s="775" t="s">
        <v>103</v>
      </c>
      <c r="I136" s="776">
        <f>I135*2</f>
        <v>76</v>
      </c>
      <c r="J136" s="762" t="str">
        <f>IF(J135&lt;3,"0",IF(AND(J135&gt;=3,J135&lt;9),"1",IF(AND(J135&gt;=9),"2")))</f>
        <v>1</v>
      </c>
      <c r="K136" s="777"/>
      <c r="M136" s="809" t="s">
        <v>90</v>
      </c>
      <c r="N136" s="810"/>
      <c r="O136" s="811"/>
      <c r="Q136" s="667"/>
    </row>
    <row r="137" spans="8:17" ht="16.5" thickBot="1" x14ac:dyDescent="0.3">
      <c r="H137" s="238" t="s">
        <v>104</v>
      </c>
      <c r="I137" s="881">
        <f>MIN(66,(SUM(I136+J136)))</f>
        <v>66</v>
      </c>
      <c r="J137" s="882"/>
      <c r="K137" s="883"/>
      <c r="M137" s="607" t="s">
        <v>83</v>
      </c>
      <c r="N137" s="608" t="s">
        <v>84</v>
      </c>
      <c r="O137" s="609" t="s">
        <v>95</v>
      </c>
      <c r="P137" s="541" t="s">
        <v>92</v>
      </c>
      <c r="Q137" s="542" t="s">
        <v>93</v>
      </c>
    </row>
    <row r="138" spans="8:17" ht="16.5" thickBot="1" x14ac:dyDescent="0.3">
      <c r="H138" s="833" t="s">
        <v>112</v>
      </c>
      <c r="I138" s="834"/>
      <c r="J138" s="834"/>
      <c r="K138" s="835"/>
      <c r="M138" s="610">
        <v>36982</v>
      </c>
      <c r="N138" s="611">
        <v>37621</v>
      </c>
      <c r="O138" s="612">
        <v>0.32</v>
      </c>
      <c r="P138" s="543">
        <f>DATEDIF(M138,N138,"y")</f>
        <v>1</v>
      </c>
      <c r="Q138" s="544">
        <f>DATEDIF(M138,N138,"ym")+1</f>
        <v>9</v>
      </c>
    </row>
    <row r="139" spans="8:17" ht="15.75" x14ac:dyDescent="0.25">
      <c r="H139" s="249" t="s">
        <v>107</v>
      </c>
      <c r="I139" s="884">
        <f>IF(EDATE(C7,12*18)&gt;C8,EDATE(C7,12*18),C8)</f>
        <v>31841</v>
      </c>
      <c r="J139" s="885"/>
      <c r="K139" s="886"/>
      <c r="M139" s="613">
        <f>N138+1</f>
        <v>37622</v>
      </c>
      <c r="N139" s="614">
        <v>38077</v>
      </c>
      <c r="O139" s="615">
        <v>0.38</v>
      </c>
      <c r="P139" s="308">
        <f>DATEDIF(M139,N139,"y")</f>
        <v>1</v>
      </c>
      <c r="Q139" s="309">
        <f>DATEDIF(M139,N139,"ym")+1</f>
        <v>3</v>
      </c>
    </row>
    <row r="140" spans="8:17" ht="16.5" thickBot="1" x14ac:dyDescent="0.3">
      <c r="H140" s="396" t="s">
        <v>109</v>
      </c>
      <c r="I140" s="887">
        <f>C9-1</f>
        <v>31840</v>
      </c>
      <c r="J140" s="888"/>
      <c r="K140" s="889"/>
      <c r="M140" s="613">
        <f>N139+1</f>
        <v>38078</v>
      </c>
      <c r="N140" s="614">
        <v>38442</v>
      </c>
      <c r="O140" s="615">
        <v>0.45</v>
      </c>
      <c r="P140" s="308">
        <f t="shared" ref="P140:P170" si="22">DATEDIF(M140,N140,"y")</f>
        <v>0</v>
      </c>
      <c r="Q140" s="309">
        <f t="shared" ref="Q140:Q170" si="23">DATEDIF(M140,N140,"ym")+1</f>
        <v>12</v>
      </c>
    </row>
    <row r="141" spans="8:17" ht="16.5" thickBot="1" x14ac:dyDescent="0.3">
      <c r="H141" s="227" t="str">
        <f>H132</f>
        <v>QS</v>
      </c>
      <c r="I141" s="241" t="e">
        <f>DATEDIF(C8,C11,"y")</f>
        <v>#NUM!</v>
      </c>
      <c r="J141" s="225" t="e">
        <f>DATEDIF(C9,C11,"ym")</f>
        <v>#NUM!</v>
      </c>
      <c r="K141" s="242" t="e">
        <f>IF((DATEDIF(C8,C11,"md")+1)&gt;=30,(DATEDIF(C8,C11,"md")+1)-30,(DATEDIF(C8,C11,"md")+1))</f>
        <v>#NUM!</v>
      </c>
      <c r="M141" s="613">
        <f t="shared" ref="M141:M147" si="24">N140+1</f>
        <v>38443</v>
      </c>
      <c r="N141" s="614">
        <v>38717</v>
      </c>
      <c r="O141" s="615">
        <v>0.52</v>
      </c>
      <c r="P141" s="308">
        <f t="shared" si="22"/>
        <v>0</v>
      </c>
      <c r="Q141" s="309">
        <f t="shared" si="23"/>
        <v>9</v>
      </c>
    </row>
    <row r="142" spans="8:17" ht="15.75" x14ac:dyDescent="0.25">
      <c r="H142" s="250" t="str">
        <f>H133</f>
        <v>Total DRW</v>
      </c>
      <c r="I142" s="251" t="e">
        <f t="shared" ref="I142:K143" si="25">I133</f>
        <v>#NUM!</v>
      </c>
      <c r="J142" s="252" t="e">
        <f t="shared" si="25"/>
        <v>#NUM!</v>
      </c>
      <c r="K142" s="253" t="e">
        <f t="shared" si="25"/>
        <v>#NUM!</v>
      </c>
      <c r="M142" s="613">
        <f t="shared" si="24"/>
        <v>38718</v>
      </c>
      <c r="N142" s="614">
        <v>38898</v>
      </c>
      <c r="O142" s="615">
        <v>0.59</v>
      </c>
      <c r="P142" s="308">
        <f t="shared" si="22"/>
        <v>0</v>
      </c>
      <c r="Q142" s="309">
        <f t="shared" si="23"/>
        <v>6</v>
      </c>
    </row>
    <row r="143" spans="8:17" ht="16.5" thickBot="1" x14ac:dyDescent="0.3">
      <c r="H143" s="254" t="str">
        <f>H134</f>
        <v>Admissible DRW</v>
      </c>
      <c r="I143" s="255" t="e">
        <f t="shared" si="25"/>
        <v>#NUM!</v>
      </c>
      <c r="J143" s="256" t="e">
        <f t="shared" si="25"/>
        <v>#NUM!</v>
      </c>
      <c r="K143" s="257" t="e">
        <f t="shared" si="25"/>
        <v>#NUM!</v>
      </c>
      <c r="M143" s="613">
        <f t="shared" si="24"/>
        <v>38899</v>
      </c>
      <c r="N143" s="614">
        <v>39082</v>
      </c>
      <c r="O143" s="615">
        <v>0.64</v>
      </c>
      <c r="P143" s="308">
        <f t="shared" si="22"/>
        <v>0</v>
      </c>
      <c r="Q143" s="309">
        <f t="shared" si="23"/>
        <v>6</v>
      </c>
    </row>
    <row r="144" spans="8:17" ht="15.75" x14ac:dyDescent="0.25">
      <c r="H144" s="227" t="str">
        <f>H135</f>
        <v>Net QS</v>
      </c>
      <c r="I144" s="258" t="e">
        <f>DATEDIF(DATE(2020+I143,1+J143, 1+K143),DATE(2020+I141,1+J141,1+K141),"Y")</f>
        <v>#NUM!</v>
      </c>
      <c r="J144" s="224" t="e">
        <f>DATEDIF(DATE(2020+I143,1+J143,1+K143),DATE(2020+I141,1+J141,1+K141),"YM")</f>
        <v>#NUM!</v>
      </c>
      <c r="K144" s="769" t="e">
        <f>DATEDIF(DATE(2020+I143,1+J143, 1+K143),DATE(2020+I141,1+J141, 1+K141),"MD")+1</f>
        <v>#NUM!</v>
      </c>
      <c r="M144" s="613">
        <f t="shared" si="24"/>
        <v>39083</v>
      </c>
      <c r="N144" s="614">
        <v>39263</v>
      </c>
      <c r="O144" s="615">
        <v>0.69</v>
      </c>
      <c r="P144" s="308">
        <f t="shared" si="22"/>
        <v>0</v>
      </c>
      <c r="Q144" s="309">
        <f t="shared" si="23"/>
        <v>6</v>
      </c>
    </row>
    <row r="145" spans="8:17" ht="16.5" thickBot="1" x14ac:dyDescent="0.3">
      <c r="H145" s="259" t="s">
        <v>103</v>
      </c>
      <c r="I145" s="245" t="e">
        <f>I144*2</f>
        <v>#NUM!</v>
      </c>
      <c r="J145" s="246" t="e">
        <f>IF(J144&lt;3,"0",IF(AND(J144&gt;=3,J144&lt;9),"1",IF(AND(J144&gt;=9),"2")))</f>
        <v>#NUM!</v>
      </c>
      <c r="K145" s="260"/>
      <c r="M145" s="613">
        <f t="shared" si="24"/>
        <v>39264</v>
      </c>
      <c r="N145" s="614">
        <v>39447</v>
      </c>
      <c r="O145" s="615">
        <v>0.21</v>
      </c>
      <c r="P145" s="308">
        <f t="shared" si="22"/>
        <v>0</v>
      </c>
      <c r="Q145" s="309">
        <f t="shared" si="23"/>
        <v>6</v>
      </c>
    </row>
    <row r="146" spans="8:17" ht="16.5" thickBot="1" x14ac:dyDescent="0.3">
      <c r="H146" s="238" t="s">
        <v>104</v>
      </c>
      <c r="I146" s="881" t="e">
        <f>MIN(66,(SUM(I145+J145)))</f>
        <v>#NUM!</v>
      </c>
      <c r="J146" s="882"/>
      <c r="K146" s="883"/>
      <c r="M146" s="613">
        <f t="shared" si="24"/>
        <v>39448</v>
      </c>
      <c r="N146" s="614">
        <v>39629</v>
      </c>
      <c r="O146" s="615">
        <v>0.26</v>
      </c>
      <c r="P146" s="308">
        <f t="shared" si="22"/>
        <v>0</v>
      </c>
      <c r="Q146" s="309">
        <f t="shared" si="23"/>
        <v>6</v>
      </c>
    </row>
    <row r="147" spans="8:17" ht="16.5" thickBot="1" x14ac:dyDescent="0.3">
      <c r="H147" s="833" t="s">
        <v>113</v>
      </c>
      <c r="I147" s="834"/>
      <c r="J147" s="834"/>
      <c r="K147" s="835"/>
      <c r="M147" s="616">
        <f t="shared" si="24"/>
        <v>39630</v>
      </c>
      <c r="N147" s="617">
        <v>39813</v>
      </c>
      <c r="O147" s="618">
        <v>0.33</v>
      </c>
      <c r="P147" s="540">
        <f t="shared" si="22"/>
        <v>0</v>
      </c>
      <c r="Q147" s="545">
        <f t="shared" si="23"/>
        <v>6</v>
      </c>
    </row>
    <row r="148" spans="8:17" ht="16.5" thickBot="1" x14ac:dyDescent="0.3">
      <c r="H148" s="890" t="s">
        <v>114</v>
      </c>
      <c r="I148" s="891"/>
      <c r="J148" s="891"/>
      <c r="K148" s="892"/>
      <c r="M148" s="610">
        <v>39814</v>
      </c>
      <c r="N148" s="611">
        <f>M149-1</f>
        <v>39994</v>
      </c>
      <c r="O148" s="612">
        <v>0.16</v>
      </c>
      <c r="P148" s="305">
        <f t="shared" si="22"/>
        <v>0</v>
      </c>
      <c r="Q148" s="307">
        <f t="shared" si="23"/>
        <v>6</v>
      </c>
    </row>
    <row r="149" spans="8:17" ht="15.75" x14ac:dyDescent="0.25">
      <c r="H149" s="226" t="s">
        <v>115</v>
      </c>
      <c r="I149" s="893">
        <f>EDATE(C8,12*33)</f>
        <v>43895</v>
      </c>
      <c r="J149" s="894"/>
      <c r="K149" s="895"/>
      <c r="M149" s="613">
        <v>39995</v>
      </c>
      <c r="N149" s="614">
        <f t="shared" ref="N149:N165" si="26">M150-1</f>
        <v>40178</v>
      </c>
      <c r="O149" s="615">
        <v>0.19</v>
      </c>
      <c r="P149" s="308">
        <f t="shared" si="22"/>
        <v>0</v>
      </c>
      <c r="Q149" s="309">
        <f t="shared" si="23"/>
        <v>6</v>
      </c>
    </row>
    <row r="150" spans="8:17" ht="15.75" x14ac:dyDescent="0.25">
      <c r="H150" s="261" t="s">
        <v>116</v>
      </c>
      <c r="I150" s="896">
        <f>EOMONTH(C7,12*60)</f>
        <v>45869</v>
      </c>
      <c r="J150" s="897"/>
      <c r="K150" s="898"/>
      <c r="M150" s="613">
        <v>40179</v>
      </c>
      <c r="N150" s="614">
        <f t="shared" si="26"/>
        <v>40359</v>
      </c>
      <c r="O150" s="615">
        <v>0.22</v>
      </c>
      <c r="P150" s="308">
        <f t="shared" si="22"/>
        <v>0</v>
      </c>
      <c r="Q150" s="309">
        <f t="shared" si="23"/>
        <v>6</v>
      </c>
    </row>
    <row r="151" spans="8:17" ht="16.5" thickBot="1" x14ac:dyDescent="0.3">
      <c r="H151" s="262" t="s">
        <v>117</v>
      </c>
      <c r="I151" s="899">
        <f>IF(I149&lt;I150,I149,I150)</f>
        <v>43895</v>
      </c>
      <c r="J151" s="900"/>
      <c r="K151" s="901"/>
      <c r="M151" s="613">
        <v>40360</v>
      </c>
      <c r="N151" s="614">
        <f t="shared" si="26"/>
        <v>40724</v>
      </c>
      <c r="O151" s="615">
        <v>0.24</v>
      </c>
      <c r="P151" s="308">
        <f t="shared" si="22"/>
        <v>0</v>
      </c>
      <c r="Q151" s="309">
        <f t="shared" si="23"/>
        <v>12</v>
      </c>
    </row>
    <row r="152" spans="8:17" ht="15.75" x14ac:dyDescent="0.25">
      <c r="H152" s="263" t="str">
        <f>H141</f>
        <v>QS</v>
      </c>
      <c r="I152" s="264">
        <f>I120</f>
        <v>38</v>
      </c>
      <c r="J152" s="225">
        <f>J120</f>
        <v>4</v>
      </c>
      <c r="K152" s="265">
        <f>K120</f>
        <v>28</v>
      </c>
      <c r="M152" s="613">
        <v>40725</v>
      </c>
      <c r="N152" s="614">
        <f t="shared" si="26"/>
        <v>40908</v>
      </c>
      <c r="O152" s="615">
        <v>0.27</v>
      </c>
      <c r="P152" s="308">
        <f t="shared" si="22"/>
        <v>0</v>
      </c>
      <c r="Q152" s="309">
        <f t="shared" si="23"/>
        <v>6</v>
      </c>
    </row>
    <row r="153" spans="8:17" ht="15.75" x14ac:dyDescent="0.25">
      <c r="H153" s="673" t="s">
        <v>118</v>
      </c>
      <c r="I153" s="271">
        <f>IF(B1="Vol. Pension Case",IF(IF(I151&lt;C10,0,DATEDIF(C10,I151,"y"))&gt;5,5,IF(I151&lt;C10,0,DATEDIF(C10,I151,"y"))),0)</f>
        <v>0</v>
      </c>
      <c r="J153" s="272">
        <f>IF(B1="Vol. Pension Case",IF(I153=5,0,IF(I151&lt;C10,0,DATEDIF(C10,I151,"ym"))),0)</f>
        <v>0</v>
      </c>
      <c r="K153" s="273">
        <f>IF(B1="Vol. Pension Case",IF(I153=5,0,IF(I151&lt;C10,0,DATEDIF(C10,I151,"md"))),0)</f>
        <v>0</v>
      </c>
      <c r="M153" s="613">
        <v>40909</v>
      </c>
      <c r="N153" s="614">
        <f t="shared" si="26"/>
        <v>41090</v>
      </c>
      <c r="O153" s="615">
        <v>0.3</v>
      </c>
      <c r="P153" s="308">
        <f t="shared" si="22"/>
        <v>0</v>
      </c>
      <c r="Q153" s="309">
        <f t="shared" si="23"/>
        <v>6</v>
      </c>
    </row>
    <row r="154" spans="8:17" ht="16.5" thickBot="1" x14ac:dyDescent="0.3">
      <c r="H154" s="266" t="str">
        <f>H144</f>
        <v>Net QS</v>
      </c>
      <c r="I154" s="267">
        <f>DATEDIF(DATE(1900,1,1),DATE(1900+I152-M118+I153,1+J152-N118+J153,1+K152-O118+K153),"Y")</f>
        <v>38</v>
      </c>
      <c r="J154" s="294">
        <f>DATEDIF(DATE(1900,1,1),DATE(1900+I152-M118+I153,1+J152-N118+J153,1+K152-O118+K153),"YM")</f>
        <v>4</v>
      </c>
      <c r="K154" s="770">
        <f>DATEDIF(DATE(1900,1,1),DATE(1900+I152-M118+I153,1+J152-N118+J153,1+K152-O118+K153),"MD")</f>
        <v>28</v>
      </c>
      <c r="M154" s="619">
        <v>41091</v>
      </c>
      <c r="N154" s="620">
        <f t="shared" si="26"/>
        <v>41243</v>
      </c>
      <c r="O154" s="621">
        <v>0.35</v>
      </c>
      <c r="P154" s="310">
        <f t="shared" si="22"/>
        <v>0</v>
      </c>
      <c r="Q154" s="312">
        <f t="shared" si="23"/>
        <v>5</v>
      </c>
    </row>
    <row r="155" spans="8:17" ht="16.5" thickBot="1" x14ac:dyDescent="0.3">
      <c r="H155" s="268" t="s">
        <v>103</v>
      </c>
      <c r="I155" s="269">
        <f>I154*2</f>
        <v>76</v>
      </c>
      <c r="J155" s="246" t="str">
        <f>IF(J154&lt;3,"0",IF(AND(J154&gt;=3,J154&lt;9),"1",IF(AND(J154&gt;=9),"2")))</f>
        <v>1</v>
      </c>
      <c r="K155" s="270"/>
      <c r="M155" s="610">
        <v>41244</v>
      </c>
      <c r="N155" s="611">
        <f t="shared" si="26"/>
        <v>41455</v>
      </c>
      <c r="O155" s="612">
        <v>0.42</v>
      </c>
      <c r="P155" s="543">
        <f t="shared" si="22"/>
        <v>0</v>
      </c>
      <c r="Q155" s="544">
        <f t="shared" si="23"/>
        <v>7</v>
      </c>
    </row>
    <row r="156" spans="8:17" ht="16.5" thickBot="1" x14ac:dyDescent="0.3">
      <c r="H156" s="672" t="s">
        <v>104</v>
      </c>
      <c r="I156" s="878">
        <f>MIN(66,(SUM(I155+J155)))</f>
        <v>66</v>
      </c>
      <c r="J156" s="879"/>
      <c r="K156" s="880"/>
      <c r="M156" s="613">
        <v>41456</v>
      </c>
      <c r="N156" s="614">
        <f t="shared" si="26"/>
        <v>41639</v>
      </c>
      <c r="O156" s="615">
        <v>0.47</v>
      </c>
      <c r="P156" s="308">
        <f t="shared" si="22"/>
        <v>0</v>
      </c>
      <c r="Q156" s="309">
        <f t="shared" si="23"/>
        <v>6</v>
      </c>
    </row>
    <row r="157" spans="8:17" x14ac:dyDescent="0.25">
      <c r="M157" s="613">
        <v>41640</v>
      </c>
      <c r="N157" s="614">
        <f t="shared" si="26"/>
        <v>41820</v>
      </c>
      <c r="O157" s="615">
        <v>0.56999999999999995</v>
      </c>
      <c r="P157" s="308">
        <f t="shared" si="22"/>
        <v>0</v>
      </c>
      <c r="Q157" s="309">
        <f t="shared" si="23"/>
        <v>6</v>
      </c>
    </row>
    <row r="158" spans="8:17" x14ac:dyDescent="0.25">
      <c r="M158" s="613">
        <v>41821</v>
      </c>
      <c r="N158" s="614">
        <f t="shared" si="26"/>
        <v>42004</v>
      </c>
      <c r="O158" s="615">
        <v>0.64</v>
      </c>
      <c r="P158" s="308">
        <f t="shared" si="22"/>
        <v>0</v>
      </c>
      <c r="Q158" s="309">
        <f t="shared" si="23"/>
        <v>6</v>
      </c>
    </row>
    <row r="159" spans="8:17" ht="15.75" thickBot="1" x14ac:dyDescent="0.3">
      <c r="M159" s="619">
        <v>42005</v>
      </c>
      <c r="N159" s="620">
        <f t="shared" si="26"/>
        <v>42185</v>
      </c>
      <c r="O159" s="621">
        <v>0.69</v>
      </c>
      <c r="P159" s="540">
        <f t="shared" si="22"/>
        <v>0</v>
      </c>
      <c r="Q159" s="545">
        <f t="shared" si="23"/>
        <v>6</v>
      </c>
    </row>
    <row r="160" spans="8:17" x14ac:dyDescent="0.25">
      <c r="M160" s="610">
        <v>42186</v>
      </c>
      <c r="N160" s="611">
        <f t="shared" si="26"/>
        <v>42369</v>
      </c>
      <c r="O160" s="612">
        <v>0.74</v>
      </c>
      <c r="P160" s="305">
        <f t="shared" si="22"/>
        <v>0</v>
      </c>
      <c r="Q160" s="307">
        <f t="shared" si="23"/>
        <v>6</v>
      </c>
    </row>
    <row r="161" spans="13:17" x14ac:dyDescent="0.25">
      <c r="M161" s="613">
        <v>42370</v>
      </c>
      <c r="N161" s="614">
        <f t="shared" si="26"/>
        <v>42551</v>
      </c>
      <c r="O161" s="615">
        <v>0.79</v>
      </c>
      <c r="P161" s="308">
        <f t="shared" si="22"/>
        <v>0</v>
      </c>
      <c r="Q161" s="309">
        <f t="shared" si="23"/>
        <v>6</v>
      </c>
    </row>
    <row r="162" spans="13:17" x14ac:dyDescent="0.25">
      <c r="M162" s="613">
        <v>42552</v>
      </c>
      <c r="N162" s="614">
        <f t="shared" si="26"/>
        <v>42735</v>
      </c>
      <c r="O162" s="615">
        <v>0.83</v>
      </c>
      <c r="P162" s="308">
        <f t="shared" si="22"/>
        <v>0</v>
      </c>
      <c r="Q162" s="309">
        <f t="shared" si="23"/>
        <v>6</v>
      </c>
    </row>
    <row r="163" spans="13:17" ht="15.75" thickBot="1" x14ac:dyDescent="0.3">
      <c r="M163" s="619">
        <v>42736</v>
      </c>
      <c r="N163" s="620">
        <f t="shared" si="26"/>
        <v>44255</v>
      </c>
      <c r="O163" s="621">
        <v>0.88</v>
      </c>
      <c r="P163" s="310">
        <f t="shared" si="22"/>
        <v>4</v>
      </c>
      <c r="Q163" s="312">
        <f t="shared" si="23"/>
        <v>2</v>
      </c>
    </row>
    <row r="164" spans="13:17" x14ac:dyDescent="0.25">
      <c r="M164" s="610">
        <v>44256</v>
      </c>
      <c r="N164" s="611">
        <f t="shared" si="26"/>
        <v>44742</v>
      </c>
      <c r="O164" s="612">
        <v>0.03</v>
      </c>
      <c r="P164" s="543">
        <f t="shared" si="22"/>
        <v>1</v>
      </c>
      <c r="Q164" s="544">
        <f t="shared" si="23"/>
        <v>4</v>
      </c>
    </row>
    <row r="165" spans="13:17" x14ac:dyDescent="0.25">
      <c r="M165" s="613">
        <v>44743</v>
      </c>
      <c r="N165" s="614">
        <f t="shared" si="26"/>
        <v>44895</v>
      </c>
      <c r="O165" s="615">
        <v>0.08</v>
      </c>
      <c r="P165" s="308">
        <f t="shared" si="22"/>
        <v>0</v>
      </c>
      <c r="Q165" s="309">
        <f t="shared" si="23"/>
        <v>5</v>
      </c>
    </row>
    <row r="166" spans="13:17" x14ac:dyDescent="0.25">
      <c r="M166" s="613">
        <v>44896</v>
      </c>
      <c r="N166" s="614">
        <f>M167-1</f>
        <v>45291</v>
      </c>
      <c r="O166" s="615">
        <v>0.2</v>
      </c>
      <c r="P166" s="308">
        <f t="shared" si="22"/>
        <v>1</v>
      </c>
      <c r="Q166" s="309">
        <f t="shared" si="23"/>
        <v>1</v>
      </c>
    </row>
    <row r="167" spans="13:17" x14ac:dyDescent="0.25">
      <c r="M167" s="622">
        <v>45292</v>
      </c>
      <c r="N167" s="614">
        <f>M168-1</f>
        <v>45596</v>
      </c>
      <c r="O167" s="623">
        <v>0.25</v>
      </c>
      <c r="P167" s="308">
        <f t="shared" si="22"/>
        <v>0</v>
      </c>
      <c r="Q167" s="309">
        <f t="shared" si="23"/>
        <v>10</v>
      </c>
    </row>
    <row r="168" spans="13:17" x14ac:dyDescent="0.25">
      <c r="M168" s="622">
        <v>45597</v>
      </c>
      <c r="N168" s="614">
        <f>M169-1</f>
        <v>45747</v>
      </c>
      <c r="O168" s="623">
        <v>0.3</v>
      </c>
      <c r="P168" s="308">
        <f t="shared" si="22"/>
        <v>0</v>
      </c>
      <c r="Q168" s="309">
        <f t="shared" si="23"/>
        <v>5</v>
      </c>
    </row>
    <row r="169" spans="13:17" x14ac:dyDescent="0.25">
      <c r="M169" s="622">
        <v>45748</v>
      </c>
      <c r="N169" s="614">
        <f>M170-1</f>
        <v>45930</v>
      </c>
      <c r="O169" s="623">
        <v>0.33</v>
      </c>
      <c r="P169" s="308">
        <f t="shared" ref="P169" si="27">DATEDIF(M169,N169,"y")</f>
        <v>0</v>
      </c>
      <c r="Q169" s="309">
        <f>DATEDIF(M169,N169,"ym")+1</f>
        <v>6</v>
      </c>
    </row>
    <row r="170" spans="13:17" x14ac:dyDescent="0.25">
      <c r="M170" s="622">
        <v>45931</v>
      </c>
      <c r="N170" s="614">
        <f>M171-1</f>
        <v>46112</v>
      </c>
      <c r="O170" s="623">
        <v>0.36</v>
      </c>
      <c r="P170" s="308">
        <f t="shared" si="22"/>
        <v>0</v>
      </c>
      <c r="Q170" s="309">
        <f t="shared" si="23"/>
        <v>6</v>
      </c>
    </row>
    <row r="171" spans="13:17" x14ac:dyDescent="0.25">
      <c r="M171" s="622">
        <v>46113</v>
      </c>
      <c r="N171" s="624">
        <f ca="1">TODAY()</f>
        <v>46251</v>
      </c>
      <c r="O171" s="623">
        <v>0.41</v>
      </c>
      <c r="P171" s="308">
        <f ca="1">DATEDIF(M171,N171,"y")</f>
        <v>0</v>
      </c>
      <c r="Q171" s="309">
        <f t="shared" ref="Q171" ca="1" si="28">DATEDIF(M171,N171,"ym")+1</f>
        <v>5</v>
      </c>
    </row>
  </sheetData>
  <sheetProtection algorithmName="SHA-512" hashValue="yun/8JItLVcYFMXkqfSRqvT1fOxPy5xA28hu2ra4ZTNAUUiT8RULc+Nbe8U4fft0pGc5fb7Gkf39G+YlC269VQ==" saltValue="RgUFbJhdCwyajHG+f4oEhg==" spinCount="100000" sheet="1" formatCells="0" formatColumns="0" formatRows="0" insertColumns="0" insertRows="0" insertHyperlinks="0" deleteColumns="0" deleteRows="0" selectLockedCells="1" sort="0" autoFilter="0" pivotTables="0"/>
  <mergeCells count="177">
    <mergeCell ref="H99:I99"/>
    <mergeCell ref="L84:M84"/>
    <mergeCell ref="L93:M93"/>
    <mergeCell ref="L92:M92"/>
    <mergeCell ref="R25:S26"/>
    <mergeCell ref="Q25:Q26"/>
    <mergeCell ref="R15:S16"/>
    <mergeCell ref="Q23:Q24"/>
    <mergeCell ref="R23:S24"/>
    <mergeCell ref="Q15:Q16"/>
    <mergeCell ref="R17:S18"/>
    <mergeCell ref="Q17:Q18"/>
    <mergeCell ref="R20:S20"/>
    <mergeCell ref="R21:S22"/>
    <mergeCell ref="Q21:Q22"/>
    <mergeCell ref="P65:Q65"/>
    <mergeCell ref="O65:O66"/>
    <mergeCell ref="O63:O64"/>
    <mergeCell ref="O62:Q62"/>
    <mergeCell ref="M67:N67"/>
    <mergeCell ref="O67:O68"/>
    <mergeCell ref="H98:I98"/>
    <mergeCell ref="H97:I97"/>
    <mergeCell ref="L60:L61"/>
    <mergeCell ref="I123:K123"/>
    <mergeCell ref="H101:I101"/>
    <mergeCell ref="K108:K109"/>
    <mergeCell ref="H102:I102"/>
    <mergeCell ref="H103:I103"/>
    <mergeCell ref="H111:I111"/>
    <mergeCell ref="H110:I110"/>
    <mergeCell ref="H109:I109"/>
    <mergeCell ref="H105:I105"/>
    <mergeCell ref="H104:I104"/>
    <mergeCell ref="H108:I108"/>
    <mergeCell ref="H107:I107"/>
    <mergeCell ref="I116:J116"/>
    <mergeCell ref="I115:J115"/>
    <mergeCell ref="K115:K116"/>
    <mergeCell ref="H114:J114"/>
    <mergeCell ref="H106:I106"/>
    <mergeCell ref="H112:I112"/>
    <mergeCell ref="Q13:Q14"/>
    <mergeCell ref="P68:Q68"/>
    <mergeCell ref="P67:Q67"/>
    <mergeCell ref="P66:Q66"/>
    <mergeCell ref="K60:K61"/>
    <mergeCell ref="K68:L68"/>
    <mergeCell ref="K72:L72"/>
    <mergeCell ref="K71:L71"/>
    <mergeCell ref="K70:L70"/>
    <mergeCell ref="P72:Q72"/>
    <mergeCell ref="P71:Q71"/>
    <mergeCell ref="P70:Q70"/>
    <mergeCell ref="P69:Q69"/>
    <mergeCell ref="P63:Q63"/>
    <mergeCell ref="K69:L69"/>
    <mergeCell ref="P64:Q64"/>
    <mergeCell ref="K66:L66"/>
    <mergeCell ref="K67:L67"/>
    <mergeCell ref="K65:L65"/>
    <mergeCell ref="M63:N63"/>
    <mergeCell ref="K63:L63"/>
    <mergeCell ref="H20:O20"/>
    <mergeCell ref="M65:N65"/>
    <mergeCell ref="H62:L62"/>
    <mergeCell ref="I156:K156"/>
    <mergeCell ref="I128:K128"/>
    <mergeCell ref="H129:K129"/>
    <mergeCell ref="I130:K130"/>
    <mergeCell ref="I131:K131"/>
    <mergeCell ref="I137:K137"/>
    <mergeCell ref="I140:K140"/>
    <mergeCell ref="H138:K138"/>
    <mergeCell ref="I146:K146"/>
    <mergeCell ref="H148:K148"/>
    <mergeCell ref="I139:K139"/>
    <mergeCell ref="H147:K147"/>
    <mergeCell ref="I149:K149"/>
    <mergeCell ref="I150:K150"/>
    <mergeCell ref="I151:K151"/>
    <mergeCell ref="C11:D11"/>
    <mergeCell ref="B40:C40"/>
    <mergeCell ref="B17:C17"/>
    <mergeCell ref="C12:D12"/>
    <mergeCell ref="B66:C66"/>
    <mergeCell ref="B18:C18"/>
    <mergeCell ref="B22:C22"/>
    <mergeCell ref="C10:D10"/>
    <mergeCell ref="E16:F16"/>
    <mergeCell ref="E15:F15"/>
    <mergeCell ref="B13:F13"/>
    <mergeCell ref="E21:F21"/>
    <mergeCell ref="B25:C25"/>
    <mergeCell ref="E14:F14"/>
    <mergeCell ref="E19:F19"/>
    <mergeCell ref="B1:F1"/>
    <mergeCell ref="B68:C68"/>
    <mergeCell ref="B2:F2"/>
    <mergeCell ref="B45:C45"/>
    <mergeCell ref="B46:C46"/>
    <mergeCell ref="B41:C41"/>
    <mergeCell ref="B42:C42"/>
    <mergeCell ref="B19:C19"/>
    <mergeCell ref="E22:F22"/>
    <mergeCell ref="E39:F39"/>
    <mergeCell ref="B24:C24"/>
    <mergeCell ref="B62:F62"/>
    <mergeCell ref="D3:F3"/>
    <mergeCell ref="C8:D8"/>
    <mergeCell ref="C9:D9"/>
    <mergeCell ref="B64:B65"/>
    <mergeCell ref="B44:C44"/>
    <mergeCell ref="C4:D4"/>
    <mergeCell ref="C5:D5"/>
    <mergeCell ref="B67:C67"/>
    <mergeCell ref="C7:D7"/>
    <mergeCell ref="B16:C16"/>
    <mergeCell ref="E66:F66"/>
    <mergeCell ref="E65:F65"/>
    <mergeCell ref="K64:L64"/>
    <mergeCell ref="B38:F38"/>
    <mergeCell ref="E63:F63"/>
    <mergeCell ref="B43:C43"/>
    <mergeCell ref="B23:C23"/>
    <mergeCell ref="B15:C15"/>
    <mergeCell ref="B20:C20"/>
    <mergeCell ref="B21:C21"/>
    <mergeCell ref="E64:F64"/>
    <mergeCell ref="R11:S11"/>
    <mergeCell ref="R13:S14"/>
    <mergeCell ref="C124:D124"/>
    <mergeCell ref="E67:F67"/>
    <mergeCell ref="P92:P93"/>
    <mergeCell ref="P90:P91"/>
    <mergeCell ref="P88:P89"/>
    <mergeCell ref="P86:P87"/>
    <mergeCell ref="Q87:R87"/>
    <mergeCell ref="Q84:R84"/>
    <mergeCell ref="L91:M91"/>
    <mergeCell ref="L90:M90"/>
    <mergeCell ref="L89:M89"/>
    <mergeCell ref="L88:M88"/>
    <mergeCell ref="L108:M108"/>
    <mergeCell ref="L118:L119"/>
    <mergeCell ref="M119:N119"/>
    <mergeCell ref="L87:M87"/>
    <mergeCell ref="L86:M86"/>
    <mergeCell ref="E70:F70"/>
    <mergeCell ref="E18:F18"/>
    <mergeCell ref="E17:F17"/>
    <mergeCell ref="E20:F20"/>
    <mergeCell ref="H11:O11"/>
    <mergeCell ref="C125:E125"/>
    <mergeCell ref="M136:O136"/>
    <mergeCell ref="M71:N71"/>
    <mergeCell ref="M69:N69"/>
    <mergeCell ref="O71:O72"/>
    <mergeCell ref="O69:O70"/>
    <mergeCell ref="B102:C102"/>
    <mergeCell ref="E68:F68"/>
    <mergeCell ref="E71:F71"/>
    <mergeCell ref="D102:E102"/>
    <mergeCell ref="B69:C69"/>
    <mergeCell ref="E69:F69"/>
    <mergeCell ref="H96:I96"/>
    <mergeCell ref="C109:E109"/>
    <mergeCell ref="L85:M85"/>
    <mergeCell ref="O86:O87"/>
    <mergeCell ref="O88:O89"/>
    <mergeCell ref="O92:O93"/>
    <mergeCell ref="O90:O91"/>
    <mergeCell ref="L109:M109"/>
    <mergeCell ref="J73:K73"/>
    <mergeCell ref="B70:C70"/>
    <mergeCell ref="H124:K124"/>
    <mergeCell ref="H118:K118"/>
  </mergeCells>
  <conditionalFormatting sqref="C73:C83">
    <cfRule type="cellIs" dxfId="11" priority="7" operator="greaterThan">
      <formula>42825</formula>
    </cfRule>
  </conditionalFormatting>
  <conditionalFormatting sqref="I121 I126">
    <cfRule type="cellIs" dxfId="10" priority="29" operator="notEqual">
      <formula>$I$120</formula>
    </cfRule>
  </conditionalFormatting>
  <conditionalFormatting sqref="J73:K73">
    <cfRule type="expression" dxfId="9" priority="2">
      <formula>L73=TRUE</formula>
    </cfRule>
  </conditionalFormatting>
  <conditionalFormatting sqref="K60">
    <cfRule type="expression" dxfId="8" priority="31">
      <formula>L60=TRUE</formula>
    </cfRule>
  </conditionalFormatting>
  <dataValidations count="2">
    <dataValidation allowBlank="1" showInputMessage="1" showErrorMessage="1" sqref="P20 B62 P12" xr:uid="{00000000-0002-0000-0500-000000000000}"/>
    <dataValidation allowBlank="1" showInputMessage="1" showErrorMessage="1" prompt="Option date selected by the pensioner as per ROP 1988." sqref="C14" xr:uid="{00000000-0002-0000-0500-000001000000}"/>
  </dataValidations>
  <pageMargins left="0.39370078740157483" right="0.31496062992125984" top="0.56000000000000005" bottom="0.5" header="0.31496062992125984" footer="0.31496062992125984"/>
  <pageSetup paperSize="9" orientation="portrait" r:id="rId1"/>
  <headerFooter>
    <oddHeader xml:space="preserve">&amp;L
&amp;K00-023
&amp;"Mistral,Regular"&amp;10
&amp;K00-033
                         &amp;G 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143" r:id="rId5" name="CommandButton16">
          <controlPr defaultSize="0" autoLine="0" r:id="rId6">
            <anchor moveWithCells="1">
              <from>
                <xdr:col>16</xdr:col>
                <xdr:colOff>9525</xdr:colOff>
                <xdr:row>89</xdr:row>
                <xdr:rowOff>9525</xdr:rowOff>
              </from>
              <to>
                <xdr:col>17</xdr:col>
                <xdr:colOff>752475</xdr:colOff>
                <xdr:row>90</xdr:row>
                <xdr:rowOff>200025</xdr:rowOff>
              </to>
            </anchor>
          </controlPr>
        </control>
      </mc:Choice>
      <mc:Fallback>
        <control shapeId="1143" r:id="rId5" name="CommandButton16"/>
      </mc:Fallback>
    </mc:AlternateContent>
    <mc:AlternateContent xmlns:mc="http://schemas.openxmlformats.org/markup-compatibility/2006">
      <mc:Choice Requires="x14">
        <control shapeId="1138" r:id="rId7" name="CommandButton14">
          <controlPr defaultSize="0" autoLine="0" r:id="rId8">
            <anchor moveWithCells="1" sizeWithCells="1">
              <from>
                <xdr:col>12</xdr:col>
                <xdr:colOff>28575</xdr:colOff>
                <xdr:row>25</xdr:row>
                <xdr:rowOff>9525</xdr:rowOff>
              </from>
              <to>
                <xdr:col>12</xdr:col>
                <xdr:colOff>923925</xdr:colOff>
                <xdr:row>25</xdr:row>
                <xdr:rowOff>200025</xdr:rowOff>
              </to>
            </anchor>
          </controlPr>
        </control>
      </mc:Choice>
      <mc:Fallback>
        <control shapeId="1138" r:id="rId7" name="CommandButton14"/>
      </mc:Fallback>
    </mc:AlternateContent>
    <mc:AlternateContent xmlns:mc="http://schemas.openxmlformats.org/markup-compatibility/2006">
      <mc:Choice Requires="x14">
        <control shapeId="1137" r:id="rId9" name="CommandButton13">
          <controlPr defaultSize="0" autoLine="0" r:id="rId8">
            <anchor moveWithCells="1" sizeWithCells="1">
              <from>
                <xdr:col>12</xdr:col>
                <xdr:colOff>28575</xdr:colOff>
                <xdr:row>23</xdr:row>
                <xdr:rowOff>9525</xdr:rowOff>
              </from>
              <to>
                <xdr:col>12</xdr:col>
                <xdr:colOff>923925</xdr:colOff>
                <xdr:row>23</xdr:row>
                <xdr:rowOff>200025</xdr:rowOff>
              </to>
            </anchor>
          </controlPr>
        </control>
      </mc:Choice>
      <mc:Fallback>
        <control shapeId="1137" r:id="rId9" name="CommandButton13"/>
      </mc:Fallback>
    </mc:AlternateContent>
    <mc:AlternateContent xmlns:mc="http://schemas.openxmlformats.org/markup-compatibility/2006">
      <mc:Choice Requires="x14">
        <control shapeId="1135" r:id="rId10" name="CommandButton12">
          <controlPr defaultSize="0" autoLine="0" r:id="rId8">
            <anchor moveWithCells="1" sizeWithCells="1">
              <from>
                <xdr:col>10</xdr:col>
                <xdr:colOff>28575</xdr:colOff>
                <xdr:row>25</xdr:row>
                <xdr:rowOff>9525</xdr:rowOff>
              </from>
              <to>
                <xdr:col>10</xdr:col>
                <xdr:colOff>923925</xdr:colOff>
                <xdr:row>25</xdr:row>
                <xdr:rowOff>200025</xdr:rowOff>
              </to>
            </anchor>
          </controlPr>
        </control>
      </mc:Choice>
      <mc:Fallback>
        <control shapeId="1135" r:id="rId10" name="CommandButton12"/>
      </mc:Fallback>
    </mc:AlternateContent>
    <mc:AlternateContent xmlns:mc="http://schemas.openxmlformats.org/markup-compatibility/2006">
      <mc:Choice Requires="x14">
        <control shapeId="1134" r:id="rId11" name="CommandButton11">
          <controlPr defaultSize="0" autoLine="0" r:id="rId8">
            <anchor moveWithCells="1" sizeWithCells="1">
              <from>
                <xdr:col>10</xdr:col>
                <xdr:colOff>28575</xdr:colOff>
                <xdr:row>23</xdr:row>
                <xdr:rowOff>9525</xdr:rowOff>
              </from>
              <to>
                <xdr:col>10</xdr:col>
                <xdr:colOff>923925</xdr:colOff>
                <xdr:row>23</xdr:row>
                <xdr:rowOff>200025</xdr:rowOff>
              </to>
            </anchor>
          </controlPr>
        </control>
      </mc:Choice>
      <mc:Fallback>
        <control shapeId="1134" r:id="rId11" name="CommandButton11"/>
      </mc:Fallback>
    </mc:AlternateContent>
    <mc:AlternateContent xmlns:mc="http://schemas.openxmlformats.org/markup-compatibility/2006">
      <mc:Choice Requires="x14">
        <control shapeId="1133" r:id="rId12" name="CommandButton10">
          <controlPr defaultSize="0" autoLine="0" r:id="rId8">
            <anchor moveWithCells="1">
              <from>
                <xdr:col>10</xdr:col>
                <xdr:colOff>28575</xdr:colOff>
                <xdr:row>17</xdr:row>
                <xdr:rowOff>9525</xdr:rowOff>
              </from>
              <to>
                <xdr:col>10</xdr:col>
                <xdr:colOff>923925</xdr:colOff>
                <xdr:row>17</xdr:row>
                <xdr:rowOff>200025</xdr:rowOff>
              </to>
            </anchor>
          </controlPr>
        </control>
      </mc:Choice>
      <mc:Fallback>
        <control shapeId="1133" r:id="rId12" name="CommandButton10"/>
      </mc:Fallback>
    </mc:AlternateContent>
    <mc:AlternateContent xmlns:mc="http://schemas.openxmlformats.org/markup-compatibility/2006">
      <mc:Choice Requires="x14">
        <control shapeId="1132" r:id="rId13" name="CommandButton9">
          <controlPr defaultSize="0" autoLine="0" r:id="rId8">
            <anchor moveWithCells="1">
              <from>
                <xdr:col>10</xdr:col>
                <xdr:colOff>28575</xdr:colOff>
                <xdr:row>15</xdr:row>
                <xdr:rowOff>9525</xdr:rowOff>
              </from>
              <to>
                <xdr:col>10</xdr:col>
                <xdr:colOff>923925</xdr:colOff>
                <xdr:row>15</xdr:row>
                <xdr:rowOff>200025</xdr:rowOff>
              </to>
            </anchor>
          </controlPr>
        </control>
      </mc:Choice>
      <mc:Fallback>
        <control shapeId="1132" r:id="rId13" name="CommandButton9"/>
      </mc:Fallback>
    </mc:AlternateContent>
    <mc:AlternateContent xmlns:mc="http://schemas.openxmlformats.org/markup-compatibility/2006">
      <mc:Choice Requires="x14">
        <control shapeId="1131" r:id="rId14" name="CommandButton8">
          <controlPr defaultSize="0" autoLine="0" r:id="rId8">
            <anchor moveWithCells="1">
              <from>
                <xdr:col>12</xdr:col>
                <xdr:colOff>28575</xdr:colOff>
                <xdr:row>17</xdr:row>
                <xdr:rowOff>9525</xdr:rowOff>
              </from>
              <to>
                <xdr:col>12</xdr:col>
                <xdr:colOff>923925</xdr:colOff>
                <xdr:row>17</xdr:row>
                <xdr:rowOff>200025</xdr:rowOff>
              </to>
            </anchor>
          </controlPr>
        </control>
      </mc:Choice>
      <mc:Fallback>
        <control shapeId="1131" r:id="rId14" name="CommandButton8"/>
      </mc:Fallback>
    </mc:AlternateContent>
    <mc:AlternateContent xmlns:mc="http://schemas.openxmlformats.org/markup-compatibility/2006">
      <mc:Choice Requires="x14">
        <control shapeId="1130" r:id="rId15" name="CommandButton7">
          <controlPr defaultSize="0" autoLine="0" r:id="rId8">
            <anchor moveWithCells="1">
              <from>
                <xdr:col>12</xdr:col>
                <xdr:colOff>28575</xdr:colOff>
                <xdr:row>15</xdr:row>
                <xdr:rowOff>9525</xdr:rowOff>
              </from>
              <to>
                <xdr:col>12</xdr:col>
                <xdr:colOff>923925</xdr:colOff>
                <xdr:row>15</xdr:row>
                <xdr:rowOff>200025</xdr:rowOff>
              </to>
            </anchor>
          </controlPr>
        </control>
      </mc:Choice>
      <mc:Fallback>
        <control shapeId="1130" r:id="rId15" name="CommandButton7"/>
      </mc:Fallback>
    </mc:AlternateContent>
    <mc:AlternateContent xmlns:mc="http://schemas.openxmlformats.org/markup-compatibility/2006">
      <mc:Choice Requires="x14">
        <control shapeId="1102" r:id="rId16" name="CommandButton4">
          <controlPr defaultSize="0" autoLine="0" r:id="rId8">
            <anchor moveWithCells="1" sizeWithCells="1">
              <from>
                <xdr:col>10</xdr:col>
                <xdr:colOff>28575</xdr:colOff>
                <xdr:row>21</xdr:row>
                <xdr:rowOff>9525</xdr:rowOff>
              </from>
              <to>
                <xdr:col>10</xdr:col>
                <xdr:colOff>923925</xdr:colOff>
                <xdr:row>21</xdr:row>
                <xdr:rowOff>200025</xdr:rowOff>
              </to>
            </anchor>
          </controlPr>
        </control>
      </mc:Choice>
      <mc:Fallback>
        <control shapeId="1102" r:id="rId16" name="CommandButton4"/>
      </mc:Fallback>
    </mc:AlternateContent>
    <mc:AlternateContent xmlns:mc="http://schemas.openxmlformats.org/markup-compatibility/2006">
      <mc:Choice Requires="x14">
        <control shapeId="1101" r:id="rId17" name="CommandButton3">
          <controlPr defaultSize="0" autoLine="0" r:id="rId8">
            <anchor moveWithCells="1" sizeWithCells="1">
              <from>
                <xdr:col>12</xdr:col>
                <xdr:colOff>28575</xdr:colOff>
                <xdr:row>21</xdr:row>
                <xdr:rowOff>9525</xdr:rowOff>
              </from>
              <to>
                <xdr:col>12</xdr:col>
                <xdr:colOff>923925</xdr:colOff>
                <xdr:row>21</xdr:row>
                <xdr:rowOff>200025</xdr:rowOff>
              </to>
            </anchor>
          </controlPr>
        </control>
      </mc:Choice>
      <mc:Fallback>
        <control shapeId="1101" r:id="rId17" name="CommandButton3"/>
      </mc:Fallback>
    </mc:AlternateContent>
    <mc:AlternateContent xmlns:mc="http://schemas.openxmlformats.org/markup-compatibility/2006">
      <mc:Choice Requires="x14">
        <control shapeId="1100" r:id="rId18" name="CommandButton2">
          <controlPr defaultSize="0" autoLine="0" r:id="rId8">
            <anchor moveWithCells="1">
              <from>
                <xdr:col>10</xdr:col>
                <xdr:colOff>28575</xdr:colOff>
                <xdr:row>13</xdr:row>
                <xdr:rowOff>9525</xdr:rowOff>
              </from>
              <to>
                <xdr:col>10</xdr:col>
                <xdr:colOff>923925</xdr:colOff>
                <xdr:row>13</xdr:row>
                <xdr:rowOff>200025</xdr:rowOff>
              </to>
            </anchor>
          </controlPr>
        </control>
      </mc:Choice>
      <mc:Fallback>
        <control shapeId="1100" r:id="rId18" name="CommandButton2"/>
      </mc:Fallback>
    </mc:AlternateContent>
    <mc:AlternateContent xmlns:mc="http://schemas.openxmlformats.org/markup-compatibility/2006">
      <mc:Choice Requires="x14">
        <control shapeId="1099" r:id="rId19" name="CommandButton1">
          <controlPr defaultSize="0" autoLine="0" r:id="rId8">
            <anchor moveWithCells="1">
              <from>
                <xdr:col>12</xdr:col>
                <xdr:colOff>28575</xdr:colOff>
                <xdr:row>13</xdr:row>
                <xdr:rowOff>9525</xdr:rowOff>
              </from>
              <to>
                <xdr:col>12</xdr:col>
                <xdr:colOff>923925</xdr:colOff>
                <xdr:row>13</xdr:row>
                <xdr:rowOff>200025</xdr:rowOff>
              </to>
            </anchor>
          </controlPr>
        </control>
      </mc:Choice>
      <mc:Fallback>
        <control shapeId="1099" r:id="rId19" name="CommandButton1"/>
      </mc:Fallback>
    </mc:AlternateContent>
    <mc:AlternateContent xmlns:mc="http://schemas.openxmlformats.org/markup-compatibility/2006">
      <mc:Choice Requires="x14">
        <control shapeId="1103" r:id="rId20" name="CommandButton5">
          <controlPr defaultSize="0" print="0" autoLine="0" r:id="rId21">
            <anchor moveWithCells="1">
              <from>
                <xdr:col>12</xdr:col>
                <xdr:colOff>9525</xdr:colOff>
                <xdr:row>61</xdr:row>
                <xdr:rowOff>0</xdr:rowOff>
              </from>
              <to>
                <xdr:col>13</xdr:col>
                <xdr:colOff>771525</xdr:colOff>
                <xdr:row>61</xdr:row>
                <xdr:rowOff>257175</xdr:rowOff>
              </to>
            </anchor>
          </controlPr>
        </control>
      </mc:Choice>
      <mc:Fallback>
        <control shapeId="1103" r:id="rId20" name="CommandButton5"/>
      </mc:Fallback>
    </mc:AlternateContent>
    <mc:AlternateContent xmlns:mc="http://schemas.openxmlformats.org/markup-compatibility/2006">
      <mc:Choice Requires="x14">
        <control shapeId="1025" r:id="rId22" name="Check Box 1">
          <controlPr defaultSize="0" autoFill="0" autoLine="0" autoPict="0">
            <anchor moveWithCells="1">
              <from>
                <xdr:col>9</xdr:col>
                <xdr:colOff>333375</xdr:colOff>
                <xdr:row>95</xdr:row>
                <xdr:rowOff>0</xdr:rowOff>
              </from>
              <to>
                <xdr:col>9</xdr:col>
                <xdr:colOff>638175</xdr:colOff>
                <xdr:row>96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23" name="Check Box 2">
          <controlPr defaultSize="0" autoFill="0" autoLine="0" autoPict="0">
            <anchor moveWithCells="1">
              <from>
                <xdr:col>9</xdr:col>
                <xdr:colOff>333375</xdr:colOff>
                <xdr:row>96</xdr:row>
                <xdr:rowOff>19050</xdr:rowOff>
              </from>
              <to>
                <xdr:col>9</xdr:col>
                <xdr:colOff>504825</xdr:colOff>
                <xdr:row>96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24" name="Check Box 5">
          <controlPr defaultSize="0" autoFill="0" autoLine="0" autoPict="0">
            <anchor moveWithCells="1">
              <from>
                <xdr:col>10</xdr:col>
                <xdr:colOff>352425</xdr:colOff>
                <xdr:row>107</xdr:row>
                <xdr:rowOff>95250</xdr:rowOff>
              </from>
              <to>
                <xdr:col>10</xdr:col>
                <xdr:colOff>609600</xdr:colOff>
                <xdr:row>108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5" name="Check Box 13">
          <controlPr defaultSize="0" autoFill="0" autoLine="0" autoPict="0">
            <anchor moveWithCells="1">
              <from>
                <xdr:col>9</xdr:col>
                <xdr:colOff>333375</xdr:colOff>
                <xdr:row>96</xdr:row>
                <xdr:rowOff>209550</xdr:rowOff>
              </from>
              <to>
                <xdr:col>9</xdr:col>
                <xdr:colOff>638175</xdr:colOff>
                <xdr:row>97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6" name="Check Box 16">
          <controlPr defaultSize="0" autoFill="0" autoLine="0" autoPict="0">
            <anchor moveWithCells="1">
              <from>
                <xdr:col>2</xdr:col>
                <xdr:colOff>695325</xdr:colOff>
                <xdr:row>10</xdr:row>
                <xdr:rowOff>209550</xdr:rowOff>
              </from>
              <to>
                <xdr:col>3</xdr:col>
                <xdr:colOff>209550</xdr:colOff>
                <xdr:row>11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7" name="Check Box 55">
          <controlPr defaultSize="0" autoFill="0" autoLine="0" autoPict="0">
            <anchor moveWithCells="1">
              <from>
                <xdr:col>13</xdr:col>
                <xdr:colOff>266700</xdr:colOff>
                <xdr:row>83</xdr:row>
                <xdr:rowOff>9525</xdr:rowOff>
              </from>
              <to>
                <xdr:col>13</xdr:col>
                <xdr:colOff>495300</xdr:colOff>
                <xdr:row>83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8" name="Check Box 57">
          <controlPr defaultSize="0" autoFill="0" autoLine="0" autoPict="0">
            <anchor moveWithCells="1">
              <from>
                <xdr:col>11</xdr:col>
                <xdr:colOff>333375</xdr:colOff>
                <xdr:row>59</xdr:row>
                <xdr:rowOff>95250</xdr:rowOff>
              </from>
              <to>
                <xdr:col>11</xdr:col>
                <xdr:colOff>552450</xdr:colOff>
                <xdr:row>60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9" name="Check Box 60">
          <controlPr defaultSize="0" autoFill="0" autoLine="0" autoPict="0">
            <anchor moveWithCells="1">
              <from>
                <xdr:col>11</xdr:col>
                <xdr:colOff>342900</xdr:colOff>
                <xdr:row>72</xdr:row>
                <xdr:rowOff>9525</xdr:rowOff>
              </from>
              <to>
                <xdr:col>11</xdr:col>
                <xdr:colOff>533400</xdr:colOff>
                <xdr:row>72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30" name="Check Box 120">
          <controlPr defaultSize="0" autoFill="0" autoLine="0" autoPict="0">
            <anchor moveWithCells="1">
              <from>
                <xdr:col>13</xdr:col>
                <xdr:colOff>266700</xdr:colOff>
                <xdr:row>85</xdr:row>
                <xdr:rowOff>9525</xdr:rowOff>
              </from>
              <to>
                <xdr:col>13</xdr:col>
                <xdr:colOff>495300</xdr:colOff>
                <xdr:row>85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31" name="Check Box 121">
          <controlPr defaultSize="0" autoFill="0" autoLine="0" autoPict="0">
            <anchor moveWithCells="1">
              <from>
                <xdr:col>13</xdr:col>
                <xdr:colOff>266700</xdr:colOff>
                <xdr:row>87</xdr:row>
                <xdr:rowOff>9525</xdr:rowOff>
              </from>
              <to>
                <xdr:col>13</xdr:col>
                <xdr:colOff>495300</xdr:colOff>
                <xdr:row>87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32" name="Check Box 122">
          <controlPr defaultSize="0" autoFill="0" autoLine="0" autoPict="0">
            <anchor moveWithCells="1">
              <from>
                <xdr:col>13</xdr:col>
                <xdr:colOff>266700</xdr:colOff>
                <xdr:row>89</xdr:row>
                <xdr:rowOff>9525</xdr:rowOff>
              </from>
              <to>
                <xdr:col>13</xdr:col>
                <xdr:colOff>495300</xdr:colOff>
                <xdr:row>89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33" name="Check Box 123">
          <controlPr defaultSize="0" autoFill="0" autoLine="0" autoPict="0">
            <anchor moveWithCells="1">
              <from>
                <xdr:col>13</xdr:col>
                <xdr:colOff>266700</xdr:colOff>
                <xdr:row>91</xdr:row>
                <xdr:rowOff>9525</xdr:rowOff>
              </from>
              <to>
                <xdr:col>13</xdr:col>
                <xdr:colOff>495300</xdr:colOff>
                <xdr:row>91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34" name="Option Button 140">
          <controlPr defaultSize="0" autoFill="0" autoLine="0" autoPict="0">
            <anchor moveWithCells="1">
              <from>
                <xdr:col>13</xdr:col>
                <xdr:colOff>257175</xdr:colOff>
                <xdr:row>106</xdr:row>
                <xdr:rowOff>209550</xdr:rowOff>
              </from>
              <to>
                <xdr:col>13</xdr:col>
                <xdr:colOff>561975</xdr:colOff>
                <xdr:row>107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35" name="Option Button 141">
          <controlPr defaultSize="0" autoFill="0" autoLine="0" autoPict="0">
            <anchor moveWithCells="1">
              <from>
                <xdr:col>13</xdr:col>
                <xdr:colOff>257175</xdr:colOff>
                <xdr:row>107</xdr:row>
                <xdr:rowOff>209550</xdr:rowOff>
              </from>
              <to>
                <xdr:col>13</xdr:col>
                <xdr:colOff>561975</xdr:colOff>
                <xdr:row>108</xdr:row>
                <xdr:rowOff>209550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ErrorMessage="1" xr:uid="{F02E16E3-B5E2-4D06-8150-475884A00CBF}">
          <x14:formula1>
            <xm:f>'Pay Scales'!$D$134:$D$153</xm:f>
          </x14:formula1>
          <xm:sqref>D14</xm:sqref>
        </x14:dataValidation>
        <x14:dataValidation type="list" allowBlank="1" showInputMessage="1" showErrorMessage="1" xr:uid="{00000000-0002-0000-0500-00000A000000}">
          <x14:formula1>
            <xm:f>'Pay Scales'!$D$83:$D$130</xm:f>
          </x14:formula1>
          <xm:sqref>C4</xm:sqref>
        </x14:dataValidation>
        <x14:dataValidation type="list" allowBlank="1" showInputMessage="1" showErrorMessage="1" xr:uid="{00000000-0002-0000-0500-000003000000}">
          <x14:formula1>
            <xm:f>'Pay Scales'!$D$134:$D$153</xm:f>
          </x14:formula1>
          <xm:sqref>D14</xm:sqref>
        </x14:dataValidation>
        <x14:dataValidation type="list" allowBlank="1" showInputMessage="1" showErrorMessage="1" xr:uid="{3DCF575E-8EA6-439C-AD13-0342A57F9321}">
          <x14:formula1>
            <xm:f>'1982'!$C$2:$V$2</xm:f>
          </x14:formula1>
          <xm:sqref>Q11</xm:sqref>
        </x14:dataValidation>
        <x14:dataValidation type="list" allowBlank="1" showInputMessage="1" showErrorMessage="1" xr:uid="{00000000-0002-0000-0500-000005000000}">
          <x14:formula1>
            <xm:f>'Pay Scales'!$E$134:$E$153</xm:f>
          </x14:formula1>
          <xm:sqref>Q12:Q13 D27 Q15 Q17:Q18</xm:sqref>
        </x14:dataValidation>
        <x14:dataValidation type="list" allowBlank="1" showInputMessage="1" showErrorMessage="1" xr:uid="{00000000-0002-0000-0500-000007000000}">
          <x14:formula1>
            <xm:f>'Pay Scales'!$F$134:$F$153</xm:f>
          </x14:formula1>
          <xm:sqref>Q20:Q21 D48 Q23 Q25</xm:sqref>
        </x14:dataValidation>
        <x14:dataValidation type="list" allowBlank="1" showInputMessage="1" showErrorMessage="1" xr:uid="{C6A27B7E-BFB6-42F9-A55D-4258D131E26B}">
          <x14:formula1>
            <xm:f>'Pay Scales'!$N$133:$N$152</xm:f>
          </x14:formula1>
          <xm:sqref>O63 D70 O71 O69 O67 O65</xm:sqref>
        </x14:dataValidation>
        <x14:dataValidation type="list" allowBlank="1" showInputMessage="1" showErrorMessage="1" promptTitle="Option Date" prompt="Option date for fixation  as per ROP 1999 selected by the pensioner." xr:uid="{00000000-0002-0000-0500-000006000000}">
          <x14:formula1>
            <xm:f>'Pay Scales'!$F$31:$F$32</xm:f>
          </x14:formula1>
          <xm:sqref>C39</xm:sqref>
        </x14:dataValidation>
        <x14:dataValidation type="list" allowBlank="1" showInputMessage="1" showErrorMessage="1" xr:uid="{00000000-0002-0000-0500-000009000000}">
          <x14:formula1>
            <xm:f>'Pay Scales'!$K$40:$K$45</xm:f>
          </x14:formula1>
          <xm:sqref>B1</xm:sqref>
        </x14:dataValidation>
        <x14:dataValidation type="list" allowBlank="1" showInputMessage="1" showErrorMessage="1" xr:uid="{00000000-0002-0000-0500-000004000000}">
          <x14:formula1>
            <xm:f>'Pay Scales'!$J$44:$J$47</xm:f>
          </x14:formula1>
          <xm:sqref>C3</xm:sqref>
        </x14:dataValidation>
        <x14:dataValidation type="list" allowBlank="1" showInputMessage="1" showErrorMessage="1" xr:uid="{B37F9689-3A2C-4DBB-96FB-CF95C122CDF2}">
          <x14:formula1>
            <xm:f>'2018'!$D$4:$V$4</xm:f>
          </x14:formula1>
          <xm:sqref>O85:O93 R88</xm:sqref>
        </x14:dataValidation>
        <x14:dataValidation type="list" allowBlank="1" showInputMessage="1" showErrorMessage="1" xr:uid="{21A7519A-4672-4891-82DE-44155B7075B8}">
          <x14:formula1>
            <xm:f>'2017'!$D$4:$V$4</xm:f>
          </x14:formula1>
          <xm:sqref>R85</xm:sqref>
        </x14:dataValidation>
        <x14:dataValidation type="list" allowBlank="1" showInputMessage="1" showErrorMessage="1" xr:uid="{5E358808-1141-4061-A31D-106B75D5847B}">
          <x14:formula1>
            <xm:f>'2017'!$C$6:$C$45</xm:f>
          </x14:formula1>
          <xm:sqref>R86</xm:sqref>
        </x14:dataValidation>
        <x14:dataValidation type="list" allowBlank="1" showInputMessage="1" showErrorMessage="1" xr:uid="{DC8DE146-BA9F-4893-9E0A-6170710056BD}">
          <x14:formula1>
            <xm:f>'2018'!$C$6:$C$45</xm:f>
          </x14:formula1>
          <xm:sqref>R89</xm:sqref>
        </x14:dataValidation>
        <x14:dataValidation type="list" allowBlank="1" showInputMessage="1" showErrorMessage="1" xr:uid="{02A16574-45EF-4EDD-AC51-51C88B7C045B}">
          <x14:formula1>
            <xm:f>'Pay Scales'!$M$41:$M$43</xm:f>
          </x14:formula1>
          <xm:sqref>C109</xm:sqref>
        </x14:dataValidation>
        <x14:dataValidation type="list" allowBlank="1" showInputMessage="1" showErrorMessage="1" xr:uid="{00000000-0002-0000-0500-00000B000000}">
          <x14:formula1>
            <xm:f>'Pay Scales'!S29:S46</xm:f>
          </x14:formula1>
          <xm:sqref>C4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 tint="-0.249977111117893"/>
    <pageSetUpPr fitToPage="1"/>
  </sheetPr>
  <dimension ref="B2:S59"/>
  <sheetViews>
    <sheetView tabSelected="1" topLeftCell="A55" workbookViewId="0">
      <selection activeCell="D66" sqref="D66"/>
    </sheetView>
  </sheetViews>
  <sheetFormatPr defaultRowHeight="15" x14ac:dyDescent="0.25"/>
  <cols>
    <col min="2" max="2" width="4.28515625" style="2" customWidth="1"/>
    <col min="3" max="3" width="5.140625" customWidth="1"/>
    <col min="4" max="4" width="25.7109375" customWidth="1"/>
    <col min="5" max="5" width="1.28515625" customWidth="1"/>
    <col min="6" max="6" width="16.140625" customWidth="1"/>
    <col min="7" max="7" width="14.5703125" customWidth="1"/>
    <col min="8" max="8" width="12" customWidth="1"/>
    <col min="9" max="9" width="10.140625" customWidth="1"/>
    <col min="10" max="10" width="9.140625" customWidth="1"/>
    <col min="11" max="11" width="5.7109375" customWidth="1"/>
    <col min="12" max="12" width="42" bestFit="1" customWidth="1"/>
    <col min="13" max="13" width="15.5703125" bestFit="1" customWidth="1"/>
    <col min="14" max="14" width="13.7109375" bestFit="1" customWidth="1"/>
    <col min="15" max="15" width="15.28515625" customWidth="1"/>
    <col min="16" max="16" width="15.28515625" bestFit="1" customWidth="1"/>
    <col min="17" max="17" width="16.140625" bestFit="1" customWidth="1"/>
    <col min="18" max="18" width="18.28515625" customWidth="1"/>
    <col min="19" max="19" width="15.140625" bestFit="1" customWidth="1"/>
  </cols>
  <sheetData>
    <row r="2" spans="2:19" ht="28.5" customHeight="1" x14ac:dyDescent="0.3">
      <c r="B2" s="988" t="str">
        <f>IF(IPS!B1="LTA Pension","PENSION REPORT(LTA)",IF(IPS!B1="Regular Pension Case","PENSION REPORT",IF(IPS!B1="Family Pension Case","FAMILY PENSION REPORT",IF(IPS!B1="DRW Pension Case","PENSION REPORT(DRW)",IF(IPS!B1="Vol. Pension Case","PENSION REPORT(VRS)",IF(IPS!B1="DRW Family Pension Case","Family Pension Case(DRW)"))))))</f>
        <v>PENSION REPORT</v>
      </c>
      <c r="C2" s="988"/>
      <c r="D2" s="988"/>
      <c r="E2" s="988"/>
      <c r="F2" s="988"/>
      <c r="G2" s="988"/>
      <c r="H2" s="988"/>
      <c r="I2" s="988"/>
      <c r="J2" s="988"/>
      <c r="K2" s="3"/>
      <c r="L2" s="737" t="s">
        <v>119</v>
      </c>
      <c r="M2" s="737" t="s">
        <v>2510</v>
      </c>
      <c r="N2" s="717"/>
      <c r="O2" s="740"/>
      <c r="P2" s="740"/>
      <c r="Q2" s="740"/>
      <c r="R2" s="740"/>
    </row>
    <row r="3" spans="2:19" ht="27" customHeight="1" x14ac:dyDescent="0.3">
      <c r="B3" s="104" t="s">
        <v>120</v>
      </c>
      <c r="C3" s="978" t="s">
        <v>21</v>
      </c>
      <c r="D3" s="978"/>
      <c r="E3" s="688" t="s">
        <v>121</v>
      </c>
      <c r="F3" s="390">
        <f>IPS!C5</f>
        <v>0</v>
      </c>
      <c r="G3" s="80"/>
      <c r="H3" s="680"/>
      <c r="I3" s="119" t="str">
        <f>IF(M11="","","Employee ID -")</f>
        <v/>
      </c>
      <c r="J3" s="350" t="str">
        <f>IF(M11="","",M11)</f>
        <v/>
      </c>
      <c r="K3" s="3"/>
      <c r="L3" s="737" t="s">
        <v>122</v>
      </c>
      <c r="M3" s="741"/>
      <c r="N3" s="740"/>
      <c r="O3" s="740"/>
      <c r="P3" s="740"/>
      <c r="Q3" s="740"/>
      <c r="R3" s="740"/>
      <c r="S3" s="31"/>
    </row>
    <row r="4" spans="2:19" ht="27" customHeight="1" x14ac:dyDescent="0.3">
      <c r="B4" s="104" t="s">
        <v>123</v>
      </c>
      <c r="C4" s="978" t="s">
        <v>22</v>
      </c>
      <c r="D4" s="978"/>
      <c r="E4" s="688" t="s">
        <v>121</v>
      </c>
      <c r="F4" s="80" t="str">
        <f ca="1">IF(OR(IPS!B1="Family Pension Case",IPS!B1="DRW Family Pension Case"),"Pen-2/Fam/"&amp;M2&amp;"/"&amp;IPS!C6&amp;"/"&amp;'Pay Scales'!F34,IF(IPS!B1="LTA Pension","Pen-2/Sup/"&amp;M2&amp;"/"&amp;IPS!C6&amp;"/LTA/"&amp;'Pay Scales'!F34,"Pen-2/Sup/"&amp;M2&amp;"/"&amp;IPS!C6&amp;"/"&amp;'Pay Scales'!F34))</f>
        <v>Pen-2/Sup/GK//2026-27</v>
      </c>
      <c r="G4" s="80"/>
      <c r="H4" s="80"/>
      <c r="I4" s="104" t="str">
        <f>IF(M12="","","Beneficiary Code -")</f>
        <v/>
      </c>
      <c r="J4" s="680" t="str">
        <f>IF(M12="","",M12)</f>
        <v/>
      </c>
      <c r="K4" s="3"/>
      <c r="L4" s="737" t="str">
        <f>IF(OR(IPS!B1="Family Pension Case",IPS!B1="DRW Family Pension Case"),"Form No.18 at Page No-","Form No.7 at Page No-")</f>
        <v>Form No.7 at Page No-</v>
      </c>
      <c r="M4" s="741"/>
      <c r="N4" s="738"/>
      <c r="O4" s="740"/>
      <c r="P4" s="740"/>
      <c r="Q4" s="740"/>
      <c r="R4" s="740"/>
      <c r="S4" s="33"/>
    </row>
    <row r="5" spans="2:19" ht="27" customHeight="1" x14ac:dyDescent="0.3">
      <c r="B5" s="104" t="s">
        <v>124</v>
      </c>
      <c r="C5" s="978" t="s">
        <v>125</v>
      </c>
      <c r="D5" s="978"/>
      <c r="E5" s="688" t="s">
        <v>121</v>
      </c>
      <c r="F5" s="80" t="str">
        <f>IF(OR(IPS!B1="Family Pension Case",IPS!B1="DRW Family Pension Case"),IPS!C3&amp;" "&amp;IPS!D3&amp;"Ex."&amp;IPS!C4,IF(OR(IPS!B1="LTA Pension",IPS!C12=TRUE),IPS!C3&amp;" "&amp;IPS!D3&amp;"Retd."&amp;IPS!C4&amp;"(Now Late)",IPS!C3&amp;" "&amp;IPS!D3&amp;"Retd."&amp;IPS!C4))</f>
        <v>Shri Retd.</v>
      </c>
      <c r="G5" s="80"/>
      <c r="H5" s="80"/>
      <c r="I5" s="80"/>
      <c r="J5" s="80"/>
      <c r="K5" s="3"/>
      <c r="L5" s="739" t="str">
        <f>IF(OR(IPS!B1="Family Pension Case",IPS!B1="DRW Family Pension Case"),"Form No.12 at Page No-","Form No.5 at Page No-")</f>
        <v>Form No.5 at Page No-</v>
      </c>
      <c r="M5" s="742"/>
      <c r="N5" s="740"/>
      <c r="O5" s="740"/>
      <c r="P5" s="740"/>
      <c r="Q5" s="740"/>
      <c r="R5" s="740"/>
      <c r="S5" s="33"/>
    </row>
    <row r="6" spans="2:19" ht="27" customHeight="1" x14ac:dyDescent="0.25">
      <c r="B6" s="687" t="s">
        <v>126</v>
      </c>
      <c r="C6" s="978" t="str">
        <f>"Date of Birth, at P/"&amp;M4&amp;"ᶜ"</f>
        <v>Date of Birth, at P/ᶜ</v>
      </c>
      <c r="D6" s="978"/>
      <c r="E6" s="688" t="s">
        <v>121</v>
      </c>
      <c r="F6" s="685">
        <f>IPS!C7</f>
        <v>23935</v>
      </c>
      <c r="G6" s="92"/>
      <c r="H6" s="362"/>
      <c r="I6" s="362"/>
      <c r="J6" s="362"/>
      <c r="K6" s="3"/>
      <c r="L6" s="743" t="s">
        <v>127</v>
      </c>
      <c r="M6" s="994"/>
      <c r="N6" s="994"/>
      <c r="O6" s="994"/>
      <c r="P6" s="994"/>
      <c r="Q6" s="994"/>
      <c r="R6" s="994"/>
      <c r="S6" s="33"/>
    </row>
    <row r="7" spans="2:19" ht="27" customHeight="1" x14ac:dyDescent="0.3">
      <c r="B7" s="687" t="s">
        <v>128</v>
      </c>
      <c r="C7" s="80" t="str">
        <f>"Date of Appoinment, at P/"&amp;M4&amp;"ᶜ"</f>
        <v>Date of Appoinment, at P/ᶜ</v>
      </c>
      <c r="D7" s="80"/>
      <c r="E7" s="688" t="s">
        <v>121</v>
      </c>
      <c r="F7" s="92" t="str">
        <f>IF(IPS!C8=IPS!C9,TEXT(IPS!C9,"dd-mm-yyyy")&amp;"(on Regular Scale)",IF(OR(IPS!B1="DRW Pension Case",IPS!B1="DRW Family Pension Case"),TEXT(IPS!C8,"dd-mm-yyyy")&amp;"(as DRW), "&amp;TEXT(IPS!C9,"dd-mm-yyyy")&amp;"(as Regular)",TEXT(IPS!C8,"dd-mm-yyyy")&amp;"(on Fixed Pay), "&amp;TEXT(IPS!C9,"dd-mm-yyyy")&amp;"(on Regular Scale)"))</f>
        <v>05-03-1987(on Regular Scale)</v>
      </c>
      <c r="G7" s="92"/>
      <c r="H7" s="362"/>
      <c r="I7" s="362"/>
      <c r="J7" s="362"/>
      <c r="K7" s="3"/>
      <c r="L7" s="737" t="s">
        <v>129</v>
      </c>
      <c r="M7" s="995"/>
      <c r="N7" s="995"/>
      <c r="O7" s="740"/>
      <c r="P7" s="740"/>
      <c r="Q7" s="740"/>
      <c r="R7" s="740"/>
      <c r="S7" s="33"/>
    </row>
    <row r="8" spans="2:19" ht="27" customHeight="1" x14ac:dyDescent="0.3">
      <c r="B8" s="687" t="s">
        <v>130</v>
      </c>
      <c r="C8" s="978" t="str">
        <f>IF(OR(IPS!B1="LTA Pension",IPS!C12=TRUE),IPS!B10&amp;"/Death",IF(IPS!B1="Vol. Pension Case",IPS!B10&amp;"(VRS)",IF(OR(IPS!B1="Family Pension Case",IPS!B1="DRW Family Pension Case"),IPS!B11,IPS!B10)))&amp;", at P/"&amp;M4&amp;"ᶜ"</f>
        <v>Date of Retirement, at P/ᶜ</v>
      </c>
      <c r="D8" s="978"/>
      <c r="E8" s="688" t="s">
        <v>121</v>
      </c>
      <c r="F8" s="984">
        <f>IF(OR(IPS!B1="LTA Pension",IPS!C12=TRUE),TEXT(IPS!C10,"dd-mm-yyyy")&amp;"/"&amp;TEXT(IPS!C11,"dd-mm-yyyy"),IF(OR(IPS!B1="Family Pension Case",IPS!B1="DRW Family Pension Case"),IPS!C11,IPS!C10))</f>
        <v>45869</v>
      </c>
      <c r="G8" s="984"/>
      <c r="H8" s="362"/>
      <c r="I8" s="362"/>
      <c r="J8" s="362"/>
      <c r="K8" s="3"/>
      <c r="L8" s="737" t="s">
        <v>131</v>
      </c>
      <c r="M8" s="744"/>
      <c r="N8" s="740"/>
      <c r="O8" s="740"/>
      <c r="P8" s="740"/>
      <c r="Q8" s="740"/>
      <c r="R8" s="740"/>
      <c r="S8" s="33"/>
    </row>
    <row r="9" spans="2:19" ht="27" customHeight="1" x14ac:dyDescent="0.3">
      <c r="B9" s="992" t="s">
        <v>132</v>
      </c>
      <c r="C9" s="979" t="str">
        <f>IF(OR(IPS!B1="Family Pension Case",IPS!B1="DRW Family Pension Case"),"Residential Address"&amp;PR!M5,"Address after Retirement, at P/"&amp;M5&amp;"ᶜ")</f>
        <v>Address after Retirement, at P/ᶜ</v>
      </c>
      <c r="D9" s="979"/>
      <c r="E9" s="993" t="s">
        <v>121</v>
      </c>
      <c r="F9" s="979" t="str">
        <f>IF(AND(ISBLANK(M8),ISBLANK(M10)),M6&amp;", "&amp;M7,IF(ISBLANK(M8),M6&amp;", "&amp;M7&amp;", "&amp;L10&amp;M10,IF(ISBLANK(M10),M6&amp;", "&amp;M7&amp;", "&amp;L8&amp;M8,M6&amp;", "&amp;M7&amp;", "&amp;L8&amp;M8&amp;", "&amp;L10&amp;M10)))</f>
        <v xml:space="preserve">, </v>
      </c>
      <c r="G9" s="979"/>
      <c r="H9" s="979"/>
      <c r="I9" s="979"/>
      <c r="J9" s="979"/>
      <c r="K9" s="3"/>
      <c r="L9" s="737" t="s">
        <v>133</v>
      </c>
      <c r="M9" s="995"/>
      <c r="N9" s="995"/>
      <c r="O9" s="740"/>
      <c r="P9" s="740"/>
      <c r="Q9" s="740"/>
      <c r="R9" s="740"/>
      <c r="S9" s="32"/>
    </row>
    <row r="10" spans="2:19" ht="27" customHeight="1" x14ac:dyDescent="0.3">
      <c r="B10" s="992"/>
      <c r="C10" s="979"/>
      <c r="D10" s="979"/>
      <c r="E10" s="993"/>
      <c r="F10" s="979"/>
      <c r="G10" s="979"/>
      <c r="H10" s="979"/>
      <c r="I10" s="979"/>
      <c r="J10" s="979"/>
      <c r="K10" s="3"/>
      <c r="L10" s="737" t="s">
        <v>134</v>
      </c>
      <c r="M10" s="745"/>
      <c r="N10" s="740"/>
      <c r="O10" s="740"/>
      <c r="P10" s="740"/>
      <c r="Q10" s="740"/>
      <c r="R10" s="740"/>
      <c r="S10" s="33"/>
    </row>
    <row r="11" spans="2:19" ht="21.95" customHeight="1" x14ac:dyDescent="0.3">
      <c r="B11" s="992" t="s">
        <v>135</v>
      </c>
      <c r="C11" s="978" t="s">
        <v>136</v>
      </c>
      <c r="D11" s="978"/>
      <c r="E11" s="993" t="s">
        <v>121</v>
      </c>
      <c r="F11" s="979" t="e">
        <f>"O/o The "&amp;VLOOKUP(M13,DDO!A2:B1272,2,0)</f>
        <v>#N/A</v>
      </c>
      <c r="G11" s="979"/>
      <c r="H11" s="979"/>
      <c r="I11" s="979"/>
      <c r="J11" s="979"/>
      <c r="K11" s="3"/>
      <c r="L11" s="737" t="s">
        <v>137</v>
      </c>
      <c r="M11" s="741"/>
      <c r="N11" s="740"/>
      <c r="O11" s="740"/>
      <c r="P11" s="740"/>
      <c r="Q11" s="740"/>
      <c r="R11" s="740"/>
      <c r="S11" s="33"/>
    </row>
    <row r="12" spans="2:19" ht="21.95" customHeight="1" x14ac:dyDescent="0.3">
      <c r="B12" s="992"/>
      <c r="C12" s="978"/>
      <c r="D12" s="978"/>
      <c r="E12" s="993"/>
      <c r="F12" s="979"/>
      <c r="G12" s="979"/>
      <c r="H12" s="979"/>
      <c r="I12" s="979"/>
      <c r="J12" s="979"/>
      <c r="K12" s="3"/>
      <c r="L12" s="737" t="s">
        <v>138</v>
      </c>
      <c r="M12" s="741"/>
      <c r="N12" s="740"/>
      <c r="O12" s="740"/>
      <c r="P12" s="740"/>
      <c r="Q12" s="740"/>
      <c r="R12" s="740"/>
      <c r="S12" s="32"/>
    </row>
    <row r="13" spans="2:19" ht="27" customHeight="1" x14ac:dyDescent="0.3">
      <c r="B13" s="687" t="s">
        <v>139</v>
      </c>
      <c r="C13" s="978" t="str">
        <f>IF(ISBLANK(M9),"Treasury","Treasury/Sub-Treasury")</f>
        <v>Treasury</v>
      </c>
      <c r="D13" s="978"/>
      <c r="E13" s="688" t="s">
        <v>121</v>
      </c>
      <c r="F13" s="978" t="str">
        <f>IF(OR(M9='Pay Scales'!J26,M7='Pay Scales'!L26),"Dharmanagar",IF(OR(M9='Pay Scales'!J27,M7='Pay Scales'!L26),"Dharmanagar",IF(OR(M9='Pay Scales'!J28,M7='Pay Scales'!L28),"Kailashahar",IF(OR(M9='Pay Scales'!J29,M7='Pay Scales'!L29),"Ambassa",IF(OR(M9='Pay Scales'!J30,M7='Pay Scales'!L29),"Ambassa",IF(OR(M9='Pay Scales'!J31,M7='Pay Scales'!L29),"Ambassa",IF(OR(M9='Pay Scales'!J32,M7='Pay Scales'!L32),"Khowai",IF(OR(M9='Pay Scales'!J33,M7='Pay Scales'!L33),"Agartala-1",IF(OR(M9='Pay Scales'!J34,M7='Pay Scales'!L33),"Agartala-1",IF(OR(M9='Pay Scales'!J35,M7='Pay Scales'!L35),"Bishalgarh",IF(OR(M9='Pay Scales'!J36,M7='Pay Scales'!L36),"Udaipur",IF(OR(M9='Pay Scales'!J37,M7='Pay Scales'!L37),"Belonia",IF(OR(M9='Pay Scales'!J38,M7='Pay Scales'!L37),"Belonia",)))))))))))))&amp;IF(ISBLANK(M9)," ",", Sub-Treasury - ")&amp;IF(ISBLANK(M9)," ",M9)</f>
        <v xml:space="preserve">  </v>
      </c>
      <c r="G13" s="978"/>
      <c r="H13" s="978"/>
      <c r="I13" s="978"/>
      <c r="J13" s="978"/>
      <c r="K13" s="3"/>
      <c r="L13" s="743" t="s">
        <v>140</v>
      </c>
      <c r="M13" s="746"/>
      <c r="N13" s="740"/>
      <c r="O13" s="740"/>
      <c r="P13" s="740"/>
      <c r="Q13" s="740"/>
      <c r="R13" s="740"/>
      <c r="S13" s="32"/>
    </row>
    <row r="14" spans="2:19" ht="27" customHeight="1" x14ac:dyDescent="0.3">
      <c r="B14" s="104" t="s">
        <v>141</v>
      </c>
      <c r="C14" s="395" t="str">
        <f>"Family Details:- "&amp;"(Form-3 at P/"&amp;M14&amp;"ᶜ)"</f>
        <v>Family Details:- (Form-3 at P/ᶜ)</v>
      </c>
      <c r="D14" s="394"/>
      <c r="E14" s="394"/>
      <c r="F14" s="394"/>
      <c r="G14" s="394"/>
      <c r="H14" s="394"/>
      <c r="I14" s="428"/>
      <c r="J14" s="394"/>
      <c r="K14" s="3"/>
      <c r="L14" s="737" t="str">
        <f>IF(OR(IPS!B1="Family Pension Case",IPS!B1="DRW Family Pension Case"),"Form No.14 at Page No-","Form No.3 at Page No-")</f>
        <v>Form No.3 at Page No-</v>
      </c>
      <c r="M14" s="741"/>
      <c r="N14" s="740"/>
      <c r="O14" s="740"/>
      <c r="P14" s="740"/>
      <c r="Q14" s="740"/>
      <c r="R14" s="740"/>
      <c r="S14" s="33"/>
    </row>
    <row r="15" spans="2:19" ht="27" customHeight="1" x14ac:dyDescent="0.3">
      <c r="B15" s="687"/>
      <c r="C15" s="980" t="s">
        <v>17</v>
      </c>
      <c r="D15" s="980"/>
      <c r="E15" s="980"/>
      <c r="F15" s="980"/>
      <c r="G15" s="682" t="s">
        <v>23</v>
      </c>
      <c r="H15" s="980" t="s">
        <v>142</v>
      </c>
      <c r="I15" s="980"/>
      <c r="J15" s="351" t="s">
        <v>143</v>
      </c>
      <c r="K15" s="3"/>
      <c r="L15" s="737" t="str">
        <f>IF(OR(IPS!B3="Family Pension Case",IPS!B3="DRW Family Pension Case"),"","Form No.1(Nomination) at Page No-")</f>
        <v>Form No.1(Nomination) at Page No-</v>
      </c>
      <c r="M15" s="741"/>
      <c r="N15" s="740"/>
      <c r="O15" s="740"/>
      <c r="P15" s="740"/>
      <c r="Q15" s="740"/>
      <c r="R15" s="740"/>
      <c r="S15" s="33"/>
    </row>
    <row r="16" spans="2:19" ht="27" customHeight="1" x14ac:dyDescent="0.3">
      <c r="B16" s="687" t="s">
        <v>144</v>
      </c>
      <c r="C16" s="80" t="str">
        <f>IF(ISBLANK(D16),"",IF(OR(IPS!C3="Shri",IPS!C3="Late"),"Smt.",IF(IPS!C3="Smt.","Shri","")))</f>
        <v/>
      </c>
      <c r="D16" s="978"/>
      <c r="E16" s="978"/>
      <c r="F16" s="978"/>
      <c r="G16" s="424"/>
      <c r="H16" s="981" t="str">
        <f>IF(ISBLANK(D16),"",IF(OR(C16="Shri",C16="Md."),"Husband","Wife"))</f>
        <v/>
      </c>
      <c r="I16" s="981"/>
      <c r="J16" s="352"/>
      <c r="K16" s="3"/>
      <c r="L16" s="737" t="str">
        <f>IF(OR(IPS!B1="Family Pension Case",IPS!B1="DRW Family Pension Case"),"","Commutation applied on-")</f>
        <v>Commutation applied on-</v>
      </c>
      <c r="M16" s="747">
        <v>45870</v>
      </c>
      <c r="N16" s="737" t="s">
        <v>145</v>
      </c>
      <c r="O16" s="740"/>
      <c r="P16" s="740"/>
      <c r="Q16" s="740"/>
      <c r="R16" s="740"/>
    </row>
    <row r="17" spans="2:19" ht="27" customHeight="1" x14ac:dyDescent="0.3">
      <c r="B17" s="687" t="s">
        <v>146</v>
      </c>
      <c r="C17" s="80"/>
      <c r="D17" s="978"/>
      <c r="E17" s="978"/>
      <c r="F17" s="978"/>
      <c r="G17" s="424"/>
      <c r="H17" s="981" t="str">
        <f>IF(ISBLANK(C17),"",IF(OR(C17="Shri",C17="Md."),"Minor Son","Minor Daughter"))</f>
        <v/>
      </c>
      <c r="I17" s="981"/>
      <c r="J17" s="352"/>
      <c r="K17" s="3"/>
      <c r="L17" s="737" t="str">
        <f>IF(OR(IPS!B1="Family Pension Case",IPS!B1="DRW Family Pension Case"),"","Commutation at Page No-")</f>
        <v>Commutation at Page No-</v>
      </c>
      <c r="M17" s="741"/>
      <c r="N17" s="740"/>
      <c r="O17" s="740"/>
      <c r="P17" s="740"/>
      <c r="Q17" s="740"/>
      <c r="R17" s="740"/>
    </row>
    <row r="18" spans="2:19" ht="27" customHeight="1" x14ac:dyDescent="0.3">
      <c r="B18" s="687" t="s">
        <v>147</v>
      </c>
      <c r="C18" s="80"/>
      <c r="D18" s="978"/>
      <c r="E18" s="978"/>
      <c r="F18" s="978"/>
      <c r="G18" s="424"/>
      <c r="H18" s="981" t="str">
        <f>IF(ISBLANK(C18),"",IF(OR(C18="Shri",C18="Md."),"Minor Son","Minor Daughter"))</f>
        <v/>
      </c>
      <c r="I18" s="981"/>
      <c r="J18" s="352"/>
      <c r="K18" s="3"/>
      <c r="L18" s="737" t="str">
        <f>IF(OR(IPS!B1="Family Pension Case",IPS!B1="DRW Family Pension Case"),"","Fraction-")</f>
        <v>Fraction-</v>
      </c>
      <c r="M18" s="748" t="str">
        <f>IF(OR(IPS!B1="Family Pension Case",IPS!B1="DRW Family Pension Case"),"","40%")</f>
        <v>40%</v>
      </c>
      <c r="N18" s="740"/>
      <c r="O18" s="740"/>
      <c r="P18" s="740"/>
      <c r="Q18" s="740"/>
      <c r="R18" s="740"/>
    </row>
    <row r="19" spans="2:19" ht="27" customHeight="1" x14ac:dyDescent="0.3">
      <c r="B19" s="687" t="s">
        <v>148</v>
      </c>
      <c r="C19" s="80"/>
      <c r="D19" s="978"/>
      <c r="E19" s="978"/>
      <c r="F19" s="978"/>
      <c r="G19" s="424"/>
      <c r="H19" s="981" t="str">
        <f>IF(ISBLANK(C19),"",IF(OR(C19="Shri",C19="Md."),"Minor Son","Minor Daughter"))</f>
        <v/>
      </c>
      <c r="I19" s="981"/>
      <c r="J19" s="352"/>
      <c r="K19" s="3"/>
      <c r="L19" s="749" t="s">
        <v>149</v>
      </c>
      <c r="M19" s="749">
        <f>IF(ISBLANK(PR!M16)," ",DATEDIF(IPS!C7,PR!M16,"y")+1)</f>
        <v>61</v>
      </c>
      <c r="N19" s="740"/>
      <c r="O19" s="740"/>
      <c r="P19" s="740"/>
      <c r="Q19" s="740"/>
      <c r="R19" s="740"/>
    </row>
    <row r="20" spans="2:19" ht="27" customHeight="1" x14ac:dyDescent="0.3">
      <c r="B20" s="687" t="s">
        <v>150</v>
      </c>
      <c r="C20" s="80"/>
      <c r="D20" s="978"/>
      <c r="E20" s="978"/>
      <c r="F20" s="978"/>
      <c r="G20" s="424"/>
      <c r="H20" s="981" t="str">
        <f>IF(ISBLANK(C20),"",IF(OR(C20="Shri",C20="Md."),"Minor Son","Minor Daughter"))</f>
        <v/>
      </c>
      <c r="I20" s="981"/>
      <c r="J20" s="352"/>
      <c r="K20" s="3"/>
      <c r="L20" s="749" t="s">
        <v>151</v>
      </c>
      <c r="M20" s="749">
        <f>IF(ISBLANK(PR!M16)," ",VLOOKUP(M19,'Pay Scales'!C4:D65,2,0))</f>
        <v>8.1940000000000008</v>
      </c>
      <c r="N20" s="740"/>
      <c r="O20" s="740"/>
      <c r="P20" s="740"/>
      <c r="Q20" s="740"/>
      <c r="R20" s="740"/>
    </row>
    <row r="21" spans="2:19" ht="27" customHeight="1" x14ac:dyDescent="0.3">
      <c r="B21" s="687" t="s">
        <v>152</v>
      </c>
      <c r="C21" s="395" t="s">
        <v>153</v>
      </c>
      <c r="D21" s="64"/>
      <c r="E21" s="64"/>
      <c r="F21" s="64"/>
      <c r="G21" s="64"/>
      <c r="H21" s="64"/>
      <c r="I21" s="64"/>
      <c r="J21" s="64"/>
      <c r="K21" s="3"/>
      <c r="L21" s="737" t="str">
        <f>IF(OR(IPS!B1="Family Pension Case",IPS!B1="DRW Family Pension Case"),"Death Certificate-","")</f>
        <v/>
      </c>
      <c r="M21" s="741"/>
      <c r="N21" s="740"/>
      <c r="O21" s="740"/>
      <c r="P21" s="740"/>
      <c r="Q21" s="740"/>
      <c r="R21" s="740"/>
    </row>
    <row r="22" spans="2:19" ht="27" customHeight="1" x14ac:dyDescent="0.3">
      <c r="B22" s="687" t="s">
        <v>144</v>
      </c>
      <c r="C22" s="80" t="s">
        <v>154</v>
      </c>
      <c r="D22" s="80"/>
      <c r="E22" s="688" t="s">
        <v>121</v>
      </c>
      <c r="F22" s="80" t="str">
        <f>IF(OR(IPS!B1="Family Pension Case",IPS!B1="DRW Family Pension Case"),"From-"&amp;TEXT(IPS!C8,"dd-mm-yyyy")&amp;", to-"&amp;TEXT(IPS!C11,"dd-mm-yyyy"),"From-"&amp;TEXT(IPS!C8,"dd-mm-yyyy")&amp;", to-"&amp;TEXT(IPS!C10,"dd-mm-yyyy"))&amp;" ("&amp;IF(OR(IPS!B1="Regular Pension Case",IPS!B1="LTA Pension"),TRIM(IF(IPS!I120&gt;0,IPS!I120&amp;" Years, ","")&amp;IF(IPS!J120&gt;0,IPS!J120&amp;" Months, ","")&amp;IF(IPS!K120&gt;0,IPS!K120&amp;" Days","")),IF(IPS!B1="Family Pension Case",TRIM(IF(IPS!I125&gt;0,IPS!I125&amp;" Years, ","")&amp;IF(IPS!J125&gt;0,IPS!J125&amp;" Months, ","")&amp;IF(IPS!K125&gt;0,IPS!K125&amp;" Days","")),IF(IPS!B1="DRW Pension Case",TRIM(IF(IPS!I132&gt;0,IPS!I132&amp;" Years, ","")&amp;IF(IPS!J132&gt;0,IPS!J132&amp;" Months, ","")&amp;IF(IPS!K132&gt;0,IPS!K132&amp;" Days","")),IF(IPS!B1="Vol. Pension Case",TRIM(IF(IPS!I152&gt;0,IPS!I152&amp;" Years, ","")&amp;IF(IPS!J152&gt;0,IPS!J152&amp;" Months, ","")&amp;IF(IPS!K152&gt;0,IPS!K152&amp;" Days","")),IF(IPS!B1="DRW Family Pension Case",TRIM(IF(IPS!I141&gt;0,IPS!I141&amp;" Years, ","")&amp;IF(IPS!J141&gt;0,IPS!J141&amp;" Months, ","")&amp;IF(IPS!K141&gt;0,IPS!K141&amp;" Days","")))))))&amp;")"</f>
        <v>From-05-03-1987, to-31-07-2025 (38 Years, 4 Months, 28 Days)</v>
      </c>
      <c r="G22" s="80"/>
      <c r="H22" s="80"/>
      <c r="I22" s="80"/>
      <c r="J22" s="80"/>
      <c r="L22" s="737" t="str">
        <f>IF(OR(IPS!B1="Family Pension Case",IPS!B1="DRW Family Pension Case"),"Survival Certificate-","")</f>
        <v/>
      </c>
      <c r="M22" s="741"/>
      <c r="N22" s="740"/>
      <c r="O22" s="740"/>
      <c r="P22" s="740"/>
      <c r="Q22" s="740"/>
      <c r="R22" s="740"/>
    </row>
    <row r="23" spans="2:19" ht="27" customHeight="1" thickBot="1" x14ac:dyDescent="0.3">
      <c r="B23" s="687" t="s">
        <v>146</v>
      </c>
      <c r="C23" s="80" t="s">
        <v>97</v>
      </c>
      <c r="D23" s="80"/>
      <c r="E23" s="688" t="s">
        <v>121</v>
      </c>
      <c r="F23" s="80" t="str">
        <f>IF(IPS!I115="","Nil","From-"&amp;TEXT(IPS!I115,"dd-mm-yyyy")&amp;", to-"&amp;TEXT(IPS!I116,"dd-mm-yyyy")&amp;" ("&amp;TRIM(IF(IPS!M116&gt;0, IPS!M116&amp;" Years, ","")&amp;IF(IPS!N116&gt;0, IPS!N116&amp;" Months, ","")&amp;IF(IPS!O116&gt;0, IPS!O116&amp;" Days",""))&amp;")")</f>
        <v>Nil</v>
      </c>
      <c r="G23" s="80"/>
      <c r="H23" s="80"/>
      <c r="I23" s="352"/>
      <c r="J23" s="352"/>
      <c r="K23" s="3"/>
      <c r="L23" t="str">
        <f>TRIM(IF(IPS!M116&gt;0, IPS!M116&amp;" Years ","")&amp;IF(IPS!N116&gt;0, IPS!N116&amp;" Months ","")&amp;IF(IPS!O116&gt;0, IPS!O116&amp;" Days",""))</f>
        <v/>
      </c>
      <c r="N23" s="80"/>
      <c r="O23" s="404"/>
      <c r="P23" s="404"/>
      <c r="Q23" s="404"/>
    </row>
    <row r="24" spans="2:19" ht="27" customHeight="1" x14ac:dyDescent="0.25">
      <c r="B24" s="687" t="s">
        <v>147</v>
      </c>
      <c r="C24" s="80" t="s">
        <v>155</v>
      </c>
      <c r="D24" s="80"/>
      <c r="E24" s="688" t="s">
        <v>121</v>
      </c>
      <c r="F24" s="80" t="str">
        <f>IF(OR(IPS!B1="DRW Pension Case",IPS!B1="DRW Family Pension Case"),("From-"&amp;TEXT(IPS!I130,"dd-mm-yyyy")&amp;", to-"&amp;TEXT(IPS!I131,"dd-mm-yyyy"))&amp;" ("&amp;TRIM(IF(IPS!I133&gt;0,IPS!I133&amp;" Years, ","")&amp;IF(IPS!J133&gt;0,IPS!J133&amp;" Months, ","")&amp;IF(IPS!K133&gt;0,IPS!K133&amp;" Days)","")),"Nil")</f>
        <v>Nil</v>
      </c>
      <c r="G24" s="80"/>
      <c r="H24" s="80"/>
      <c r="I24" s="352"/>
      <c r="J24" s="352"/>
      <c r="K24" s="3"/>
      <c r="L24" s="554" t="s">
        <v>156</v>
      </c>
      <c r="M24" s="560" t="str">
        <f>F50</f>
        <v/>
      </c>
      <c r="N24" s="80"/>
    </row>
    <row r="25" spans="2:19" ht="27" customHeight="1" x14ac:dyDescent="0.25">
      <c r="B25" s="687" t="s">
        <v>148</v>
      </c>
      <c r="C25" s="80" t="s">
        <v>157</v>
      </c>
      <c r="D25" s="80"/>
      <c r="E25" s="688" t="s">
        <v>121</v>
      </c>
      <c r="F25" s="80" t="str">
        <f>IF(OR(IPS!B1="DRW Pension Case",IPS!B1="DRW Family Pension Case"),TRIM(IF(IPS!I134&gt;0,IPS!I134&amp;" Years, ","")&amp;IF(IPS!J134&gt;0,IPS!J134&amp;" Months, ","")&amp;IF(IPS!K134&gt;0,IPS!K134&amp;" Days",""))&amp;" (Half of total DRW Service)","Nil")</f>
        <v>Nil</v>
      </c>
      <c r="G25" s="80"/>
      <c r="H25" s="80"/>
      <c r="I25" s="158"/>
      <c r="J25" s="349"/>
      <c r="K25" s="3"/>
      <c r="L25" s="556" t="s">
        <v>158</v>
      </c>
      <c r="M25" s="561">
        <f>F45</f>
        <v>696163</v>
      </c>
      <c r="N25" s="80"/>
    </row>
    <row r="26" spans="2:19" ht="27" customHeight="1" thickBot="1" x14ac:dyDescent="0.3">
      <c r="B26" s="687" t="s">
        <v>150</v>
      </c>
      <c r="C26" s="80" t="s">
        <v>89</v>
      </c>
      <c r="D26" s="80"/>
      <c r="E26" s="688" t="s">
        <v>121</v>
      </c>
      <c r="F26" s="80" t="str">
        <f>IF(AND(ISBLANK(IPS!C111),IPS!I115=""),"Nil",TRIM(IF(IPS!M118&gt;0,IPS!M118&amp;" Years, ","")&amp;IF(IPS!N118&gt;0,IPS!N118&amp;" Months, ","")&amp;IF(IPS!O118&gt;0,IPS!O118&amp;" Days","")))</f>
        <v>Nil</v>
      </c>
      <c r="G26" s="80"/>
      <c r="H26" s="80"/>
      <c r="I26" s="158"/>
      <c r="J26" s="349"/>
      <c r="K26" s="3"/>
      <c r="L26" s="558" t="s">
        <v>159</v>
      </c>
      <c r="M26" s="562">
        <f>IPS!J106</f>
        <v>470820</v>
      </c>
      <c r="N26" s="80"/>
      <c r="O26" s="64"/>
    </row>
    <row r="27" spans="2:19" ht="27" customHeight="1" thickTop="1" thickBot="1" x14ac:dyDescent="0.3">
      <c r="B27" s="687" t="s">
        <v>160</v>
      </c>
      <c r="C27" s="979" t="s">
        <v>118</v>
      </c>
      <c r="D27" s="979"/>
      <c r="E27" s="688" t="s">
        <v>121</v>
      </c>
      <c r="F27" s="80" t="str">
        <f>IF(AND(IPS!I153=0,IPS!J153=0,IPS!K153=0),"Nil",IPS!I153&amp;" Years, "&amp;IPS!J153&amp;" Months, "&amp;IPS!K153&amp;" Days")</f>
        <v>Nil</v>
      </c>
      <c r="G27" s="80"/>
      <c r="H27" s="80"/>
      <c r="I27" s="352"/>
      <c r="J27" s="352"/>
      <c r="K27" s="3"/>
      <c r="L27" s="557" t="s">
        <v>161</v>
      </c>
      <c r="M27" s="563">
        <f>SUM(M24:M26)</f>
        <v>1166983</v>
      </c>
      <c r="N27" s="80"/>
    </row>
    <row r="28" spans="2:19" ht="27" customHeight="1" thickBot="1" x14ac:dyDescent="0.35">
      <c r="B28" s="687" t="s">
        <v>162</v>
      </c>
      <c r="C28" s="978" t="s">
        <v>163</v>
      </c>
      <c r="D28" s="978"/>
      <c r="E28" s="688" t="s">
        <v>121</v>
      </c>
      <c r="F28" s="80" t="str">
        <f>IF(OR(IPS!B1="Regular Pension Case",IPS!B1="LTA Pension"),TRIM(IF(IPS!I121&gt;0,IPS!I121&amp;" Years, ","")&amp;IF(IPS!J121&gt;0,IPS!J121&amp;" Months, ","")&amp;IF(IPS!K121&gt;0,IPS!K121&amp;" Days","")),IF(IPS!B1="Family Pension Case",TRIM(IF(IPS!I126&gt;0,IPS!I126&amp;" Years, ","")&amp;IF(IPS!J126&gt;0,IPS!J126&amp;" Months, ","")&amp;IF(IPS!K126&gt;0,IPS!K126&amp;" Days","")),IF(IPS!B1="DRW Pension Case",TRIM(IF(IPS!I135&gt;0,IPS!I135&amp;" Years, ","")&amp;IF(IPS!J135&gt;0,IPS!J135&amp;" Months, ","")&amp;IF(IPS!K135&gt;0,IPS!K135&amp;" Days","")),IF(IPS!B1="Vol. Pension Case",TRIM(IF(IPS!I154&gt;0,IPS!I154&amp;" Years, ","")&amp;IF(IPS!J154&gt;0,IPS!J154&amp;" Months, ","")&amp;IF(IPS!K154&gt;0,IPS!K154&amp;" Days","")),IF(IPS!B1="DRW Family Pension Case",TRIM(IF(IPS!I144&gt;0,IPS!I144&amp;" Years, ","")&amp;IF(IPS!J144&gt;0,IPS!J144&amp;" Months, ","")&amp;IF(IPS!K144&gt;0,IPS!K144&amp;" Days","")))))))</f>
        <v>38 Years, 4 Months, 28 Days</v>
      </c>
      <c r="G28" s="80"/>
      <c r="H28" s="80"/>
      <c r="I28" s="158"/>
      <c r="J28" s="349"/>
      <c r="K28" s="3"/>
      <c r="M28" s="24"/>
      <c r="N28" s="80"/>
    </row>
    <row r="29" spans="2:19" ht="27" customHeight="1" x14ac:dyDescent="0.25">
      <c r="B29" s="687" t="s">
        <v>164</v>
      </c>
      <c r="C29" s="978" t="s">
        <v>165</v>
      </c>
      <c r="D29" s="978"/>
      <c r="E29" s="688" t="s">
        <v>121</v>
      </c>
      <c r="F29" s="80" t="str">
        <f>IPS!J101&amp;" (Six monthly periods only)"</f>
        <v>66 (Six monthly periods only)</v>
      </c>
      <c r="G29" s="80"/>
      <c r="H29" s="80"/>
      <c r="I29" s="158"/>
      <c r="J29" s="349"/>
      <c r="K29" s="3"/>
      <c r="L29" s="554" t="str">
        <f>IPS!H105</f>
        <v>D.A. Rate (w.e.f. 01-04-2025)</v>
      </c>
      <c r="M29" s="555">
        <f>IPS!J105</f>
        <v>0.33</v>
      </c>
      <c r="N29" s="80"/>
      <c r="S29" s="90"/>
    </row>
    <row r="30" spans="2:19" ht="27" customHeight="1" thickBot="1" x14ac:dyDescent="0.3">
      <c r="B30" s="687" t="s">
        <v>166</v>
      </c>
      <c r="C30" s="978" t="s">
        <v>167</v>
      </c>
      <c r="D30" s="978"/>
      <c r="E30" s="688" t="s">
        <v>121</v>
      </c>
      <c r="F30" s="393" t="str">
        <f>TEXT(IPS!J99,"₹ #,##0;")&amp;" (LPC at P/"&amp;M3&amp;"ᶜ, Level - "&amp;IPS!$R$88&amp;", Grade Pay = "&amp;TEXT(IPS!$O$71,"₹#,##0;")&amp;")"</f>
        <v>₹ 35,400 (LPC at P/ᶜ, Level - 4, Grade Pay = ₹1,900)</v>
      </c>
      <c r="G30" s="393"/>
      <c r="H30" s="393"/>
      <c r="I30" s="393"/>
      <c r="J30" s="393"/>
      <c r="K30" s="3"/>
      <c r="L30" s="558" t="s">
        <v>168</v>
      </c>
      <c r="M30" s="559">
        <v>500</v>
      </c>
      <c r="N30" s="80"/>
      <c r="S30" s="688"/>
    </row>
    <row r="31" spans="2:19" ht="27" customHeight="1" thickTop="1" thickBot="1" x14ac:dyDescent="0.3">
      <c r="B31" s="687" t="str">
        <f>IF(IPS!J100="","","14)")</f>
        <v/>
      </c>
      <c r="C31" s="978" t="str">
        <f>IF(IPS!J100="","","Last pay after Notional Increment")</f>
        <v/>
      </c>
      <c r="D31" s="978"/>
      <c r="E31" s="688" t="str">
        <f>IF(IPS!J100="","",":")</f>
        <v/>
      </c>
      <c r="F31" s="393" t="str">
        <f>IF(IPS!J100="","",TEXT(IPS!J100,"₹ #,##0;")&amp;" (Level - "&amp;IPS!$R$88&amp;", Grade Pay = "&amp;TEXT(IPS!$O$71,"₹#,##0;")&amp;")")</f>
        <v/>
      </c>
      <c r="G31" s="393"/>
      <c r="H31" s="393"/>
      <c r="I31" s="393"/>
      <c r="J31" s="353" t="s">
        <v>169</v>
      </c>
      <c r="K31" s="3"/>
      <c r="L31" s="557" t="s">
        <v>170</v>
      </c>
      <c r="M31" s="564">
        <f>IF(IPS!J100="",IF(F35="",ROUNDUP(F34+F34*IPS!J105+M30,0),ROUNDUP(F35+F34*IPS!J105+M30,0)),IF(I35="",ROUNDUP(I34+I34*IPS!J105+M30,0),ROUNDUP(I35+I34*IPS!J105+M30,0)))</f>
        <v>16961</v>
      </c>
      <c r="O31" s="40"/>
      <c r="Q31" s="688"/>
      <c r="R31" s="688"/>
      <c r="S31" s="688"/>
    </row>
    <row r="32" spans="2:19" ht="14.25" customHeight="1" x14ac:dyDescent="0.25">
      <c r="B32" s="687"/>
      <c r="C32" s="680"/>
      <c r="D32" s="680"/>
      <c r="E32" s="688"/>
      <c r="F32" s="353"/>
      <c r="G32" s="353"/>
      <c r="H32" s="353"/>
      <c r="I32" s="353"/>
      <c r="J32" s="353"/>
      <c r="K32" s="3"/>
      <c r="S32" s="688"/>
    </row>
    <row r="33" spans="2:19" ht="27" customHeight="1" x14ac:dyDescent="0.25">
      <c r="B33" s="104" t="str">
        <f>IF(IPS!J100="","14)","15)")</f>
        <v>14)</v>
      </c>
      <c r="C33" s="395" t="str">
        <f>IF(OR(IPS!B1="Family Pension Case",IPS!B1="DRW Family Pension Case"),"Family Pension","Pension")&amp;":-"</f>
        <v>Pension:-</v>
      </c>
      <c r="D33" s="394"/>
      <c r="E33" s="394"/>
      <c r="F33" s="394"/>
      <c r="G33" s="394"/>
      <c r="H33" s="394"/>
      <c r="I33" s="986" t="str">
        <f>IF(IPS!J100="","","Pension after Notional increment")</f>
        <v/>
      </c>
      <c r="J33" s="986"/>
      <c r="K33" s="354" t="b">
        <v>1</v>
      </c>
      <c r="S33" s="80"/>
    </row>
    <row r="34" spans="2:19" ht="27" customHeight="1" x14ac:dyDescent="0.25">
      <c r="B34" s="104" t="s">
        <v>144</v>
      </c>
      <c r="C34" s="978" t="s">
        <v>171</v>
      </c>
      <c r="D34" s="978"/>
      <c r="E34" s="688" t="s">
        <v>121</v>
      </c>
      <c r="F34" s="397">
        <f>IF(OR(IPS!B1="Family Pension Case",IPS!B1="DRW Family Pension Case"),"Nil",IPS!J102)</f>
        <v>17700</v>
      </c>
      <c r="G34" s="984" t="str">
        <f>IF(OR(IPS!B1="Family Pension Case",IPS!B1="DRW Family Pension Case"),"","w.e.f. "&amp;TEXT(IPS!C10+1,"dd-mm-yyyy"))</f>
        <v>w.e.f. 01-08-2025</v>
      </c>
      <c r="H34" s="985"/>
      <c r="I34" s="982" t="str">
        <f>IF(IPS!J100="",IF(OR(IPS!B1="Family Pension Case",IPS!B1="DRW Family Pension Case"),"","("&amp;TEXT(IPS!J99,"₹ #,##0;")&amp;" × "&amp;MIN(50,(SUM(IPS!J101)))&amp;"%)"),TEXT(IPS!K102,"₹ #,##0;"))</f>
        <v>(₹ 35,400 × 50%)</v>
      </c>
      <c r="J34" s="978"/>
      <c r="K34" s="3"/>
      <c r="S34" s="80"/>
    </row>
    <row r="35" spans="2:19" ht="27" customHeight="1" x14ac:dyDescent="0.25">
      <c r="B35" s="104" t="s">
        <v>146</v>
      </c>
      <c r="C35" s="979" t="s">
        <v>172</v>
      </c>
      <c r="D35" s="979"/>
      <c r="E35" s="688" t="s">
        <v>121</v>
      </c>
      <c r="F35" s="397">
        <f>IF(OR(IPS!B1="Family Pension Case",IPS!B1="DRW Family Pension Case",),"Nil",IF(ISBLANK(M16),"",SUM(IPS!J102-F44,0)))</f>
        <v>10620</v>
      </c>
      <c r="G35" s="680" t="str">
        <f>IF(OR(IPS!B1="Family Pension Case",IPS!B1="DRW Family Pension Case"),"",IF(M16="","","("&amp;TEXT(F34,"₹ #,##0;")&amp;" - "&amp;TEXT(F44,"₹ #,##0;")&amp;")"))</f>
        <v>(₹ 17,700 - ₹ 7,080)</v>
      </c>
      <c r="H35" s="355"/>
      <c r="I35" s="987" t="str">
        <f>IF(IPS!J100="","",IF(OR(IPS!B1="Family Pension Case",IPS!B1="DRW Family Pension Case",),"Nil",IF(ISBLANK(M16),"",SUM(IPS!K102-F44,0))))</f>
        <v/>
      </c>
      <c r="J35" s="987"/>
      <c r="K35" s="3"/>
      <c r="S35" s="688"/>
    </row>
    <row r="36" spans="2:19" ht="27" customHeight="1" x14ac:dyDescent="0.25">
      <c r="B36" s="104" t="s">
        <v>147</v>
      </c>
      <c r="C36" s="978" t="s">
        <v>72</v>
      </c>
      <c r="D36" s="978"/>
      <c r="E36" s="688" t="s">
        <v>121</v>
      </c>
      <c r="F36" s="397" t="str">
        <f>IF(OR(H16="Wife",H16="Husband"),IPS!J103,"Nil")</f>
        <v>Nil</v>
      </c>
      <c r="G36" s="984" t="str">
        <f>IF(OR(H16="Wife",H16="Husband"),"up to "&amp;TEXT(IPS!M103,"dd-mm-yyyy"),"")</f>
        <v/>
      </c>
      <c r="H36" s="985"/>
      <c r="I36" s="982" t="str">
        <f>IF(IPS!J100="",IF(IPS!J103=8000,"(Minimum Pension)",IF(F36="Nil","",I34)),IF(F36="Nil","Nil",I34))</f>
        <v/>
      </c>
      <c r="J36" s="978"/>
      <c r="K36" s="3"/>
    </row>
    <row r="37" spans="2:19" ht="27" customHeight="1" x14ac:dyDescent="0.25">
      <c r="B37" s="104" t="s">
        <v>148</v>
      </c>
      <c r="C37" s="978" t="s">
        <v>173</v>
      </c>
      <c r="D37" s="978"/>
      <c r="E37" s="688" t="s">
        <v>121</v>
      </c>
      <c r="F37" s="397" t="str">
        <f>IF(OR(H16="Wife",H16="Husband"),IPS!J104,"Nil")</f>
        <v>Nil</v>
      </c>
      <c r="G37" s="984" t="str">
        <f>IF(OR(H16="Wife",H16="Husband"),"w.e.f. "&amp;TEXT(IPS!M103+1,"dd-mm-yyyy"),"")</f>
        <v/>
      </c>
      <c r="H37" s="985"/>
      <c r="I37" s="982" t="str">
        <f>IF(IPS!J100="",IF(F37="Nil","","("&amp;TEXT(IPS!J99,"₹ #,##0;")&amp;" × "&amp;30&amp;"%)"),IF(F37="Nil","Nil",TEXT(IPS!J100*30%,"₹ #,##0;")))</f>
        <v/>
      </c>
      <c r="J37" s="978"/>
      <c r="K37" s="3"/>
    </row>
    <row r="38" spans="2:19" ht="27" customHeight="1" x14ac:dyDescent="0.25">
      <c r="B38" s="104"/>
      <c r="C38" s="392" t="str">
        <f>IF(OR(H16="Husband",H16="Wife"),"","Remarks:-No family member is eligible for Family Pension now.")</f>
        <v>Remarks:-No family member is eligible for Family Pension now.</v>
      </c>
      <c r="D38" s="680"/>
      <c r="E38" s="688"/>
      <c r="F38" s="397"/>
      <c r="G38" s="685"/>
      <c r="H38" s="685"/>
      <c r="I38" s="680"/>
      <c r="J38" s="680"/>
      <c r="K38" s="3"/>
    </row>
    <row r="39" spans="2:19" ht="27" customHeight="1" x14ac:dyDescent="0.25">
      <c r="B39" s="356"/>
      <c r="C39" s="355"/>
      <c r="D39" s="355"/>
      <c r="E39" s="355"/>
      <c r="F39" s="355"/>
      <c r="G39" s="355"/>
      <c r="H39" s="355"/>
      <c r="I39" s="355"/>
      <c r="J39" s="355"/>
    </row>
    <row r="40" spans="2:19" ht="27" customHeight="1" x14ac:dyDescent="0.25">
      <c r="B40" s="119"/>
      <c r="C40" s="78"/>
      <c r="D40" s="684" t="str">
        <f>IF(K41=FALSE,"Sr.Acctt.","")</f>
        <v/>
      </c>
      <c r="E40" s="78"/>
      <c r="F40" s="983" t="str">
        <f>IF(K41=FALSE,"A.A.O.","")</f>
        <v/>
      </c>
      <c r="G40" s="983"/>
      <c r="H40" s="355"/>
      <c r="I40" s="78" t="str">
        <f>IF(K41=FALSE,"Sr.A.O.","")</f>
        <v/>
      </c>
      <c r="J40" s="78"/>
    </row>
    <row r="41" spans="2:19" ht="27" customHeight="1" x14ac:dyDescent="0.25">
      <c r="B41" s="104" t="str">
        <f>IF(IPS!J100="","15)","16)")</f>
        <v>15)</v>
      </c>
      <c r="C41" s="395" t="str">
        <f>IF(OR(IPS!B1="Family Pension Case",IPS!B1="DRW Family Pension Case"),"",IF(ISBLANK(M16),"Commutation:-",IF(AND(NOT(ISBLANK(M16)),N16="Heldup:-"),"Commutation Held-up:-","Commutation:-")))</f>
        <v>Commutation:-</v>
      </c>
      <c r="D41" s="394"/>
      <c r="E41" s="394"/>
      <c r="F41" s="394"/>
      <c r="G41" s="394"/>
      <c r="H41" s="394"/>
      <c r="I41" s="394"/>
      <c r="J41" s="394"/>
      <c r="K41" s="354" t="b">
        <f>IF(ISBLANK(M16),FALSE,TRUE)</f>
        <v>1</v>
      </c>
      <c r="M41" s="361"/>
    </row>
    <row r="42" spans="2:19" ht="27" customHeight="1" x14ac:dyDescent="0.25">
      <c r="B42" s="104" t="s">
        <v>144</v>
      </c>
      <c r="C42" s="978" t="str">
        <f>IF(OR(IPS!B1="Family Pension Case",IPS!B1="DRW Family Pension Case",),"","Date of Application")</f>
        <v>Date of Application</v>
      </c>
      <c r="D42" s="978"/>
      <c r="E42" s="688" t="str">
        <f>IF(OR(IPS!B1="Family Pension Case",IPS!B1="DRW Family Pension Case",),"",":")</f>
        <v>:</v>
      </c>
      <c r="F42" s="984" t="str">
        <f>IF(OR(IPS!B1="Family Pension Case",IPS!B1="DRW Family Pension Case",ISBLANK(M16)),"",TEXT(M16,"dd-mm-yyyy")&amp;", at P/"&amp;M17&amp;IF(M16-IPS!C10&gt;=365,"ᶜ,(With Medical Certificate)",",(Without Medical Certificate)"))</f>
        <v>01-08-2025, at P/,(Without Medical Certificate)</v>
      </c>
      <c r="G42" s="984"/>
      <c r="H42" s="984"/>
      <c r="I42" s="984"/>
      <c r="J42" s="80"/>
      <c r="K42" s="3"/>
    </row>
    <row r="43" spans="2:19" ht="27" customHeight="1" x14ac:dyDescent="0.25">
      <c r="B43" s="104" t="s">
        <v>146</v>
      </c>
      <c r="C43" s="978" t="str">
        <f>IF(OR(IPS!B1="Family Pension Case",IPS!B1="DRW Family Pension Case",),"","Age as on Next Birth Day")</f>
        <v>Age as on Next Birth Day</v>
      </c>
      <c r="D43" s="978"/>
      <c r="E43" s="688" t="str">
        <f>IF(OR(IPS!B1="Family Pension Case",IPS!B1="DRW Family Pension Case",),"",":")</f>
        <v>:</v>
      </c>
      <c r="F43" s="680" t="str">
        <f>IF(OR(IPS!B1="Family Pension Case",IPS!B1="DRW Family Pension Case",ISBLANK(PR!M16)),"",M19&amp;IF(F42=" "," "," Years"))</f>
        <v>61 Years</v>
      </c>
      <c r="G43" s="680"/>
      <c r="H43" s="80"/>
      <c r="I43" s="80"/>
      <c r="J43" s="80"/>
      <c r="K43" s="3"/>
      <c r="L43" s="276"/>
      <c r="M43" s="277"/>
    </row>
    <row r="44" spans="2:19" ht="27" customHeight="1" x14ac:dyDescent="0.25">
      <c r="B44" s="104" t="s">
        <v>147</v>
      </c>
      <c r="C44" s="978" t="str">
        <f>IF(OR(IPS!B1="Family Pension Case",IPS!B1="DRW Family Pension Case",),"","Commuted Pension")</f>
        <v>Commuted Pension</v>
      </c>
      <c r="D44" s="978"/>
      <c r="E44" s="688" t="str">
        <f>IF(OR(IPS!B1="Family Pension Case",IPS!B1="DRW Family Pension Case",),"",":")</f>
        <v>:</v>
      </c>
      <c r="F44" s="397">
        <f>IF(OR(IPS!B1="Family Pension Case",IPS!B1="DRW Family Pension Case",ISBLANK(PR!M16)),"",IF(N16="Heldup","",ROUNDDOWN(IPS!J102*PR!M18,0)))</f>
        <v>7080</v>
      </c>
      <c r="G44" s="80" t="str">
        <f>IF(OR(IPS!B1="Family Pension Case",IPS!B1="DRW Family Pension Case",ISBLANK(PR!M16)),"",IF(ISBLANK(PR!M16)," ",IF(N16="Heldup","",IF(F42=" "," ","("&amp;TEXT(F34,"₹ #,##0;")&amp;" × ")&amp;IF(F42=" "," ",PR!M18*100&amp;"%")&amp;IF(F42=" "," ",")"))))</f>
        <v>(₹ 17,700 × 40%)</v>
      </c>
      <c r="H44" s="355"/>
      <c r="I44" s="80"/>
      <c r="J44" s="80"/>
      <c r="K44" s="3"/>
      <c r="L44" s="276"/>
      <c r="M44" s="277"/>
    </row>
    <row r="45" spans="2:19" ht="27" customHeight="1" x14ac:dyDescent="0.25">
      <c r="B45" s="104" t="s">
        <v>148</v>
      </c>
      <c r="C45" s="978" t="str">
        <f>IF(OR(IPS!B1="Family Pension Case",IPS!B1="DRW Family Pension Case",),"","Total Commutation")</f>
        <v>Total Commutation</v>
      </c>
      <c r="D45" s="978"/>
      <c r="E45" s="688" t="str">
        <f>IF(OR(IPS!B1="Family Pension Case",IPS!B1="DRW Family Pension Case",),"",":")</f>
        <v>:</v>
      </c>
      <c r="F45" s="397">
        <f>IF(OR(IPS!B1="Family Pension Case",IPS!B1="DRW Family Pension Case",ISBLANK(PR!M16),N16="Heldup"),"",ROUNDUP(F44*12*M20,0))</f>
        <v>696163</v>
      </c>
      <c r="G45" s="80" t="str">
        <f>IF(OR(IPS!B1="Family Pension Case",IPS!B1="DRW Family Pension Case",ISBLANK(PR!M16)),"",IF(N16="Heldup","",IF(F42=" "," ","("&amp;TEXT(F44,"₹ #,##0;")&amp;" × 12 × ")&amp;IF(F42=" "," ",PR!M20)&amp;IF(F42=" "," ",")")))</f>
        <v>(₹ 7,080 × 12 × 8.194)</v>
      </c>
      <c r="H45" s="355"/>
      <c r="I45" s="80"/>
      <c r="J45" s="80"/>
      <c r="K45" s="3"/>
      <c r="L45" s="276"/>
      <c r="M45" s="277"/>
    </row>
    <row r="46" spans="2:19" ht="31.5" customHeight="1" x14ac:dyDescent="0.25">
      <c r="B46" s="991" t="str">
        <f>IF(OR(IPS!B1="LTA Pension",IPS!C12=TRUE),"#LTA of Sup. Pension, DCRG &amp; Commutation will be issued to admissible family members as per Sub-Rule (1)(a), Sub-Rule (1)(b)(i) of Rule 51 &amp; Sub-Rule (6) of Rule 50 of CCS (Pension) Rules 1972.","")</f>
        <v/>
      </c>
      <c r="C46" s="991"/>
      <c r="D46" s="991"/>
      <c r="E46" s="991"/>
      <c r="F46" s="991"/>
      <c r="G46" s="991"/>
      <c r="H46" s="991"/>
      <c r="I46" s="991"/>
      <c r="J46" s="991"/>
      <c r="K46" s="3"/>
      <c r="L46" s="3"/>
      <c r="M46" s="3"/>
      <c r="N46" s="3"/>
    </row>
    <row r="47" spans="2:19" ht="27" customHeight="1" x14ac:dyDescent="0.25">
      <c r="B47" s="356"/>
      <c r="C47" s="355"/>
      <c r="D47" s="355"/>
      <c r="E47" s="355"/>
      <c r="F47" s="355"/>
      <c r="G47" s="355"/>
      <c r="H47" s="355"/>
      <c r="I47" s="355"/>
      <c r="J47" s="355"/>
      <c r="K47" s="3"/>
      <c r="L47" s="3"/>
      <c r="M47" s="3"/>
      <c r="N47" s="3"/>
    </row>
    <row r="48" spans="2:19" ht="27" customHeight="1" x14ac:dyDescent="0.25">
      <c r="B48" s="119"/>
      <c r="C48" s="78"/>
      <c r="D48" s="684" t="str">
        <f>IF(AND(K33=TRUE,K41=TRUE,K49=TRUE),"","Sr.Acctt.")</f>
        <v/>
      </c>
      <c r="E48" s="78"/>
      <c r="F48" s="983" t="str">
        <f>IF(AND(K33=TRUE,K41=TRUE,K49=TRUE),"","A.A.O.")</f>
        <v/>
      </c>
      <c r="G48" s="983"/>
      <c r="H48" s="355"/>
      <c r="I48" s="78" t="str">
        <f>IF(AND(K33=TRUE,K41=TRUE,K49=TRUE),"","Sr.A.O.")</f>
        <v/>
      </c>
      <c r="J48" s="78"/>
      <c r="K48" s="3"/>
      <c r="L48" s="3"/>
      <c r="M48" s="3"/>
      <c r="N48" s="3"/>
    </row>
    <row r="49" spans="2:14" ht="27" customHeight="1" x14ac:dyDescent="0.25">
      <c r="B49" s="104" t="str">
        <f>IF(IPS!J100="","16)","17)")</f>
        <v>16)</v>
      </c>
      <c r="C49" s="395" t="str">
        <f>IF(K49=TRUE,"DCRG","DCRG (Held-up)")&amp;":- ["&amp;IF(ISBLANK(M15),"Form-1(Nomination for DCRG) hasn't been received","Form-1(Nomination for DCRG) at P/"&amp;M15&amp;"ᶜ")&amp;"]"</f>
        <v>DCRG:- [Form-1(Nomination for DCRG) hasn't been received]</v>
      </c>
      <c r="D49" s="394"/>
      <c r="E49" s="394"/>
      <c r="F49" s="394"/>
      <c r="G49" s="118"/>
      <c r="H49" s="394"/>
      <c r="I49" s="394"/>
      <c r="J49" s="394"/>
      <c r="K49" s="357" t="b">
        <v>1</v>
      </c>
      <c r="N49" s="3"/>
    </row>
    <row r="50" spans="2:14" ht="27" customHeight="1" x14ac:dyDescent="0.25">
      <c r="B50" s="687" t="s">
        <v>144</v>
      </c>
      <c r="C50" s="978" t="s">
        <v>174</v>
      </c>
      <c r="D50" s="978"/>
      <c r="E50" s="688" t="s">
        <v>121</v>
      </c>
      <c r="F50" s="397" t="str">
        <f>IF(IPS!K108=TRUE,IPS!J107,"")</f>
        <v/>
      </c>
      <c r="G50" s="418" t="str">
        <f>IF(IPS!J107=1000000,"(Max.) "," ")&amp;IF(IPS!B1="Family Pension Case",(IF(IPS!I126&lt;1,"("&amp;TEXT(IPS!J99,"₹ #,##0;")&amp;" × 2)",IF(AND(IPS!I126&gt;=1,IPS!I126&lt;5),"("&amp;TEXT(IPS!J99,"₹ #,##0;")&amp;" × 6)",IF(AND(IPS!I126&gt;=5,IPS!I126&lt;20),"("&amp;TEXT(IPS!J99,"₹ #,##0;")&amp;" × 12)",IF(IPS!I126&gt;=20,"("&amp;TEXT(IPS!J99,"₹ #,##0;")&amp;" × "&amp;IPS!J101&amp;" ÷ 2)"))))),IF(IPS!B1="DRW Family Pension Case",(IF(IPS!I144&lt;1,"("&amp;TEXT(IPS!J99,"₹ #,##0;")&amp;" × 2)",IF(AND(IPS!I144&gt;=1,IPS!I144&lt;5),"("&amp;TEXT(IPS!J99,"₹ #,##0;")&amp;" × 6)",IF(AND(IPS!I144&gt;=5,IPS!I144&lt;20),"("&amp;TEXT(IPS!J99,"₹ #,##0;")&amp;" × 12)",IF(IPS!I144&gt;=20,"("&amp;TEXT(IPS!J99,"₹ #,##0;")&amp;" × "&amp;IPS!J101&amp;" ÷ 2)"))))),"("&amp;TEXT(IPS!J99,"₹ #,##0;")&amp;" × "&amp;IPS!J101&amp;" ÷ 4)"))</f>
        <v xml:space="preserve"> (₹ 35,400 × 66 ÷ 4)</v>
      </c>
      <c r="H50" s="419"/>
      <c r="I50" s="419"/>
      <c r="J50" s="419"/>
      <c r="K50" s="3"/>
      <c r="L50" s="340"/>
    </row>
    <row r="51" spans="2:14" ht="27" customHeight="1" x14ac:dyDescent="0.25">
      <c r="B51" s="687" t="s">
        <v>146</v>
      </c>
      <c r="C51" s="996" t="s">
        <v>175</v>
      </c>
      <c r="D51" s="996"/>
      <c r="E51" s="689" t="s">
        <v>121</v>
      </c>
      <c r="F51" s="358">
        <f>IPS!J109</f>
        <v>438075</v>
      </c>
      <c r="G51" s="284" t="str">
        <f>IF(IPS!N108=1,IPS!L108,IPS!L109)</f>
        <v>Flag-Aᶜ at Service Book</v>
      </c>
      <c r="H51" s="989" t="s">
        <v>176</v>
      </c>
      <c r="I51" s="990"/>
      <c r="J51" s="990"/>
      <c r="K51" s="3"/>
    </row>
    <row r="52" spans="2:14" ht="27" customHeight="1" x14ac:dyDescent="0.25">
      <c r="B52" s="687" t="s">
        <v>147</v>
      </c>
      <c r="C52" s="80" t="s">
        <v>177</v>
      </c>
      <c r="D52" s="80"/>
      <c r="E52" s="80" t="s">
        <v>121</v>
      </c>
      <c r="F52" s="680" t="s">
        <v>178</v>
      </c>
      <c r="G52" s="352"/>
      <c r="H52" s="352"/>
      <c r="I52" s="352"/>
      <c r="J52" s="352"/>
      <c r="K52" s="3"/>
      <c r="L52" s="3"/>
      <c r="M52" s="3"/>
    </row>
    <row r="53" spans="2:14" ht="27" customHeight="1" x14ac:dyDescent="0.25">
      <c r="B53" s="687" t="s">
        <v>148</v>
      </c>
      <c r="C53" s="680" t="s">
        <v>86</v>
      </c>
      <c r="D53" s="680"/>
      <c r="E53" s="680" t="s">
        <v>121</v>
      </c>
      <c r="F53" s="686">
        <f>IF(K49=FALSE,"",IPS!J110)</f>
        <v>0</v>
      </c>
      <c r="G53" s="80"/>
      <c r="H53" s="80"/>
      <c r="I53" s="80"/>
      <c r="J53" s="80"/>
      <c r="K53" s="3"/>
      <c r="M53" s="89"/>
    </row>
    <row r="54" spans="2:14" ht="32.25" customHeight="1" x14ac:dyDescent="0.25">
      <c r="B54" s="687" t="s">
        <v>150</v>
      </c>
      <c r="C54" s="979" t="s">
        <v>87</v>
      </c>
      <c r="D54" s="979"/>
      <c r="E54" s="680" t="s">
        <v>121</v>
      </c>
      <c r="F54" s="686">
        <f>IF(K49=FALSE,"",IPS!J111)</f>
        <v>0</v>
      </c>
      <c r="G54" s="80"/>
      <c r="H54" s="80"/>
      <c r="I54" s="80"/>
      <c r="J54" s="80"/>
      <c r="K54" s="3"/>
      <c r="M54" s="3"/>
    </row>
    <row r="55" spans="2:14" ht="27" customHeight="1" x14ac:dyDescent="0.25">
      <c r="B55" s="687" t="s">
        <v>160</v>
      </c>
      <c r="C55" s="978" t="s">
        <v>179</v>
      </c>
      <c r="D55" s="978"/>
      <c r="E55" s="680" t="s">
        <v>121</v>
      </c>
      <c r="F55" s="686">
        <f>IF(K49=FALSE,"",IPS!J112)</f>
        <v>0</v>
      </c>
      <c r="G55" s="80"/>
      <c r="H55" s="80"/>
      <c r="I55" s="80"/>
      <c r="J55" s="80"/>
      <c r="K55" s="3"/>
    </row>
    <row r="56" spans="2:14" ht="27" customHeight="1" x14ac:dyDescent="0.25">
      <c r="B56" s="687" t="s">
        <v>162</v>
      </c>
      <c r="C56" s="997" t="s">
        <v>180</v>
      </c>
      <c r="D56" s="997"/>
      <c r="E56" s="690" t="s">
        <v>121</v>
      </c>
      <c r="F56" s="359">
        <f>IF(K49=FALSE,"",IF(ISTEXT(F51),F53+F54+F55,F51+F53+F54+F55))</f>
        <v>438075</v>
      </c>
      <c r="G56" s="80"/>
      <c r="H56" s="80"/>
      <c r="I56" s="80"/>
      <c r="J56" s="80"/>
      <c r="K56" s="3"/>
    </row>
    <row r="57" spans="2:14" ht="27" customHeight="1" x14ac:dyDescent="0.25">
      <c r="B57" s="687" t="s">
        <v>181</v>
      </c>
      <c r="C57" s="978" t="s">
        <v>182</v>
      </c>
      <c r="D57" s="978"/>
      <c r="E57" s="680" t="s">
        <v>121</v>
      </c>
      <c r="F57" s="360" t="e">
        <f>IF(K49=FALSE,"",F50-F56)</f>
        <v>#VALUE!</v>
      </c>
      <c r="G57" s="391"/>
      <c r="H57" s="391"/>
      <c r="I57" s="391"/>
      <c r="J57" s="391"/>
      <c r="K57" s="3"/>
      <c r="L57" s="3"/>
      <c r="M57" s="3"/>
    </row>
    <row r="58" spans="2:14" ht="27" customHeight="1" x14ac:dyDescent="0.25">
      <c r="B58" s="356"/>
      <c r="C58" s="355"/>
      <c r="D58" s="355"/>
      <c r="E58" s="355"/>
      <c r="F58" s="355"/>
      <c r="G58" s="355"/>
      <c r="H58" s="355"/>
      <c r="I58" s="355"/>
      <c r="J58" s="355"/>
      <c r="L58" s="361"/>
    </row>
    <row r="59" spans="2:14" ht="27" customHeight="1" x14ac:dyDescent="0.25">
      <c r="B59" s="119"/>
      <c r="C59" s="78"/>
      <c r="D59" s="684" t="str">
        <f>IF(K49=TRUE,"Acctt.","")</f>
        <v>Acctt.</v>
      </c>
      <c r="E59" s="78"/>
      <c r="F59" s="983" t="str">
        <f>IF(K49=TRUE,"A.A.O.","")</f>
        <v>A.A.O.</v>
      </c>
      <c r="G59" s="983"/>
      <c r="H59" s="355"/>
      <c r="I59" s="78" t="str">
        <f>IF(K49=TRUE,"Sr.A.O.","")</f>
        <v>Sr.A.O.</v>
      </c>
      <c r="J59" s="78"/>
    </row>
  </sheetData>
  <mergeCells count="65">
    <mergeCell ref="F59:G59"/>
    <mergeCell ref="F48:G48"/>
    <mergeCell ref="G36:H36"/>
    <mergeCell ref="G37:H37"/>
    <mergeCell ref="C37:D37"/>
    <mergeCell ref="C36:D36"/>
    <mergeCell ref="C44:D44"/>
    <mergeCell ref="C45:D45"/>
    <mergeCell ref="F42:I42"/>
    <mergeCell ref="C42:D42"/>
    <mergeCell ref="C43:D43"/>
    <mergeCell ref="I36:J36"/>
    <mergeCell ref="C51:D51"/>
    <mergeCell ref="C57:D57"/>
    <mergeCell ref="C56:D56"/>
    <mergeCell ref="C8:D8"/>
    <mergeCell ref="F8:G8"/>
    <mergeCell ref="E9:E10"/>
    <mergeCell ref="F9:J10"/>
    <mergeCell ref="M6:R6"/>
    <mergeCell ref="M7:N7"/>
    <mergeCell ref="M9:N9"/>
    <mergeCell ref="B2:J2"/>
    <mergeCell ref="C6:D6"/>
    <mergeCell ref="C3:D3"/>
    <mergeCell ref="C5:D5"/>
    <mergeCell ref="C55:D55"/>
    <mergeCell ref="C50:D50"/>
    <mergeCell ref="C54:D54"/>
    <mergeCell ref="H51:J51"/>
    <mergeCell ref="B46:J46"/>
    <mergeCell ref="D18:F18"/>
    <mergeCell ref="D19:F19"/>
    <mergeCell ref="B9:B10"/>
    <mergeCell ref="B11:B12"/>
    <mergeCell ref="C4:D4"/>
    <mergeCell ref="F11:J12"/>
    <mergeCell ref="E11:E12"/>
    <mergeCell ref="C27:D27"/>
    <mergeCell ref="I37:J37"/>
    <mergeCell ref="F40:G40"/>
    <mergeCell ref="I34:J34"/>
    <mergeCell ref="C29:D29"/>
    <mergeCell ref="C30:D30"/>
    <mergeCell ref="C35:D35"/>
    <mergeCell ref="G34:H34"/>
    <mergeCell ref="C34:D34"/>
    <mergeCell ref="C28:D28"/>
    <mergeCell ref="C31:D31"/>
    <mergeCell ref="I33:J33"/>
    <mergeCell ref="I35:J35"/>
    <mergeCell ref="C13:D13"/>
    <mergeCell ref="F13:J13"/>
    <mergeCell ref="C9:D10"/>
    <mergeCell ref="D20:F20"/>
    <mergeCell ref="D16:F16"/>
    <mergeCell ref="D17:F17"/>
    <mergeCell ref="C15:F15"/>
    <mergeCell ref="C11:D12"/>
    <mergeCell ref="H20:I20"/>
    <mergeCell ref="H19:I19"/>
    <mergeCell ref="H18:I18"/>
    <mergeCell ref="H17:I17"/>
    <mergeCell ref="H16:I16"/>
    <mergeCell ref="H15:I15"/>
  </mergeCells>
  <conditionalFormatting sqref="G17:G20">
    <cfRule type="cellIs" dxfId="7" priority="9" operator="lessThan">
      <formula>EDATE(TODAY(),-25*12)</formula>
    </cfRule>
  </conditionalFormatting>
  <conditionalFormatting sqref="K33">
    <cfRule type="cellIs" dxfId="6" priority="3" operator="equal">
      <formula>FALSE</formula>
    </cfRule>
  </conditionalFormatting>
  <conditionalFormatting sqref="K41">
    <cfRule type="cellIs" dxfId="5" priority="2" operator="equal">
      <formula>FALSE</formula>
    </cfRule>
  </conditionalFormatting>
  <conditionalFormatting sqref="K49">
    <cfRule type="cellIs" dxfId="4" priority="1" operator="equal">
      <formula>FALSE</formula>
    </cfRule>
  </conditionalFormatting>
  <conditionalFormatting sqref="M3:M22">
    <cfRule type="containsBlanks" dxfId="3" priority="13">
      <formula>LEN(TRIM(M3))=0</formula>
    </cfRule>
  </conditionalFormatting>
  <conditionalFormatting sqref="M16">
    <cfRule type="cellIs" dxfId="2" priority="11" operator="greaterThan">
      <formula>EDATE($F$8,12*1)</formula>
    </cfRule>
    <cfRule type="cellIs" dxfId="1" priority="12" operator="lessThan">
      <formula>$F$8+1</formula>
    </cfRule>
  </conditionalFormatting>
  <dataValidations count="1">
    <dataValidation allowBlank="1" showInputMessage="1" showErrorMessage="1" prompt="Please check Provisional Gratuity in IPS sheet &amp; tick the Checkbox beside it." sqref="F50" xr:uid="{00000000-0002-0000-0600-000000000000}"/>
  </dataValidations>
  <pageMargins left="0.26" right="3.937007874015748E-2" top="0.36" bottom="0.17" header="0.13" footer="0.08"/>
  <pageSetup paperSize="9" fitToHeight="0" orientation="portrait" r:id="rId1"/>
  <ignoredErrors>
    <ignoredError sqref="F11:J12" evalError="1"/>
  </ignoredErrors>
  <drawing r:id="rId2"/>
  <legacyDrawing r:id="rId3"/>
  <controls>
    <mc:AlternateContent xmlns:mc="http://schemas.openxmlformats.org/markup-compatibility/2006">
      <mc:Choice Requires="x14">
        <control shapeId="2063" r:id="rId4" name="CommandButton1">
          <controlPr defaultSize="0" autoLine="0" r:id="rId5">
            <anchor moveWithCells="1">
              <from>
                <xdr:col>11</xdr:col>
                <xdr:colOff>819150</xdr:colOff>
                <xdr:row>35</xdr:row>
                <xdr:rowOff>333375</xdr:rowOff>
              </from>
              <to>
                <xdr:col>11</xdr:col>
                <xdr:colOff>1847850</xdr:colOff>
                <xdr:row>37</xdr:row>
                <xdr:rowOff>0</xdr:rowOff>
              </to>
            </anchor>
          </controlPr>
        </control>
      </mc:Choice>
      <mc:Fallback>
        <control shapeId="2063" r:id="rId4" name="CommandButton1"/>
      </mc:Fallback>
    </mc:AlternateContent>
    <mc:AlternateContent xmlns:mc="http://schemas.openxmlformats.org/markup-compatibility/2006">
      <mc:Choice Requires="x14">
        <control shapeId="2049" r:id="rId6" name="Check Box 1">
          <controlPr defaultSize="0" autoFill="0" autoLine="0" autoPict="0">
            <anchor moveWithCells="1">
              <from>
                <xdr:col>9</xdr:col>
                <xdr:colOff>171450</xdr:colOff>
                <xdr:row>15</xdr:row>
                <xdr:rowOff>104775</xdr:rowOff>
              </from>
              <to>
                <xdr:col>9</xdr:col>
                <xdr:colOff>381000</xdr:colOff>
                <xdr:row>15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Check Box 3">
          <controlPr defaultSize="0" autoFill="0" autoLine="0" autoPict="0">
            <anchor moveWithCells="1">
              <from>
                <xdr:col>9</xdr:col>
                <xdr:colOff>171450</xdr:colOff>
                <xdr:row>16</xdr:row>
                <xdr:rowOff>104775</xdr:rowOff>
              </from>
              <to>
                <xdr:col>9</xdr:col>
                <xdr:colOff>381000</xdr:colOff>
                <xdr:row>16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8" name="Check Box 5">
          <controlPr defaultSize="0" autoFill="0" autoLine="0" autoPict="0">
            <anchor moveWithCells="1">
              <from>
                <xdr:col>9</xdr:col>
                <xdr:colOff>171450</xdr:colOff>
                <xdr:row>17</xdr:row>
                <xdr:rowOff>104775</xdr:rowOff>
              </from>
              <to>
                <xdr:col>9</xdr:col>
                <xdr:colOff>381000</xdr:colOff>
                <xdr:row>17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9" name="Check Box 7">
          <controlPr defaultSize="0" autoFill="0" autoLine="0" autoPict="0">
            <anchor moveWithCells="1">
              <from>
                <xdr:col>10</xdr:col>
                <xdr:colOff>76200</xdr:colOff>
                <xdr:row>48</xdr:row>
                <xdr:rowOff>95250</xdr:rowOff>
              </from>
              <to>
                <xdr:col>10</xdr:col>
                <xdr:colOff>266700</xdr:colOff>
                <xdr:row>48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0" name="Check Box 8">
          <controlPr defaultSize="0" autoFill="0" autoLine="0" autoPict="0">
            <anchor moveWithCells="1">
              <from>
                <xdr:col>10</xdr:col>
                <xdr:colOff>85725</xdr:colOff>
                <xdr:row>32</xdr:row>
                <xdr:rowOff>85725</xdr:rowOff>
              </from>
              <to>
                <xdr:col>10</xdr:col>
                <xdr:colOff>266700</xdr:colOff>
                <xdr:row>32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1" name="Check Box 10">
          <controlPr defaultSize="0" autoFill="0" autoLine="0" autoPict="0">
            <anchor moveWithCells="1">
              <from>
                <xdr:col>10</xdr:col>
                <xdr:colOff>76200</xdr:colOff>
                <xdr:row>40</xdr:row>
                <xdr:rowOff>85725</xdr:rowOff>
              </from>
              <to>
                <xdr:col>10</xdr:col>
                <xdr:colOff>257175</xdr:colOff>
                <xdr:row>40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Check Box 12">
          <controlPr defaultSize="0" autoFill="0" autoLine="0" autoPict="0">
            <anchor moveWithCells="1">
              <from>
                <xdr:col>9</xdr:col>
                <xdr:colOff>171450</xdr:colOff>
                <xdr:row>18</xdr:row>
                <xdr:rowOff>104775</xdr:rowOff>
              </from>
              <to>
                <xdr:col>9</xdr:col>
                <xdr:colOff>381000</xdr:colOff>
                <xdr:row>18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3" name="Check Box 13">
          <controlPr defaultSize="0" autoFill="0" autoLine="0" autoPict="0">
            <anchor moveWithCells="1">
              <from>
                <xdr:col>9</xdr:col>
                <xdr:colOff>171450</xdr:colOff>
                <xdr:row>19</xdr:row>
                <xdr:rowOff>104775</xdr:rowOff>
              </from>
              <to>
                <xdr:col>9</xdr:col>
                <xdr:colOff>381000</xdr:colOff>
                <xdr:row>19</xdr:row>
                <xdr:rowOff>257175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600-000001000000}">
          <x14:formula1>
            <xm:f>'Pay Scales'!$J$26:$J$38</xm:f>
          </x14:formula1>
          <xm:sqref>M9</xm:sqref>
        </x14:dataValidation>
        <x14:dataValidation type="list" allowBlank="1" showInputMessage="1" showErrorMessage="1" xr:uid="{00000000-0002-0000-0600-000004000000}">
          <x14:formula1>
            <xm:f>'Pay Scales'!$J$40:$J$41</xm:f>
          </x14:formula1>
          <xm:sqref>N16</xm:sqref>
        </x14:dataValidation>
        <x14:dataValidation type="list" allowBlank="1" showInputMessage="1" showErrorMessage="1" xr:uid="{00000000-0002-0000-0600-000002000000}">
          <x14:formula1>
            <xm:f>'Pay Scales'!$J$44:$J$46</xm:f>
          </x14:formula1>
          <xm:sqref>C17:C20</xm:sqref>
        </x14:dataValidation>
        <x14:dataValidation type="list" allowBlank="1" showInputMessage="1" showErrorMessage="1" xr:uid="{B5E2AAAB-DCE6-49CC-BD5E-93B46928A052}">
          <x14:formula1>
            <xm:f>'Pay Scales'!$K$53:$K$63</xm:f>
          </x14:formula1>
          <xm:sqref>H17:I17 H18:I18 H19:I19 H20:I20</xm:sqref>
        </x14:dataValidation>
        <x14:dataValidation type="list" allowBlank="1" showInputMessage="1" showErrorMessage="1" xr:uid="{00000000-0002-0000-0600-000005000000}">
          <x14:formula1>
            <xm:f>'Pay Scales'!R2:R9</xm:f>
          </x14:formula1>
          <xm:sqref>M7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47E18-3EE9-4779-91A0-3E11B6719037}">
  <sheetPr codeName="Sheet8">
    <tabColor theme="6" tint="0.39997558519241921"/>
  </sheetPr>
  <dimension ref="C2:S83"/>
  <sheetViews>
    <sheetView zoomScaleNormal="100" workbookViewId="0">
      <selection activeCell="N29" sqref="N29"/>
    </sheetView>
  </sheetViews>
  <sheetFormatPr defaultColWidth="9.140625" defaultRowHeight="15" x14ac:dyDescent="0.25"/>
  <cols>
    <col min="1" max="1" width="14" style="3" customWidth="1"/>
    <col min="2" max="2" width="2.42578125" style="3" customWidth="1"/>
    <col min="3" max="3" width="11.7109375" style="3" customWidth="1"/>
    <col min="4" max="4" width="13.5703125" style="3" customWidth="1"/>
    <col min="5" max="5" width="14.85546875" style="3" customWidth="1"/>
    <col min="6" max="6" width="15.5703125" style="3" customWidth="1"/>
    <col min="7" max="7" width="12.7109375" style="3" customWidth="1"/>
    <col min="8" max="8" width="12.140625" style="3" bestFit="1" customWidth="1"/>
    <col min="9" max="9" width="12.85546875" style="3" customWidth="1"/>
    <col min="10" max="10" width="4.7109375" style="3" customWidth="1"/>
    <col min="11" max="11" width="13.7109375" style="3" bestFit="1" customWidth="1"/>
    <col min="12" max="12" width="14.140625" style="3" bestFit="1" customWidth="1"/>
    <col min="13" max="16384" width="9.140625" style="3"/>
  </cols>
  <sheetData>
    <row r="2" spans="3:12" ht="21.75" customHeight="1" x14ac:dyDescent="0.25">
      <c r="C2" s="998"/>
      <c r="D2" s="999" t="s">
        <v>183</v>
      </c>
      <c r="E2" s="999"/>
      <c r="F2" s="999"/>
      <c r="G2" s="999"/>
      <c r="H2" s="999"/>
      <c r="I2" s="1000"/>
    </row>
    <row r="3" spans="3:12" ht="19.5" thickBot="1" x14ac:dyDescent="0.3">
      <c r="C3" s="998"/>
      <c r="D3" s="1001" t="s">
        <v>184</v>
      </c>
      <c r="E3" s="1001"/>
      <c r="F3" s="1001"/>
      <c r="G3" s="1001"/>
      <c r="H3" s="1001"/>
      <c r="I3" s="1000"/>
    </row>
    <row r="4" spans="3:12" ht="18.75" customHeight="1" x14ac:dyDescent="0.25">
      <c r="C4" s="998"/>
      <c r="D4" s="1002" t="s">
        <v>185</v>
      </c>
      <c r="E4" s="1002"/>
      <c r="F4" s="1002"/>
      <c r="G4" s="1002"/>
      <c r="H4" s="1002"/>
      <c r="I4" s="1000"/>
      <c r="K4" s="96" t="s">
        <v>186</v>
      </c>
      <c r="L4" s="97">
        <f>IPS!C5</f>
        <v>0</v>
      </c>
    </row>
    <row r="5" spans="3:12" ht="15.95" customHeight="1" x14ac:dyDescent="0.25">
      <c r="C5" s="978" t="str">
        <f ca="1">"No."&amp;PR!F4</f>
        <v>No.Pen-2/Sup/GK//2026-27</v>
      </c>
      <c r="D5" s="978"/>
      <c r="E5" s="978"/>
      <c r="F5" s="80"/>
      <c r="G5" s="80"/>
      <c r="H5" s="80" t="str">
        <f ca="1">"Date-"&amp;TEXT(TODAY(),"dd/mm/yyyy")</f>
        <v>Date-17/08/2026</v>
      </c>
      <c r="I5" s="80"/>
      <c r="J5" s="78"/>
      <c r="K5" s="100" t="s">
        <v>187</v>
      </c>
      <c r="L5" s="101"/>
    </row>
    <row r="6" spans="3:12" ht="15.95" customHeight="1" thickBot="1" x14ac:dyDescent="0.3">
      <c r="C6" s="680" t="str">
        <f>"PPO No."&amp;L5</f>
        <v>PPO No.</v>
      </c>
      <c r="D6" s="680"/>
      <c r="E6" s="78"/>
      <c r="F6" s="78"/>
      <c r="G6" s="78"/>
      <c r="H6" s="680" t="str">
        <f>"Application No."&amp;L4</f>
        <v>Application No.0</v>
      </c>
      <c r="I6" s="80"/>
      <c r="J6" s="78"/>
      <c r="K6" s="98" t="s">
        <v>188</v>
      </c>
      <c r="L6" s="102">
        <f>IF(OR(PR!M9='Pay Scales'!J26,PR!M7='Pay Scales'!L26),"Dharmanagar",IF(OR(PR!M9='Pay Scales'!J27,PR!M7='Pay Scales'!L26),"Dharmanagar",IF(OR(PR!M9='Pay Scales'!J28,PR!M7='Pay Scales'!L28),"Kailashahar",IF(OR(PR!M9='Pay Scales'!J29,PR!M7='Pay Scales'!L29),"Ambassa",IF(OR(PR!M9='Pay Scales'!J30,PR!M7='Pay Scales'!L29),"Ambassa",IF(OR(PR!M9='Pay Scales'!J31,PR!M7='Pay Scales'!L29),"Ambassa",IF(OR(PR!M9='Pay Scales'!J32,PR!M7='Pay Scales'!L32),"Khowai",IF(OR(PR!M9='Pay Scales'!J33,PR!M7='Pay Scales'!L33),"Agartala-1",IF(OR(PR!M9='Pay Scales'!J34,PR!M7='Pay Scales'!L33),"Agartala-1",IF(OR(PR!M9='Pay Scales'!J35,PR!M7='Pay Scales'!L35),"Bishalgarh",IF(OR(PR!M9='Pay Scales'!J36,PR!M7='Pay Scales'!L36),"Udaipur",IF(OR(PR!M9='Pay Scales'!J37,PR!M7='Pay Scales'!L37),"Belonia",IF(OR(PR!M9='Pay Scales'!J38,PR!M7='Pay Scales'!L37),"Belonia",)))))))))))))</f>
        <v>0</v>
      </c>
    </row>
    <row r="7" spans="3:12" ht="7.5" customHeight="1" x14ac:dyDescent="0.25">
      <c r="C7" s="680"/>
      <c r="D7" s="680"/>
      <c r="E7" s="95"/>
      <c r="F7" s="95"/>
      <c r="G7" s="95"/>
      <c r="H7" s="680"/>
      <c r="I7" s="80"/>
      <c r="J7" s="78"/>
      <c r="K7" s="88"/>
      <c r="L7" s="88"/>
    </row>
    <row r="8" spans="3:12" s="94" customFormat="1" ht="15.95" customHeight="1" x14ac:dyDescent="0.25">
      <c r="C8" s="80" t="s">
        <v>84</v>
      </c>
      <c r="D8" s="9"/>
      <c r="E8" s="9"/>
      <c r="F8" s="9"/>
      <c r="G8" s="9"/>
      <c r="H8" s="9"/>
      <c r="I8" s="9"/>
      <c r="J8" s="80"/>
    </row>
    <row r="9" spans="3:12" s="94" customFormat="1" ht="15.95" customHeight="1" x14ac:dyDescent="0.25">
      <c r="C9" s="80" t="s">
        <v>189</v>
      </c>
      <c r="D9" s="80"/>
      <c r="E9" s="80"/>
      <c r="F9" s="80"/>
      <c r="G9" s="680"/>
      <c r="H9" s="80"/>
      <c r="I9" s="80"/>
      <c r="J9" s="80"/>
    </row>
    <row r="10" spans="3:12" s="94" customFormat="1" ht="15.95" customHeight="1" x14ac:dyDescent="0.25">
      <c r="C10" s="80" t="str">
        <f>L6&amp;" Treasury, "&amp;IF(L6='Pay Scales'!K33,"Agartala",L6)</f>
        <v>0 Treasury, 0</v>
      </c>
      <c r="D10" s="80"/>
      <c r="E10" s="80"/>
      <c r="F10" s="80"/>
      <c r="G10" s="680"/>
      <c r="H10" s="80"/>
      <c r="I10" s="80"/>
      <c r="J10" s="80"/>
    </row>
    <row r="11" spans="3:12" s="94" customFormat="1" ht="7.5" customHeight="1" x14ac:dyDescent="0.25">
      <c r="C11" s="80"/>
      <c r="D11" s="80"/>
      <c r="E11" s="80"/>
      <c r="F11" s="80"/>
      <c r="G11" s="680"/>
      <c r="H11" s="80"/>
      <c r="I11" s="80"/>
      <c r="J11" s="80"/>
    </row>
    <row r="12" spans="3:12" ht="15.95" customHeight="1" x14ac:dyDescent="0.25">
      <c r="C12" s="303" t="s">
        <v>190</v>
      </c>
      <c r="D12" s="1018" t="str">
        <f>IF(ISBLANK(PR!M16),"Payment of Life Time Arrear (LTA) of Superannuation pension and Gratuity of Late "&amp;IPS!D3&amp;" Ex."&amp;IPS!C4&amp;" vide PPO No."&amp;L5,"Payment of Life Time Arrear (LTA) of Superannuation pension, Commutation and Gratuity of Late "&amp;IPS!D3&amp;" Ex."&amp;IPS!C4&amp;" vide PPO No."&amp;L5)</f>
        <v>Payment of Life Time Arrear (LTA) of Superannuation pension, Commutation and Gratuity of Late  Ex. vide PPO No.</v>
      </c>
      <c r="E12" s="1018"/>
      <c r="F12" s="1018"/>
      <c r="G12" s="1018"/>
      <c r="H12" s="1018"/>
      <c r="I12" s="1018"/>
      <c r="J12" s="78"/>
      <c r="K12" s="88"/>
    </row>
    <row r="13" spans="3:12" ht="15.95" customHeight="1" x14ac:dyDescent="0.25">
      <c r="C13" s="303"/>
      <c r="D13" s="1018"/>
      <c r="E13" s="1018"/>
      <c r="F13" s="1018"/>
      <c r="G13" s="1018"/>
      <c r="H13" s="1018"/>
      <c r="I13" s="1018"/>
      <c r="J13" s="78"/>
      <c r="K13" s="88"/>
    </row>
    <row r="14" spans="3:12" ht="7.5" customHeight="1" x14ac:dyDescent="0.25">
      <c r="C14" s="681"/>
      <c r="D14" s="681"/>
      <c r="E14" s="681"/>
      <c r="F14" s="681"/>
      <c r="G14" s="681"/>
      <c r="H14" s="681"/>
      <c r="I14" s="681"/>
      <c r="J14" s="78"/>
      <c r="K14" s="88"/>
    </row>
    <row r="15" spans="3:12" ht="15.95" customHeight="1" x14ac:dyDescent="0.25">
      <c r="C15" s="681" t="s">
        <v>191</v>
      </c>
      <c r="D15" s="681"/>
      <c r="E15" s="681"/>
      <c r="F15" s="681"/>
      <c r="G15" s="681"/>
      <c r="H15" s="681"/>
      <c r="I15" s="681"/>
      <c r="J15" s="78"/>
      <c r="K15" s="88"/>
    </row>
    <row r="16" spans="3:12" ht="15.95" customHeight="1" x14ac:dyDescent="0.25">
      <c r="C16" s="681"/>
      <c r="D16" s="1018" t="str">
        <f>"Consequent upon the death of Shri "&amp;IPS!D3&amp;" Retd."&amp;IPS!C4&amp;" on "&amp;TEXT(IPS!C11,"dd-mm-yyyy")&amp;" after retiring on "&amp;TEXT(IPS!C10,"dd-mm-yyyy")&amp;" following pensionary benefits are admissible as mentioned below:-"</f>
        <v>Consequent upon the death of Shri  Retd. on 00-01-1900 after retiring on 31-07-2025 following pensionary benefits are admissible as mentioned below:-</v>
      </c>
      <c r="E16" s="1018"/>
      <c r="F16" s="1018"/>
      <c r="G16" s="1018"/>
      <c r="H16" s="1018"/>
      <c r="I16" s="1018"/>
      <c r="J16" s="78"/>
      <c r="K16" s="88"/>
    </row>
    <row r="17" spans="3:19" ht="15.95" customHeight="1" x14ac:dyDescent="0.25">
      <c r="C17" s="681"/>
      <c r="D17" s="1018"/>
      <c r="E17" s="1018"/>
      <c r="F17" s="1018"/>
      <c r="G17" s="1018"/>
      <c r="H17" s="1018"/>
      <c r="I17" s="1018"/>
      <c r="J17" s="78"/>
      <c r="K17" s="88"/>
    </row>
    <row r="18" spans="3:19" ht="15.95" customHeight="1" x14ac:dyDescent="0.25">
      <c r="C18" s="681"/>
      <c r="D18" s="1018"/>
      <c r="E18" s="1018"/>
      <c r="F18" s="1018"/>
      <c r="G18" s="1018"/>
      <c r="H18" s="1018"/>
      <c r="I18" s="1018"/>
      <c r="J18" s="78"/>
      <c r="K18" s="88"/>
    </row>
    <row r="19" spans="3:19" ht="15.95" customHeight="1" thickBot="1" x14ac:dyDescent="0.3">
      <c r="C19" s="95" t="str">
        <f>IF(ISBLANK(PR!M16),"Details of LTA of Superannuation Pension:-","Details of LTA of Superannuation Pension &amp; Commutation:-")</f>
        <v>Details of LTA of Superannuation Pension &amp; Commutation:-</v>
      </c>
      <c r="D19" s="95"/>
      <c r="E19" s="95"/>
      <c r="F19" s="80"/>
      <c r="G19" s="80"/>
      <c r="H19" s="78"/>
      <c r="I19" s="78"/>
      <c r="J19" s="78"/>
    </row>
    <row r="20" spans="3:19" ht="15.95" customHeight="1" x14ac:dyDescent="0.25">
      <c r="C20" s="80" t="str">
        <f>"1) LTA of Sup. Pension :- "&amp;TEXT(L20,"₹#,##0;")&amp;"/- per month from "&amp;TEXT(IPS!C10+1,"dd-mm-yyyy")&amp;", to "&amp;TEXT(IPS!C11,"dd-mm-yyyy")&amp;"."</f>
        <v>1) LTA of Sup. Pension :- ₹17,700/- per month from 01-08-2025, to 00-01-1900.</v>
      </c>
      <c r="D20" s="78"/>
      <c r="E20" s="78"/>
      <c r="F20" s="297"/>
      <c r="G20" s="303"/>
      <c r="H20" s="303"/>
      <c r="I20" s="303"/>
      <c r="J20" s="103"/>
      <c r="K20" s="107" t="s">
        <v>28</v>
      </c>
      <c r="L20" s="108">
        <f>IPS!J102</f>
        <v>17700</v>
      </c>
      <c r="M20" s="1003" t="str">
        <f>"(Rupees "&amp;CHOOSE(MID(TEXT(L20,"00000000.00"),2,1)+1,,,"twenty ","thirty ","forty ","fifty ","sixty ","seventy ","eighty ","ninety ")&amp;IF(--MID(TEXT(L20,"00000000.00"),2,1)&lt;&gt;1,CHOOSE(MID(TEXT(L20,"00000000.00"),3,1)+1,,"one","two","three","four","five","six","seven","eight","nine"),CHOOSE(MID(TEXT(L20,"00000000.00"),3,1)+1,"ten","eleven","twelve","thirteen","fourteen","fifteen","sixteen","seventeen","eighteen","nineteen"))&amp;IF((--LEFT(TEXT(L20,"00000000.00"))+MID(TEXT(L20,"00000000.00"),2,1)+MID(TEXT(L20,"00000000.00"),3,1))=0,,IF(AND((--MID(TEXT(L20,"00000000.00"),4,1)+MID(TEXT(L20,"00000000.00"),5,1)+MID(TEXT(L20,"00000000.00"),6,1)+MID(TEXT(L20,"00000000.00"),7,1))=0,(--MID(TEXT(L20,"00000000.00"),8,1)+RIGHT(TEXT(L20,"00000000.00")))&gt;0)," lakhs and "," lakh"))&amp;CHOOSE(MID(TEXT(L20,"000000000.00"),5,1)+1,,," twenty"," thirty"," forty"," fifty"," sixty"," seventy"," eighty"," ninety")&amp;IF(--MID(TEXT(L20,"000000000.00"),5,1)&lt;&gt;1,CHOOSE(MID(TEXT(L20,"000000000.00"),6,1)+1,," one"," two"," three"," four"," five"," six"," seven"," eight"," nine"),CHOOSE(MID(TEXT(L20,"000000000.00"),6,1)+1," ten"," eleven"," twelve"," thirteen"," fourteen"," fifteen"," sixteen"," seventeen"," eighteen"," nineteen"))&amp;IF((--MID(TEXT(L20,"000000000.00"),4,1)+MID(TEXT(L20,"000000000.00"),5,1)+MID(TEXT(L20,"000000000.00"),6,1))=0,,IF(OR((--MID(TEXT(L20,"000000000.00"),7,1)+MID(TEXT(L20,"000000000.00"),8,1)+MID(TEXT(L20,"000000000.00"),9,1))=0,--MID(TEXT(L20,"000000000.00"),7,1)&lt;&gt;0)," thousand "," thousand and "))&amp;CHOOSE(MID(TEXT(L20,"000000000.00"),7,1)+1,," one"," two"," Three"," four"," five"," six"," seven"," eight"," nine")&amp;IF(--MID(TEXT(L20,"000000000.00"),7,1)=0,,IF(AND(--MID(TEXT(L20,"000000000.00"),8,1)=0,--MID(TEXT(L20,"000000000.00"),9,1)=0)," hundred"," hundred and "))&amp;CHOOSE(MID(TEXT(L20,"000000000.00"),8,1)+1,,,"twenty ","thirty ","forty ","fifty ","sixty ","seventy ","eighty ","ninety ")&amp;IF(--MID(TEXT(L20,"000000000.00"),8,1)&lt;&gt;1,CHOOSE(MID(TEXT(L20,"000000000.00"),9,1)+1,," one"," two"," three"," four"," five"," six"," seven"," eight"," nine"),CHOOSE(MID(TEXT(L20,"000000000.00"),9,1)+1,"ten","eleven","twelve","thirteen","fourteen","fifteen","sixteen","seventeen","eighteen","nineteen"))&amp;" only)"</f>
        <v>(Rupees  seventeen thousand  seven hundred only)</v>
      </c>
      <c r="N20" s="1003"/>
      <c r="O20" s="1003"/>
      <c r="P20" s="1003"/>
      <c r="Q20" s="1003"/>
      <c r="R20" s="1003"/>
      <c r="S20" s="1004"/>
    </row>
    <row r="21" spans="3:19" ht="15.95" customHeight="1" x14ac:dyDescent="0.25">
      <c r="C21" s="80" t="str">
        <f>IF(ISBLANK(PR!M16),"","2) Commutation :- "&amp;TEXT(L21,"₹#,##0;")&amp;"/- "&amp;M21&amp;".")</f>
        <v>2) Commutation :- ₹6,96,163/- (Rupees six lakh ninety six thousand one hundred and sixty three only).</v>
      </c>
      <c r="D21" s="78"/>
      <c r="E21" s="78"/>
      <c r="F21" s="296"/>
      <c r="G21" s="80"/>
      <c r="H21" s="80"/>
      <c r="I21" s="80"/>
      <c r="J21" s="78"/>
      <c r="K21" s="109" t="s">
        <v>158</v>
      </c>
      <c r="L21" s="106">
        <f>PR!M25</f>
        <v>696163</v>
      </c>
      <c r="M21" s="1005" t="str">
        <f>"(Rupees "&amp;CHOOSE(MID(TEXT(L21,"00000000.00"),2,1)+1,,,"twenty ","thirty ","forty ","fifty ","sixty ","seventy ","eighty ","ninety ")&amp;IF(--MID(TEXT(L21,"00000000.00"),2,1)&lt;&gt;1,CHOOSE(MID(TEXT(L21,"00000000.00"),3,1)+1,,"one","two","three","four","five","six","seven","eight","nine"),CHOOSE(MID(TEXT(L21,"00000000.00"),3,1)+1,"ten","eleven","twelve","thirteen","fourteen","fifteen","sixteen","seventeen","eighteen","nineteen"))&amp;IF((--LEFT(TEXT(L21,"00000000.00"))+MID(TEXT(L21,"00000000.00"),2,1)+MID(TEXT(L21,"00000000.00"),3,1))=0,,IF(AND((--MID(TEXT(L21,"00000000.00"),4,1)+MID(TEXT(L21,"00000000.00"),5,1)+MID(TEXT(L21,"00000000.00"),6,1)+MID(TEXT(L21,"00000000.00"),7,1))=0,(--MID(TEXT(L21,"00000000.00"),8,1)+RIGHT(TEXT(L21,"00000000.00")))&gt;0)," lakhs and "," lakh"))&amp;CHOOSE(MID(TEXT(L21,"000000000.00"),5,1)+1,,," twenty"," thirty"," forty"," fifty"," sixty"," seventy"," eighty"," ninety")&amp;IF(--MID(TEXT(L21,"000000000.00"),5,1)&lt;&gt;1,CHOOSE(MID(TEXT(L21,"000000000.00"),6,1)+1,," one"," two"," three"," four"," five"," six"," seven"," eight"," nine"),CHOOSE(MID(TEXT(L21,"000000000.00"),6,1)+1," ten"," eleven"," twelve"," thirteen"," fourteen"," fifteen"," sixteen"," seventeen"," eighteen"," nineteen"))&amp;IF((--MID(TEXT(L21,"000000000.00"),4,1)+MID(TEXT(L21,"000000000.00"),5,1)+MID(TEXT(L21,"000000000.00"),6,1))=0,,IF(OR((--MID(TEXT(L21,"000000000.00"),7,1)+MID(TEXT(L21,"000000000.00"),8,1)+MID(TEXT(L21,"000000000.00"),9,1))=0,--MID(TEXT(L21,"000000000.00"),7,1)&lt;&gt;0)," thousand"," thousand and "))&amp;CHOOSE(MID(TEXT(L21,"000000000.00"),7,1)+1,," one"," two"," Three"," four"," five"," six"," seven"," eight"," nine")&amp;IF(--MID(TEXT(L21,"000000000.00"),7,1)=0,,IF(AND(--MID(TEXT(L21,"000000000.00"),8,1)=0,--MID(TEXT(L21,"000000000.00"),9,1)=0)," hundred"," hundred and "))&amp;CHOOSE(MID(TEXT(L21,"000000000.00"),8,1)+1,,,"twenty","thirty","forty","fifty","sixty","seventy","eighty","ninety")&amp;IF(--MID(TEXT(L21,"000000000.00"),8,1)&lt;&gt;1,CHOOSE(MID(TEXT(L21,"000000000.00"),9,1)+1,," one"," two"," three"," four"," five"," six"," seven"," eight"," nine"),CHOOSE(MID(TEXT(L21,"000000000.00"),9,1)+1,"ten","eleven","twelve","thirteen","fourteen","fifteen","sixteen","seventeen","eighteen","nineteen"))&amp;" only)"</f>
        <v>(Rupees six lakh ninety six thousand one hundred and sixty three only)</v>
      </c>
      <c r="N21" s="1005"/>
      <c r="O21" s="1005"/>
      <c r="P21" s="1005"/>
      <c r="Q21" s="1005"/>
      <c r="R21" s="1005"/>
      <c r="S21" s="1006"/>
    </row>
    <row r="22" spans="3:19" ht="15.95" customHeight="1" thickBot="1" x14ac:dyDescent="0.3">
      <c r="C22" s="1007" t="s">
        <v>192</v>
      </c>
      <c r="D22" s="1007"/>
      <c r="E22" s="1007"/>
      <c r="F22" s="1007"/>
      <c r="G22" s="1007"/>
      <c r="H22" s="1007"/>
      <c r="I22" s="1007"/>
      <c r="J22" s="78"/>
      <c r="K22" s="298" t="s">
        <v>193</v>
      </c>
      <c r="L22" s="299">
        <f>IPS!J107-IPS!J109</f>
        <v>146025</v>
      </c>
      <c r="M22" s="1008" t="str">
        <f>"(Rupees "&amp;CHOOSE(MID(TEXT(L22,"00000000.00"),2,1)+1,,,"twenty ","thirty ","forty ","fifty ","sixty ","seventy ","eighty ","ninety ")&amp;IF(--MID(TEXT(L22,"00000000.00"),2,1)&lt;&gt;1,CHOOSE(MID(TEXT(L22,"00000000.00"),3,1)+1,,"one","two","three","four","five","six","seven","eight","nine"),CHOOSE(MID(TEXT(L22,"00000000.00"),3,1)+1,"ten","eleven","twelve","thirteen","fourteen","fifteen","sixteen","seventeen","eighteen","nineteen"))&amp;IF((--LEFT(TEXT(L22,"00000000.00"))+MID(TEXT(L22,"00000000.00"),2,1)+MID(TEXT(L22,"00000000.00"),3,1))=0,,IF(AND((--MID(TEXT(L22,"00000000.00"),4,1)+MID(TEXT(L22,"00000000.00"),5,1)+MID(TEXT(L22,"00000000.00"),6,1)+MID(TEXT(L22,"00000000.00"),7,1))=0,(--MID(TEXT(L22,"00000000.00"),8,1)+RIGHT(TEXT(L22,"00000000.00")))&gt;0)," lakhs and "," lakh"))&amp;CHOOSE(MID(TEXT(L22,"000000000.00"),5,1)+1,,," twenty"," thirty"," forty"," fifty"," sixty"," seventy"," eighty"," ninety")&amp;IF(--MID(TEXT(L22,"000000000.00"),5,1)&lt;&gt;1,CHOOSE(MID(TEXT(L22,"000000000.00"),6,1)+1,," one"," two"," three"," four"," five"," six"," seven"," eight"," nine"),CHOOSE(MID(TEXT(L22,"000000000.00"),6,1)+1," ten"," eleven"," twelve"," thirteen"," fourteen"," fifteen"," sixteen"," seventeen"," eighteen"," nineteen"))&amp;IF((--MID(TEXT(L22,"000000000.00"),4,1)+MID(TEXT(L22,"000000000.00"),5,1)+MID(TEXT(L22,"000000000.00"),6,1))=0,,IF(OR((--MID(TEXT(L22,"000000000.00"),7,1)+MID(TEXT(L22,"000000000.00"),8,1)+MID(TEXT(L22,"000000000.00"),9,1))=0,--MID(TEXT(L22,"000000000.00"),7,1)&lt;&gt;0)," thousand"," thousand and "))&amp;CHOOSE(MID(TEXT(L22,"000000000.00"),7,1)+1,," one"," two"," Three"," four"," five"," six"," seven"," eight"," nine")&amp;IF(--MID(TEXT(L22,"000000000.00"),7,1)=0,,IF(AND(--MID(TEXT(L22,"000000000.00"),8,1)=0,--MID(TEXT(L22,"000000000.00"),9,1)=0)," hundred"," hundred and "))&amp;CHOOSE(MID(TEXT(L22,"000000000.00"),8,1)+1,,,"twenty ","thirty ","forty ","fifty ","sixty ","seventy ","eighty ","ninety ")&amp;IF(--MID(TEXT(L22,"000000000.00"),8,1)&lt;&gt;1,CHOOSE(MID(TEXT(L22,"000000000.00"),9,1)+1,," one"," two"," three"," four"," five"," six"," seven"," eight"," nine"),CHOOSE(MID(TEXT(L22,"000000000.00"),9,1)+1,"ten","eleven","twelve","thirteen","fourteen","fifteen","sixteen","seventeen","eighteen","nineteen"))&amp;" only)"</f>
        <v>(Rupees one lakh forty six thousand and twenty  five only)</v>
      </c>
      <c r="N22" s="1008"/>
      <c r="O22" s="1008"/>
      <c r="P22" s="1008"/>
      <c r="Q22" s="1008"/>
      <c r="R22" s="1008"/>
      <c r="S22" s="1009"/>
    </row>
    <row r="23" spans="3:19" ht="7.5" customHeight="1" x14ac:dyDescent="0.25">
      <c r="C23" s="691"/>
      <c r="D23" s="691"/>
      <c r="E23" s="691"/>
      <c r="F23" s="691"/>
      <c r="G23" s="691"/>
      <c r="H23" s="691"/>
      <c r="I23" s="691"/>
      <c r="J23" s="78"/>
      <c r="K23" s="88"/>
      <c r="L23" s="300"/>
      <c r="M23" s="136"/>
      <c r="N23" s="136"/>
      <c r="O23" s="136"/>
      <c r="P23" s="136"/>
      <c r="Q23" s="136"/>
      <c r="R23" s="136"/>
      <c r="S23" s="136"/>
    </row>
    <row r="24" spans="3:19" ht="15.95" customHeight="1" x14ac:dyDescent="0.25">
      <c r="C24" s="95" t="str">
        <f>IF(ISBLANK(PR!M16),"Details of family members eligible for LTA of Superannuation Pension :-","Details of family members eligible for LTA of Superannuation Pension &amp; Commutation :-")</f>
        <v>Details of family members eligible for LTA of Superannuation Pension &amp; Commutation :-</v>
      </c>
      <c r="D24" s="95"/>
      <c r="E24" s="95"/>
      <c r="F24" s="95"/>
      <c r="G24" s="95"/>
      <c r="H24" s="95"/>
      <c r="I24" s="95"/>
      <c r="J24" s="78"/>
    </row>
    <row r="25" spans="3:19" ht="7.5" customHeight="1" x14ac:dyDescent="0.25">
      <c r="C25" s="301"/>
      <c r="D25" s="301"/>
      <c r="E25" s="301"/>
      <c r="F25" s="301"/>
      <c r="G25" s="301"/>
      <c r="H25" s="301"/>
      <c r="I25" s="95"/>
      <c r="J25" s="78"/>
    </row>
    <row r="26" spans="3:19" ht="15.95" customHeight="1" x14ac:dyDescent="0.25">
      <c r="C26" s="86" t="s">
        <v>194</v>
      </c>
      <c r="D26" s="1010" t="s">
        <v>195</v>
      </c>
      <c r="E26" s="1011"/>
      <c r="F26" s="1012"/>
      <c r="G26" s="86" t="s">
        <v>23</v>
      </c>
      <c r="H26" s="86" t="s">
        <v>196</v>
      </c>
      <c r="I26" s="1013" t="s">
        <v>197</v>
      </c>
      <c r="J26" s="78"/>
      <c r="K26" s="88"/>
      <c r="L26" s="300"/>
      <c r="M26" s="136"/>
      <c r="N26" s="136"/>
      <c r="O26" s="136"/>
      <c r="P26" s="136"/>
      <c r="Q26" s="136"/>
      <c r="R26" s="136"/>
      <c r="S26" s="136"/>
    </row>
    <row r="27" spans="3:19" ht="15.95" customHeight="1" x14ac:dyDescent="0.25">
      <c r="C27" s="86">
        <v>1</v>
      </c>
      <c r="D27" s="1016" t="str">
        <f>PR!C16&amp;PR!D16</f>
        <v/>
      </c>
      <c r="E27" s="997"/>
      <c r="F27" s="1017"/>
      <c r="G27" s="87">
        <f>PR!G16</f>
        <v>0</v>
      </c>
      <c r="H27" s="86" t="str">
        <f>PR!H16</f>
        <v/>
      </c>
      <c r="I27" s="1014"/>
      <c r="J27" s="78"/>
      <c r="K27" s="88"/>
      <c r="L27" s="300"/>
      <c r="M27" s="136"/>
      <c r="N27" s="136"/>
      <c r="O27" s="136"/>
      <c r="P27" s="136"/>
      <c r="Q27" s="136"/>
      <c r="R27" s="136"/>
      <c r="S27" s="136"/>
    </row>
    <row r="28" spans="3:19" ht="15.95" customHeight="1" x14ac:dyDescent="0.25">
      <c r="C28" s="86">
        <v>2</v>
      </c>
      <c r="D28" s="1016" t="str">
        <f>PR!C17&amp;PR!D17</f>
        <v/>
      </c>
      <c r="E28" s="997"/>
      <c r="F28" s="1017"/>
      <c r="G28" s="87">
        <f>PR!G17</f>
        <v>0</v>
      </c>
      <c r="H28" s="86" t="str">
        <f>PR!H17</f>
        <v/>
      </c>
      <c r="I28" s="1014"/>
      <c r="J28" s="78"/>
      <c r="K28" s="88"/>
      <c r="L28" s="300"/>
      <c r="M28" s="136"/>
      <c r="N28" s="136"/>
      <c r="O28" s="136"/>
      <c r="P28" s="136"/>
      <c r="Q28" s="136"/>
      <c r="R28" s="136"/>
      <c r="S28" s="136"/>
    </row>
    <row r="29" spans="3:19" ht="15.95" customHeight="1" x14ac:dyDescent="0.25">
      <c r="C29" s="86">
        <v>3</v>
      </c>
      <c r="D29" s="1016" t="str">
        <f>PR!C18&amp;PR!D18</f>
        <v/>
      </c>
      <c r="E29" s="997"/>
      <c r="F29" s="1017"/>
      <c r="G29" s="87">
        <f>PR!G18</f>
        <v>0</v>
      </c>
      <c r="H29" s="86" t="str">
        <f>PR!H18</f>
        <v/>
      </c>
      <c r="I29" s="1015"/>
      <c r="J29" s="78"/>
      <c r="K29" s="88"/>
      <c r="L29" s="300"/>
      <c r="M29" s="136"/>
      <c r="N29" s="136"/>
      <c r="O29" s="136"/>
      <c r="P29" s="136"/>
      <c r="Q29" s="136"/>
      <c r="R29" s="136"/>
      <c r="S29" s="136"/>
    </row>
    <row r="30" spans="3:19" ht="7.5" customHeight="1" x14ac:dyDescent="0.25">
      <c r="C30" s="688"/>
      <c r="D30" s="680"/>
      <c r="E30" s="680"/>
      <c r="F30" s="680"/>
      <c r="G30" s="424"/>
      <c r="H30" s="688"/>
      <c r="I30" s="683"/>
      <c r="J30" s="78"/>
      <c r="K30" s="88"/>
      <c r="L30" s="300"/>
      <c r="M30" s="136"/>
      <c r="N30" s="136"/>
      <c r="O30" s="136"/>
      <c r="P30" s="136"/>
      <c r="Q30" s="136"/>
      <c r="R30" s="136"/>
      <c r="S30" s="136"/>
    </row>
    <row r="31" spans="3:19" ht="15.95" customHeight="1" x14ac:dyDescent="0.25">
      <c r="C31" s="95" t="s">
        <v>198</v>
      </c>
      <c r="D31" s="78"/>
      <c r="E31" s="78"/>
      <c r="F31" s="78"/>
      <c r="G31" s="103"/>
      <c r="H31" s="103"/>
      <c r="I31" s="103"/>
      <c r="J31" s="78"/>
      <c r="M31" s="93"/>
      <c r="N31" s="93"/>
      <c r="O31" s="93"/>
      <c r="P31" s="93"/>
      <c r="Q31" s="93"/>
      <c r="R31" s="93"/>
    </row>
    <row r="32" spans="3:19" ht="15.95" customHeight="1" x14ac:dyDescent="0.25">
      <c r="C32" s="80" t="str">
        <f>"1) D.C.R.G. :- "&amp;TEXT(L22,"₹#,##0;")&amp;"/- "&amp;M22&amp;"."</f>
        <v>1) D.C.R.G. :- ₹1,46,025/- (Rupees one lakh forty six thousand and twenty  five only).</v>
      </c>
      <c r="D32" s="78"/>
      <c r="E32" s="103"/>
      <c r="F32" s="296"/>
      <c r="G32" s="296"/>
      <c r="H32" s="296"/>
      <c r="I32" s="296"/>
      <c r="J32" s="78"/>
      <c r="M32" s="93"/>
      <c r="N32" s="93"/>
      <c r="O32" s="93"/>
      <c r="P32" s="93"/>
      <c r="Q32" s="93"/>
      <c r="R32" s="93"/>
    </row>
    <row r="33" spans="3:18" ht="15.95" customHeight="1" x14ac:dyDescent="0.25">
      <c r="C33" s="1007" t="str">
        <f>IF(K38=TRUE,"As per Sub-Rule (1)(a) of Rule 51 of CCS (Pension) Rules 1972","As per Sub-Rule (1)(b)(i) of Rule 51 &amp; Sub-Rule (6) of Rule 50 of CCS (Pension) Rules 1972")</f>
        <v>As per Sub-Rule (1)(a) of Rule 51 of CCS (Pension) Rules 1972</v>
      </c>
      <c r="D33" s="1007"/>
      <c r="E33" s="1007"/>
      <c r="F33" s="1007"/>
      <c r="G33" s="1007"/>
      <c r="H33" s="1007"/>
      <c r="I33" s="1007"/>
      <c r="J33" s="78"/>
      <c r="M33" s="93"/>
      <c r="N33" s="93"/>
      <c r="O33" s="93"/>
      <c r="P33" s="93"/>
      <c r="Q33" s="93"/>
      <c r="R33" s="93"/>
    </row>
    <row r="34" spans="3:18" ht="7.5" customHeight="1" x14ac:dyDescent="0.25">
      <c r="C34" s="691"/>
      <c r="D34" s="691"/>
      <c r="E34" s="691"/>
      <c r="F34" s="691"/>
      <c r="G34" s="691"/>
      <c r="H34" s="691"/>
      <c r="I34" s="691"/>
      <c r="J34" s="78"/>
      <c r="M34" s="93"/>
      <c r="N34" s="93"/>
      <c r="O34" s="93"/>
      <c r="P34" s="93"/>
      <c r="Q34" s="93"/>
      <c r="R34" s="93"/>
    </row>
    <row r="35" spans="3:18" ht="15.95" customHeight="1" x14ac:dyDescent="0.25">
      <c r="C35" s="95" t="s">
        <v>199</v>
      </c>
      <c r="D35" s="95"/>
      <c r="E35" s="95"/>
      <c r="F35" s="95"/>
      <c r="G35" s="95"/>
      <c r="H35" s="95"/>
      <c r="I35" s="95"/>
      <c r="J35" s="78"/>
      <c r="M35" s="93"/>
      <c r="N35" s="93"/>
      <c r="O35" s="93"/>
      <c r="P35" s="93"/>
      <c r="Q35" s="93"/>
      <c r="R35" s="93"/>
    </row>
    <row r="36" spans="3:18" ht="7.5" customHeight="1" thickBot="1" x14ac:dyDescent="0.3">
      <c r="C36" s="301"/>
      <c r="D36" s="301"/>
      <c r="E36" s="301"/>
      <c r="F36" s="301"/>
      <c r="G36" s="301"/>
      <c r="H36" s="301"/>
      <c r="I36" s="95"/>
      <c r="J36" s="78"/>
      <c r="M36" s="93"/>
      <c r="N36" s="93"/>
      <c r="O36" s="93"/>
      <c r="P36" s="93"/>
      <c r="Q36" s="93"/>
      <c r="R36" s="93"/>
    </row>
    <row r="37" spans="3:18" ht="15.95" customHeight="1" thickBot="1" x14ac:dyDescent="0.3">
      <c r="C37" s="86" t="s">
        <v>194</v>
      </c>
      <c r="D37" s="1010" t="str">
        <f>D26</f>
        <v>Name of family members</v>
      </c>
      <c r="E37" s="1011"/>
      <c r="F37" s="1012"/>
      <c r="G37" s="86" t="str">
        <f>G26</f>
        <v>Date of Birth</v>
      </c>
      <c r="H37" s="86" t="str">
        <f>H26</f>
        <v>Relationship</v>
      </c>
      <c r="I37" s="692" t="s">
        <v>200</v>
      </c>
      <c r="J37" s="78"/>
      <c r="K37" s="110" t="s">
        <v>201</v>
      </c>
      <c r="M37" s="93"/>
      <c r="N37" s="93"/>
      <c r="O37" s="93"/>
      <c r="P37" s="93"/>
      <c r="Q37" s="93"/>
      <c r="R37" s="93"/>
    </row>
    <row r="38" spans="3:18" ht="15.95" customHeight="1" x14ac:dyDescent="0.25">
      <c r="C38" s="86">
        <v>1</v>
      </c>
      <c r="D38" s="1016" t="str">
        <f>PR!C16&amp;PR!D16</f>
        <v/>
      </c>
      <c r="E38" s="997"/>
      <c r="F38" s="1017"/>
      <c r="G38" s="87">
        <f>PR!G16</f>
        <v>0</v>
      </c>
      <c r="H38" s="86" t="str">
        <f>PR!H16</f>
        <v/>
      </c>
      <c r="I38" s="333">
        <v>1</v>
      </c>
      <c r="J38" s="78"/>
      <c r="K38" s="111" t="b">
        <v>1</v>
      </c>
      <c r="M38" s="93"/>
      <c r="N38" s="93"/>
      <c r="O38" s="93"/>
      <c r="P38" s="93"/>
      <c r="Q38" s="93"/>
      <c r="R38" s="93"/>
    </row>
    <row r="39" spans="3:18" ht="15.95" customHeight="1" x14ac:dyDescent="0.25">
      <c r="C39" s="86">
        <v>2</v>
      </c>
      <c r="D39" s="1016" t="str">
        <f>PR!C17&amp;PR!D17</f>
        <v/>
      </c>
      <c r="E39" s="997"/>
      <c r="F39" s="1017"/>
      <c r="G39" s="87">
        <f>PR!G17</f>
        <v>0</v>
      </c>
      <c r="H39" s="86" t="str">
        <f>PR!H17</f>
        <v/>
      </c>
      <c r="I39" s="333"/>
      <c r="J39" s="78"/>
      <c r="K39" s="112" t="b">
        <v>0</v>
      </c>
      <c r="M39" s="93"/>
      <c r="N39" s="93"/>
      <c r="O39" s="93"/>
      <c r="P39" s="93"/>
      <c r="Q39" s="93"/>
      <c r="R39" s="93"/>
    </row>
    <row r="40" spans="3:18" ht="15.95" customHeight="1" thickBot="1" x14ac:dyDescent="0.3">
      <c r="C40" s="86">
        <v>3</v>
      </c>
      <c r="D40" s="1016" t="str">
        <f>PR!C18&amp;PR!D18</f>
        <v/>
      </c>
      <c r="E40" s="997"/>
      <c r="F40" s="1017"/>
      <c r="G40" s="87">
        <f>PR!G18</f>
        <v>0</v>
      </c>
      <c r="H40" s="86" t="str">
        <f>PR!H18</f>
        <v/>
      </c>
      <c r="I40" s="333"/>
      <c r="J40" s="78"/>
      <c r="K40" s="113" t="b">
        <v>0</v>
      </c>
    </row>
    <row r="41" spans="3:18" ht="15.95" customHeight="1" x14ac:dyDescent="0.25">
      <c r="C41" s="80"/>
      <c r="D41" s="680"/>
      <c r="E41" s="680"/>
      <c r="F41" s="680"/>
      <c r="G41" s="680"/>
      <c r="H41" s="424"/>
      <c r="I41" s="688"/>
      <c r="J41" s="78"/>
    </row>
    <row r="42" spans="3:18" ht="15.95" customHeight="1" x14ac:dyDescent="0.25">
      <c r="C42" s="1019" t="s">
        <v>202</v>
      </c>
      <c r="D42" s="1019"/>
      <c r="E42" s="1019"/>
      <c r="F42" s="680"/>
      <c r="G42" s="680"/>
      <c r="H42" s="424"/>
      <c r="I42" s="688"/>
      <c r="J42" s="78"/>
    </row>
    <row r="43" spans="3:18" ht="15.95" customHeight="1" x14ac:dyDescent="0.25">
      <c r="C43" s="694"/>
      <c r="D43" s="694"/>
      <c r="E43" s="694"/>
      <c r="F43" s="680"/>
      <c r="G43" s="680"/>
      <c r="H43" s="424"/>
      <c r="I43" s="688"/>
      <c r="J43" s="78"/>
    </row>
    <row r="44" spans="3:18" ht="15.95" customHeight="1" x14ac:dyDescent="0.25">
      <c r="C44" s="694"/>
      <c r="D44" s="694"/>
      <c r="E44" s="694"/>
      <c r="F44" s="680"/>
      <c r="G44" s="680"/>
      <c r="H44" s="424"/>
      <c r="I44" s="688"/>
      <c r="J44" s="78"/>
    </row>
    <row r="45" spans="3:18" ht="15.95" customHeight="1" x14ac:dyDescent="0.25">
      <c r="C45" s="80"/>
      <c r="D45" s="80"/>
      <c r="E45" s="80"/>
      <c r="F45" s="80"/>
      <c r="G45" s="80"/>
      <c r="H45" s="993" t="s">
        <v>203</v>
      </c>
      <c r="I45" s="993"/>
      <c r="J45" s="78"/>
    </row>
    <row r="46" spans="3:18" ht="15.95" customHeight="1" x14ac:dyDescent="0.25">
      <c r="C46" s="80"/>
      <c r="D46" s="80"/>
      <c r="E46" s="80"/>
      <c r="F46" s="80"/>
      <c r="G46" s="80"/>
      <c r="H46" s="688"/>
      <c r="I46" s="688" t="s">
        <v>169</v>
      </c>
      <c r="J46" s="78"/>
    </row>
    <row r="47" spans="3:18" ht="15.95" customHeight="1" x14ac:dyDescent="0.25">
      <c r="C47" s="80"/>
      <c r="D47" s="80"/>
      <c r="E47" s="80"/>
      <c r="F47" s="80"/>
      <c r="G47" s="80"/>
      <c r="H47" s="78"/>
      <c r="J47" s="78"/>
    </row>
    <row r="48" spans="3:18" ht="15.95" customHeight="1" x14ac:dyDescent="0.25">
      <c r="C48" s="80"/>
      <c r="D48" s="80"/>
      <c r="E48" s="80"/>
      <c r="F48" s="80"/>
      <c r="G48" s="80"/>
      <c r="H48" s="78"/>
      <c r="J48" s="78"/>
    </row>
    <row r="49" spans="3:10" ht="15.95" customHeight="1" x14ac:dyDescent="0.25">
      <c r="C49" s="80"/>
      <c r="D49" s="80"/>
      <c r="E49" s="80"/>
      <c r="F49" s="688" t="str">
        <f>"-2 -"</f>
        <v>-2 -</v>
      </c>
      <c r="G49" s="80"/>
      <c r="H49" s="688"/>
      <c r="I49" s="688"/>
      <c r="J49" s="78"/>
    </row>
    <row r="50" spans="3:10" ht="15.95" customHeight="1" x14ac:dyDescent="0.25">
      <c r="C50" s="80"/>
      <c r="D50" s="80"/>
      <c r="E50" s="80"/>
      <c r="F50" s="80"/>
      <c r="G50" s="80"/>
      <c r="H50" s="688"/>
      <c r="I50" s="688"/>
      <c r="J50" s="78"/>
    </row>
    <row r="51" spans="3:10" ht="20.100000000000001" customHeight="1" x14ac:dyDescent="0.25">
      <c r="C51" s="978" t="str">
        <f ca="1">C5</f>
        <v>No.Pen-2/Sup/GK//2026-27</v>
      </c>
      <c r="D51" s="978"/>
      <c r="E51" s="978"/>
      <c r="F51" s="80"/>
      <c r="G51" s="80"/>
      <c r="H51" s="80" t="str">
        <f ca="1">H5</f>
        <v>Date-17/08/2026</v>
      </c>
      <c r="I51" s="80"/>
      <c r="J51" s="78"/>
    </row>
    <row r="52" spans="3:10" ht="20.100000000000001" customHeight="1" x14ac:dyDescent="0.25">
      <c r="C52" s="80" t="s">
        <v>204</v>
      </c>
      <c r="D52" s="80"/>
      <c r="E52" s="80"/>
      <c r="F52" s="80"/>
      <c r="G52" s="80"/>
      <c r="H52" s="80"/>
      <c r="I52" s="80"/>
      <c r="J52" s="78"/>
    </row>
    <row r="53" spans="3:10" ht="20.100000000000001" customHeight="1" x14ac:dyDescent="0.25">
      <c r="C53" s="104" t="str">
        <f>1&amp;"."</f>
        <v>1.</v>
      </c>
      <c r="D53" s="1018" t="e">
        <f>VLOOKUP(PR!M13,DDO!A2:B1272,2,0)</f>
        <v>#N/A</v>
      </c>
      <c r="E53" s="1018"/>
      <c r="F53" s="1018"/>
      <c r="G53" s="1018"/>
      <c r="H53" s="302"/>
      <c r="I53" s="302"/>
      <c r="J53" s="78"/>
    </row>
    <row r="54" spans="3:10" ht="20.100000000000001" customHeight="1" x14ac:dyDescent="0.25">
      <c r="C54" s="104"/>
      <c r="D54" s="1018"/>
      <c r="E54" s="1018"/>
      <c r="F54" s="1018"/>
      <c r="G54" s="1018"/>
      <c r="H54" s="302"/>
      <c r="I54" s="302"/>
      <c r="J54" s="78"/>
    </row>
    <row r="55" spans="3:10" ht="7.5" customHeight="1" x14ac:dyDescent="0.25">
      <c r="C55" s="119"/>
      <c r="D55" s="693"/>
      <c r="E55" s="693"/>
      <c r="F55" s="693"/>
      <c r="G55" s="693"/>
      <c r="H55" s="695"/>
      <c r="I55" s="695"/>
      <c r="J55" s="78"/>
    </row>
    <row r="56" spans="3:10" ht="20.100000000000001" customHeight="1" x14ac:dyDescent="0.25">
      <c r="C56" s="119" t="str">
        <f>2&amp;"."</f>
        <v>2.</v>
      </c>
      <c r="D56" s="1018" t="str">
        <f>D38&amp;","</f>
        <v>,</v>
      </c>
      <c r="E56" s="1018"/>
      <c r="F56" s="1018"/>
      <c r="G56" s="1018"/>
      <c r="H56" s="1020" t="s">
        <v>205</v>
      </c>
      <c r="I56" s="1020"/>
      <c r="J56" s="78"/>
    </row>
    <row r="57" spans="3:10" ht="20.100000000000001" customHeight="1" x14ac:dyDescent="0.25">
      <c r="C57" s="119"/>
      <c r="D57" s="1018" t="str">
        <f>H38&amp;" of "&amp;PR!F5&amp;","</f>
        <v xml:space="preserve"> of Shri Retd.,</v>
      </c>
      <c r="E57" s="1018"/>
      <c r="F57" s="1018"/>
      <c r="G57" s="1018"/>
      <c r="H57" s="1020"/>
      <c r="I57" s="1020"/>
      <c r="J57" s="78"/>
    </row>
    <row r="58" spans="3:10" ht="20.100000000000001" customHeight="1" x14ac:dyDescent="0.25">
      <c r="C58" s="119"/>
      <c r="D58" s="1018" t="str">
        <f>PR!F9</f>
        <v xml:space="preserve">, </v>
      </c>
      <c r="E58" s="1018"/>
      <c r="F58" s="1018"/>
      <c r="G58" s="1018"/>
      <c r="H58" s="1020"/>
      <c r="I58" s="1020"/>
      <c r="J58" s="78"/>
    </row>
    <row r="59" spans="3:10" ht="20.100000000000001" customHeight="1" x14ac:dyDescent="0.25">
      <c r="C59" s="119"/>
      <c r="D59" s="1018"/>
      <c r="E59" s="1018"/>
      <c r="F59" s="1018"/>
      <c r="G59" s="1018"/>
      <c r="H59" s="1020"/>
      <c r="I59" s="1020"/>
      <c r="J59" s="78"/>
    </row>
    <row r="60" spans="3:10" ht="7.5" customHeight="1" x14ac:dyDescent="0.25">
      <c r="C60" s="119"/>
      <c r="D60" s="693"/>
      <c r="E60" s="693"/>
      <c r="F60" s="693"/>
      <c r="G60" s="693"/>
      <c r="H60" s="695"/>
      <c r="I60" s="695"/>
      <c r="J60" s="78"/>
    </row>
    <row r="61" spans="3:10" ht="20.100000000000001" customHeight="1" x14ac:dyDescent="0.25">
      <c r="C61" s="119" t="str">
        <f>3&amp;"."</f>
        <v>3.</v>
      </c>
      <c r="D61" s="1018" t="str">
        <f>D39&amp;","</f>
        <v>,</v>
      </c>
      <c r="E61" s="1018"/>
      <c r="F61" s="1018"/>
      <c r="G61" s="1018"/>
      <c r="H61" s="1020" t="str">
        <f>H56</f>
        <v>He/She is requested to appear before the Treasury/Sub-Treasury officer for further necessary action.</v>
      </c>
      <c r="I61" s="1020"/>
      <c r="J61" s="78"/>
    </row>
    <row r="62" spans="3:10" ht="20.100000000000001" customHeight="1" x14ac:dyDescent="0.25">
      <c r="C62" s="119"/>
      <c r="D62" s="1018" t="str">
        <f>H39&amp;" of "&amp;PR!F5&amp;","</f>
        <v xml:space="preserve"> of Shri Retd.,</v>
      </c>
      <c r="E62" s="1018"/>
      <c r="F62" s="1018"/>
      <c r="G62" s="1018"/>
      <c r="H62" s="1020"/>
      <c r="I62" s="1020"/>
      <c r="J62" s="78"/>
    </row>
    <row r="63" spans="3:10" ht="20.100000000000001" customHeight="1" x14ac:dyDescent="0.25">
      <c r="C63" s="119"/>
      <c r="D63" s="1018" t="str">
        <f>PR!F9</f>
        <v xml:space="preserve">, </v>
      </c>
      <c r="E63" s="1018"/>
      <c r="F63" s="1018"/>
      <c r="G63" s="1018"/>
      <c r="H63" s="1020"/>
      <c r="I63" s="1020"/>
      <c r="J63" s="78"/>
    </row>
    <row r="64" spans="3:10" ht="20.100000000000001" customHeight="1" x14ac:dyDescent="0.25">
      <c r="C64" s="119"/>
      <c r="D64" s="1018"/>
      <c r="E64" s="1018"/>
      <c r="F64" s="1018"/>
      <c r="G64" s="1018"/>
      <c r="H64" s="1020"/>
      <c r="I64" s="1020"/>
      <c r="J64" s="78"/>
    </row>
    <row r="65" spans="3:12" ht="7.5" customHeight="1" x14ac:dyDescent="0.25">
      <c r="C65" s="119"/>
      <c r="D65" s="693"/>
      <c r="E65" s="693"/>
      <c r="F65" s="693"/>
      <c r="G65" s="693"/>
      <c r="H65" s="695"/>
      <c r="I65" s="695"/>
      <c r="J65" s="78"/>
    </row>
    <row r="66" spans="3:12" ht="20.100000000000001" customHeight="1" x14ac:dyDescent="0.25">
      <c r="C66" s="104" t="str">
        <f>4&amp;"."</f>
        <v>4.</v>
      </c>
      <c r="D66" s="1018" t="str">
        <f>D40&amp;","</f>
        <v>,</v>
      </c>
      <c r="E66" s="1018"/>
      <c r="F66" s="1018"/>
      <c r="G66" s="1018"/>
      <c r="H66" s="1020" t="str">
        <f>H61</f>
        <v>He/She is requested to appear before the Treasury/Sub-Treasury officer for further necessary action.</v>
      </c>
      <c r="I66" s="1020"/>
      <c r="J66" s="78"/>
    </row>
    <row r="67" spans="3:12" ht="20.100000000000001" customHeight="1" x14ac:dyDescent="0.25">
      <c r="C67" s="104"/>
      <c r="D67" s="1018" t="str">
        <f>H40&amp;" of "&amp;PR!F5&amp;","</f>
        <v xml:space="preserve"> of Shri Retd.,</v>
      </c>
      <c r="E67" s="1018"/>
      <c r="F67" s="1018"/>
      <c r="G67" s="1018"/>
      <c r="H67" s="1020"/>
      <c r="I67" s="1020"/>
      <c r="J67" s="78"/>
    </row>
    <row r="68" spans="3:12" ht="20.100000000000001" customHeight="1" x14ac:dyDescent="0.25">
      <c r="C68" s="104"/>
      <c r="D68" s="1018" t="str">
        <f>PR!F9</f>
        <v xml:space="preserve">, </v>
      </c>
      <c r="E68" s="1018"/>
      <c r="F68" s="1018"/>
      <c r="G68" s="1018"/>
      <c r="H68" s="1020"/>
      <c r="I68" s="1020"/>
      <c r="J68" s="78"/>
    </row>
    <row r="69" spans="3:12" ht="20.100000000000001" customHeight="1" x14ac:dyDescent="0.25">
      <c r="C69" s="104"/>
      <c r="D69" s="1018"/>
      <c r="E69" s="1018"/>
      <c r="F69" s="1018"/>
      <c r="G69" s="1018"/>
      <c r="H69" s="1020"/>
      <c r="I69" s="1020"/>
      <c r="J69" s="78"/>
    </row>
    <row r="70" spans="3:12" ht="20.100000000000001" customHeight="1" x14ac:dyDescent="0.25">
      <c r="C70" s="104"/>
      <c r="D70" s="693"/>
      <c r="E70" s="693"/>
      <c r="F70" s="693"/>
      <c r="G70" s="693"/>
      <c r="H70" s="681"/>
      <c r="I70" s="681"/>
      <c r="J70" s="78"/>
    </row>
    <row r="71" spans="3:12" ht="20.100000000000001" customHeight="1" x14ac:dyDescent="0.25">
      <c r="C71" s="104"/>
      <c r="D71" s="693"/>
      <c r="E71" s="693"/>
      <c r="F71" s="693"/>
      <c r="G71" s="693"/>
      <c r="H71" s="681"/>
      <c r="I71" s="681"/>
      <c r="J71" s="78"/>
    </row>
    <row r="72" spans="3:12" ht="20.100000000000001" customHeight="1" x14ac:dyDescent="0.25">
      <c r="C72" s="104"/>
      <c r="D72" s="693"/>
      <c r="E72" s="693"/>
      <c r="F72" s="693"/>
      <c r="G72" s="693"/>
      <c r="H72" s="681"/>
      <c r="I72" s="681"/>
      <c r="J72" s="78"/>
    </row>
    <row r="73" spans="3:12" ht="20.100000000000001" customHeight="1" x14ac:dyDescent="0.25">
      <c r="C73" s="104"/>
      <c r="D73" s="80"/>
      <c r="E73" s="80"/>
      <c r="F73" s="80"/>
      <c r="G73" s="80"/>
      <c r="H73" s="993" t="str">
        <f>LTA!H45</f>
        <v>Sr. Accounts Officer</v>
      </c>
      <c r="I73" s="993"/>
      <c r="J73" s="78"/>
    </row>
    <row r="74" spans="3:12" ht="15.75" x14ac:dyDescent="0.25">
      <c r="C74" s="119"/>
      <c r="D74" s="78"/>
      <c r="E74" s="78"/>
      <c r="F74" s="78"/>
      <c r="G74" s="78"/>
      <c r="H74" s="78"/>
      <c r="I74" s="78"/>
    </row>
    <row r="75" spans="3:12" x14ac:dyDescent="0.25">
      <c r="C75" s="4"/>
    </row>
    <row r="76" spans="3:12" x14ac:dyDescent="0.25">
      <c r="C76" s="4"/>
    </row>
    <row r="77" spans="3:12" x14ac:dyDescent="0.25">
      <c r="C77" s="4"/>
    </row>
    <row r="78" spans="3:12" x14ac:dyDescent="0.25">
      <c r="C78" s="4"/>
      <c r="L78" s="114"/>
    </row>
    <row r="79" spans="3:12" x14ac:dyDescent="0.25">
      <c r="C79" s="4"/>
    </row>
    <row r="80" spans="3:12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</sheetData>
  <mergeCells count="39">
    <mergeCell ref="H73:I73"/>
    <mergeCell ref="D16:I18"/>
    <mergeCell ref="D12:I13"/>
    <mergeCell ref="D61:G61"/>
    <mergeCell ref="H61:I64"/>
    <mergeCell ref="D62:G62"/>
    <mergeCell ref="D63:G64"/>
    <mergeCell ref="D66:G66"/>
    <mergeCell ref="H66:I69"/>
    <mergeCell ref="D67:G67"/>
    <mergeCell ref="D68:G69"/>
    <mergeCell ref="H45:I45"/>
    <mergeCell ref="C51:E51"/>
    <mergeCell ref="D53:G54"/>
    <mergeCell ref="D56:G56"/>
    <mergeCell ref="H56:I59"/>
    <mergeCell ref="D57:G57"/>
    <mergeCell ref="D58:G59"/>
    <mergeCell ref="C33:I33"/>
    <mergeCell ref="D37:F37"/>
    <mergeCell ref="D38:F38"/>
    <mergeCell ref="D39:F39"/>
    <mergeCell ref="D40:F40"/>
    <mergeCell ref="C42:E42"/>
    <mergeCell ref="M20:S20"/>
    <mergeCell ref="M21:S21"/>
    <mergeCell ref="C22:I22"/>
    <mergeCell ref="M22:S22"/>
    <mergeCell ref="D26:F26"/>
    <mergeCell ref="I26:I29"/>
    <mergeCell ref="D27:F27"/>
    <mergeCell ref="D28:F28"/>
    <mergeCell ref="D29:F29"/>
    <mergeCell ref="C5:E5"/>
    <mergeCell ref="C2:C4"/>
    <mergeCell ref="D2:H2"/>
    <mergeCell ref="I2:I4"/>
    <mergeCell ref="D3:H3"/>
    <mergeCell ref="D4:H4"/>
  </mergeCells>
  <pageMargins left="0.4" right="0" top="0.19685039370078741" bottom="0.19685039370078741" header="0.19685039370078741" footer="0.19685039370078741"/>
  <pageSetup orientation="portrait" r:id="rId1"/>
  <headerFooter>
    <oddHeader>&amp;L
                                                                       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Check Box 1">
              <controlPr defaultSize="0" autoFill="0" autoLine="0" autoPict="0">
                <anchor moveWithCells="1">
                  <from>
                    <xdr:col>10</xdr:col>
                    <xdr:colOff>333375</xdr:colOff>
                    <xdr:row>36</xdr:row>
                    <xdr:rowOff>180975</xdr:rowOff>
                  </from>
                  <to>
                    <xdr:col>10</xdr:col>
                    <xdr:colOff>552450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Check Box 2">
              <controlPr defaultSize="0" autoFill="0" autoLine="0" autoPict="0">
                <anchor moveWithCells="1">
                  <from>
                    <xdr:col>10</xdr:col>
                    <xdr:colOff>333375</xdr:colOff>
                    <xdr:row>37</xdr:row>
                    <xdr:rowOff>190500</xdr:rowOff>
                  </from>
                  <to>
                    <xdr:col>10</xdr:col>
                    <xdr:colOff>552450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Check Box 3">
              <controlPr defaultSize="0" autoFill="0" autoLine="0" autoPict="0">
                <anchor moveWithCells="1">
                  <from>
                    <xdr:col>10</xdr:col>
                    <xdr:colOff>333375</xdr:colOff>
                    <xdr:row>38</xdr:row>
                    <xdr:rowOff>180975</xdr:rowOff>
                  </from>
                  <to>
                    <xdr:col>10</xdr:col>
                    <xdr:colOff>552450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7" tint="0.39997558519241921"/>
  </sheetPr>
  <dimension ref="H1:Y67"/>
  <sheetViews>
    <sheetView workbookViewId="0">
      <selection activeCell="E14" sqref="E14"/>
    </sheetView>
  </sheetViews>
  <sheetFormatPr defaultColWidth="9.140625" defaultRowHeight="15" x14ac:dyDescent="0.25"/>
  <cols>
    <col min="1" max="5" width="9.140625" style="3"/>
    <col min="6" max="6" width="9.140625" style="3" customWidth="1"/>
    <col min="7" max="7" width="4.5703125" style="3" customWidth="1"/>
    <col min="8" max="8" width="13.140625" style="3" customWidth="1"/>
    <col min="9" max="9" width="12" style="3" customWidth="1"/>
    <col min="10" max="10" width="10.7109375" style="3" bestFit="1" customWidth="1"/>
    <col min="11" max="11" width="16" style="3" customWidth="1"/>
    <col min="12" max="12" width="10.7109375" style="3" customWidth="1"/>
    <col min="13" max="13" width="6.140625" style="3" customWidth="1"/>
    <col min="14" max="14" width="13.140625" style="3" customWidth="1"/>
    <col min="15" max="15" width="13" style="3" customWidth="1"/>
    <col min="16" max="16" width="5.42578125" style="3" customWidth="1"/>
    <col min="17" max="17" width="10.7109375" style="3" customWidth="1"/>
    <col min="18" max="18" width="13.7109375" style="3" bestFit="1" customWidth="1"/>
    <col min="19" max="19" width="12.5703125" style="3" bestFit="1" customWidth="1"/>
    <col min="20" max="16384" width="9.140625" style="3"/>
  </cols>
  <sheetData>
    <row r="1" spans="8:25" ht="26.25" x14ac:dyDescent="0.25">
      <c r="I1" s="1000" t="s">
        <v>206</v>
      </c>
      <c r="J1" s="1000"/>
      <c r="K1" s="1000"/>
      <c r="L1" s="1000"/>
      <c r="M1" s="1000"/>
      <c r="N1" s="1000"/>
      <c r="O1" s="99"/>
    </row>
    <row r="2" spans="8:25" ht="18.75" x14ac:dyDescent="0.25">
      <c r="I2" s="1001" t="s">
        <v>207</v>
      </c>
      <c r="J2" s="1001"/>
      <c r="K2" s="1001"/>
      <c r="L2" s="1001"/>
      <c r="M2" s="1001"/>
      <c r="N2" s="1001"/>
      <c r="O2" s="30"/>
    </row>
    <row r="3" spans="8:25" ht="15.75" x14ac:dyDescent="0.25">
      <c r="I3" s="78"/>
      <c r="J3" s="1022" t="s">
        <v>208</v>
      </c>
      <c r="K3" s="1022"/>
      <c r="L3" s="1022"/>
      <c r="M3" s="697"/>
      <c r="N3" s="9"/>
    </row>
    <row r="4" spans="8:25" ht="15.95" customHeight="1" x14ac:dyDescent="0.25">
      <c r="H4" s="978" t="str">
        <f ca="1">"No."&amp;PR!F4</f>
        <v>No.Pen-2/Sup/GK//2026-27</v>
      </c>
      <c r="I4" s="978"/>
      <c r="J4" s="978"/>
      <c r="K4" s="80"/>
      <c r="L4" s="80"/>
      <c r="M4" s="80"/>
      <c r="N4" s="80" t="str">
        <f ca="1">"Date-"&amp;TEXT(TODAY(),"dd/mm/yyyy")</f>
        <v>Date-17/08/2026</v>
      </c>
      <c r="O4" s="80"/>
      <c r="P4" s="78"/>
      <c r="Q4" s="78"/>
    </row>
    <row r="5" spans="8:25" ht="15.95" customHeight="1" x14ac:dyDescent="0.25">
      <c r="H5" s="80" t="str">
        <f>PR!C3&amp;S13</f>
        <v>Application No.</v>
      </c>
      <c r="I5" s="80"/>
      <c r="J5" s="80"/>
      <c r="K5" s="94"/>
      <c r="L5" s="80"/>
      <c r="M5" s="80"/>
      <c r="N5" s="80"/>
      <c r="O5" s="80"/>
      <c r="P5" s="78"/>
      <c r="Q5" s="78"/>
    </row>
    <row r="6" spans="8:25" ht="15.95" customHeight="1" x14ac:dyDescent="0.25">
      <c r="H6" s="978" t="str">
        <f>"GPO No."&amp;S14</f>
        <v>GPO No.</v>
      </c>
      <c r="I6" s="978"/>
      <c r="J6" s="1023" t="s">
        <v>209</v>
      </c>
      <c r="K6" s="1023"/>
      <c r="L6" s="1023"/>
      <c r="M6" s="1023"/>
      <c r="N6" s="95"/>
      <c r="O6" s="80"/>
      <c r="P6" s="78"/>
      <c r="Q6" s="78"/>
    </row>
    <row r="7" spans="8:25" ht="15.95" customHeight="1" x14ac:dyDescent="0.25">
      <c r="H7" s="978" t="str">
        <f>"Treasury - "&amp;PR!F13</f>
        <v xml:space="preserve">Treasury -   </v>
      </c>
      <c r="I7" s="978"/>
      <c r="J7" s="978"/>
      <c r="K7" s="978"/>
      <c r="L7" s="978"/>
      <c r="M7" s="680"/>
      <c r="N7" s="80"/>
      <c r="O7" s="80"/>
      <c r="P7" s="78"/>
      <c r="Q7" s="78"/>
    </row>
    <row r="8" spans="8:25" ht="7.5" customHeight="1" x14ac:dyDescent="0.25">
      <c r="H8" s="680"/>
      <c r="I8" s="680"/>
      <c r="J8" s="680"/>
      <c r="K8" s="680"/>
      <c r="L8" s="680"/>
      <c r="M8" s="680"/>
      <c r="N8" s="80"/>
      <c r="O8" s="80"/>
      <c r="P8" s="78"/>
      <c r="Q8" s="78"/>
    </row>
    <row r="9" spans="8:25" ht="15.95" customHeight="1" x14ac:dyDescent="0.25">
      <c r="H9" s="1024" t="str">
        <f>"Emp. Name &amp; Designation - "&amp;PR!F5</f>
        <v>Emp. Name &amp; Designation - Shri Retd.</v>
      </c>
      <c r="I9" s="1024"/>
      <c r="J9" s="1024"/>
      <c r="K9" s="1024"/>
      <c r="L9" s="1024"/>
      <c r="M9" s="1024"/>
      <c r="N9" s="1024"/>
      <c r="O9" s="1024"/>
      <c r="P9" s="78"/>
      <c r="Q9" s="78"/>
    </row>
    <row r="10" spans="8:25" ht="15.95" customHeight="1" x14ac:dyDescent="0.25">
      <c r="H10" s="978" t="str">
        <f>PR!C6&amp;" - "&amp;TEXT(PR!F6,"dd/mm/yyyy")&amp;","</f>
        <v>Date of Birth, at P/ᶜ - 12/07/1965,</v>
      </c>
      <c r="I10" s="978"/>
      <c r="J10" s="978" t="str">
        <f>IPS!B8&amp;" - "&amp;TEXT(IPS!C8,"dd/mm/yyyy")&amp;","</f>
        <v>Date of Joining - 05/03/1987,</v>
      </c>
      <c r="K10" s="978"/>
      <c r="L10" s="978" t="str">
        <f>PR!C8&amp;" - "&amp;TEXT(PR!F8,"dd/mm/yyyy")</f>
        <v>Date of Retirement, at P/ᶜ - 31/07/2025</v>
      </c>
      <c r="M10" s="978"/>
      <c r="N10" s="978"/>
      <c r="O10" s="80"/>
      <c r="P10" s="78"/>
      <c r="Q10" s="78"/>
      <c r="R10" s="88"/>
      <c r="S10" s="88"/>
    </row>
    <row r="11" spans="8:25" ht="15.95" customHeight="1" x14ac:dyDescent="0.25">
      <c r="H11" s="978" t="str">
        <f>"Qualifying Service - "&amp;PR!O23&amp;"."</f>
        <v>Qualifying Service - .</v>
      </c>
      <c r="I11" s="978"/>
      <c r="J11" s="978"/>
      <c r="K11" s="978"/>
      <c r="L11" s="80" t="str">
        <f>IPS!H99&amp;" - "&amp;TEXT(IPS!J99,"₹ #,##0;")&amp;"/- "&amp;"(Level"&amp;" - "&amp;IPS!R85&amp;")"</f>
        <v>Last Pay - ₹ 35,400/- (Level - 4)</v>
      </c>
      <c r="M11" s="80"/>
      <c r="N11" s="80"/>
      <c r="O11" s="80"/>
      <c r="P11" s="78"/>
      <c r="Q11" s="78"/>
      <c r="R11" s="88"/>
      <c r="S11" s="88"/>
    </row>
    <row r="12" spans="8:25" ht="7.5" customHeight="1" thickBot="1" x14ac:dyDescent="0.3">
      <c r="H12" s="698"/>
      <c r="I12" s="698"/>
      <c r="J12" s="698"/>
      <c r="K12" s="698"/>
      <c r="L12" s="698"/>
      <c r="M12" s="698"/>
      <c r="N12" s="698"/>
      <c r="O12" s="698"/>
      <c r="P12" s="78"/>
      <c r="Q12" s="78"/>
      <c r="R12" s="88"/>
      <c r="S12" s="88"/>
    </row>
    <row r="13" spans="8:25" ht="15.95" customHeight="1" x14ac:dyDescent="0.25">
      <c r="H13" s="1025" t="s">
        <v>210</v>
      </c>
      <c r="I13" s="1025"/>
      <c r="J13" s="1025"/>
      <c r="K13" s="1025"/>
      <c r="L13" s="1025"/>
      <c r="M13" s="1025"/>
      <c r="N13" s="1025"/>
      <c r="O13" s="1025"/>
      <c r="P13" s="78"/>
      <c r="Q13" s="78"/>
      <c r="R13" s="96" t="s">
        <v>186</v>
      </c>
      <c r="S13" s="97"/>
    </row>
    <row r="14" spans="8:25" ht="15.95" customHeight="1" x14ac:dyDescent="0.25">
      <c r="H14" s="1025"/>
      <c r="I14" s="1025"/>
      <c r="J14" s="1025"/>
      <c r="K14" s="1025"/>
      <c r="L14" s="1025"/>
      <c r="M14" s="1025"/>
      <c r="N14" s="1025"/>
      <c r="O14" s="1025"/>
      <c r="P14" s="78"/>
      <c r="Q14" s="78"/>
      <c r="R14" s="100" t="s">
        <v>211</v>
      </c>
      <c r="S14" s="101"/>
      <c r="T14" s="93"/>
      <c r="U14" s="93"/>
      <c r="V14" s="93"/>
      <c r="W14" s="93"/>
      <c r="X14" s="93"/>
      <c r="Y14" s="93"/>
    </row>
    <row r="15" spans="8:25" ht="15.95" customHeight="1" thickBot="1" x14ac:dyDescent="0.3">
      <c r="H15" s="1025"/>
      <c r="I15" s="1025"/>
      <c r="J15" s="1025"/>
      <c r="K15" s="1025"/>
      <c r="L15" s="1025"/>
      <c r="M15" s="1025"/>
      <c r="N15" s="1025"/>
      <c r="O15" s="1025"/>
      <c r="P15" s="78"/>
      <c r="Q15" s="78"/>
      <c r="R15" s="98" t="s">
        <v>188</v>
      </c>
      <c r="S15" s="102">
        <f>IF(OR(PR!M9='Pay Scales'!J26,PR!M7='Pay Scales'!L26),"Dharmanagar",IF(OR(PR!M9='Pay Scales'!J27,PR!M7='Pay Scales'!L26),"Dharmanagar",IF(OR(PR!M9='Pay Scales'!J28,PR!M7='Pay Scales'!L28),"Kailashahar",IF(OR(PR!M9='Pay Scales'!J29,PR!M7='Pay Scales'!L29),"Ambassa",IF(OR(PR!M9='Pay Scales'!J30,PR!M7='Pay Scales'!L29),"Ambassa",IF(OR(PR!M9='Pay Scales'!J31,PR!M7='Pay Scales'!L29),"Ambassa",IF(OR(PR!M9='Pay Scales'!J32,PR!M7='Pay Scales'!L32),"Khowai",IF(OR(PR!M9='Pay Scales'!J33,PR!M7='Pay Scales'!L33),"Agartala-1",IF(OR(PR!M9='Pay Scales'!J34,PR!M7='Pay Scales'!L33),"Agartala-1",IF(OR(PR!M9='Pay Scales'!J35,PR!M7='Pay Scales'!L35),"Bishalgarh",IF(OR(PR!M9='Pay Scales'!J36,PR!M7='Pay Scales'!L36),"Udaipur",IF(OR(PR!M9='Pay Scales'!J37,PR!M7='Pay Scales'!L37),"Belonia",IF(OR(PR!M9='Pay Scales'!J38,PR!M7='Pay Scales'!L37),"Belonia",)))))))))))))</f>
        <v>0</v>
      </c>
      <c r="T15" s="93"/>
      <c r="U15" s="93"/>
      <c r="V15" s="93"/>
      <c r="W15" s="93"/>
      <c r="X15" s="93"/>
      <c r="Y15" s="93"/>
    </row>
    <row r="16" spans="8:25" ht="18" customHeight="1" x14ac:dyDescent="0.25">
      <c r="H16" s="1028" t="s">
        <v>212</v>
      </c>
      <c r="I16" s="1028"/>
      <c r="J16" s="1028"/>
      <c r="K16" s="980" t="s">
        <v>213</v>
      </c>
      <c r="L16" s="980"/>
      <c r="M16" s="980"/>
      <c r="N16" s="980"/>
      <c r="O16" s="78"/>
      <c r="P16" s="78"/>
      <c r="Q16" s="78"/>
      <c r="T16" s="93"/>
      <c r="U16" s="93"/>
      <c r="V16" s="93"/>
      <c r="W16" s="93"/>
      <c r="X16" s="93"/>
      <c r="Y16" s="93"/>
    </row>
    <row r="17" spans="8:25" ht="15.95" customHeight="1" x14ac:dyDescent="0.25">
      <c r="H17" s="978" t="s">
        <v>214</v>
      </c>
      <c r="I17" s="978"/>
      <c r="J17" s="135" t="str">
        <f>PR!F50</f>
        <v/>
      </c>
      <c r="K17" s="115" t="str">
        <f>IPS!H109&amp;" -"</f>
        <v>Provisional DCRG Paid -</v>
      </c>
      <c r="L17" s="80"/>
      <c r="M17" s="80"/>
      <c r="N17" s="135">
        <f>PR!F51</f>
        <v>438075</v>
      </c>
      <c r="O17" s="78"/>
      <c r="P17" s="78"/>
      <c r="Q17" s="78"/>
      <c r="T17" s="93"/>
      <c r="U17" s="93"/>
      <c r="V17" s="93"/>
      <c r="W17" s="93"/>
      <c r="X17" s="93"/>
      <c r="Y17" s="93"/>
    </row>
    <row r="18" spans="8:25" ht="15.95" customHeight="1" x14ac:dyDescent="0.25">
      <c r="H18" s="80"/>
      <c r="I18" s="80"/>
      <c r="J18" s="135"/>
      <c r="K18" s="115" t="str">
        <f>PR!C54&amp;" -"</f>
        <v>Pay &amp; Allowances Overdrawn -</v>
      </c>
      <c r="L18" s="80"/>
      <c r="M18" s="80"/>
      <c r="N18" s="135">
        <f>PR!F54</f>
        <v>0</v>
      </c>
      <c r="O18" s="78"/>
      <c r="P18" s="78"/>
      <c r="Q18" s="78"/>
      <c r="T18" s="93"/>
      <c r="U18" s="93"/>
      <c r="V18" s="93"/>
      <c r="W18" s="93"/>
      <c r="X18" s="93"/>
      <c r="Y18" s="93"/>
    </row>
    <row r="19" spans="8:25" ht="15.95" customHeight="1" x14ac:dyDescent="0.25">
      <c r="H19" s="80" t="str">
        <f>PR!C56&amp;" -"</f>
        <v>Total Recovery -</v>
      </c>
      <c r="I19" s="80"/>
      <c r="J19" s="135">
        <f>PR!F56</f>
        <v>438075</v>
      </c>
      <c r="K19" s="115" t="str">
        <f>PR!C53&amp;" -"</f>
        <v>Leave Salary Overdrawn -</v>
      </c>
      <c r="L19" s="80"/>
      <c r="M19" s="80"/>
      <c r="N19" s="135">
        <f>PR!F53</f>
        <v>0</v>
      </c>
      <c r="O19" s="78"/>
      <c r="P19" s="78"/>
      <c r="Q19" s="78"/>
      <c r="T19" s="93"/>
      <c r="U19" s="93"/>
      <c r="V19" s="93"/>
      <c r="W19" s="93"/>
      <c r="X19" s="93"/>
      <c r="Y19" s="93"/>
    </row>
    <row r="20" spans="8:25" ht="15.95" customHeight="1" x14ac:dyDescent="0.25">
      <c r="H20" s="1024" t="s">
        <v>215</v>
      </c>
      <c r="I20" s="1024"/>
      <c r="J20" s="25" t="e">
        <f>PR!F57</f>
        <v>#VALUE!</v>
      </c>
      <c r="K20" s="94" t="e">
        <f>"(Rupees "&amp;CHOOSE(MID(TEXT(J20,"00000000.00"),2,1)+1,,,"twenty ","thirty ","forty ","fifty ","sixty ","seventy ","eighty ","ninety ")&amp;IF(--MID(TEXT(J20,"00000000.00"),2,1)&lt;&gt;1,CHOOSE(MID(TEXT(J20,"00000000.00"),3,1)+1,,"one","two","three","four","five","six","seven","eight","nine"),CHOOSE(MID(TEXT(J20,"00000000.00"),3,1)+1,"ten","eleven","twelve","thirteen","fourteen","fifteen","sixteen","seventeen","eighteen","nineteen"))&amp;IF((--LEFT(TEXT(J20,"00000000.00"))+MID(TEXT(J20,"00000000.00"),2,1)+MID(TEXT(J20,"00000000.00"),3,1))=0,,IF(AND((--MID(TEXT(J20,"00000000.00"),4,1)+MID(TEXT(J20,"00000000.00"),5,1)+MID(TEXT(J20,"00000000.00"),6,1)+MID(TEXT(J20,"00000000.00"),7,1))=0,(--MID(TEXT(J20,"00000000.00"),8,1)+RIGHT(TEXT(J20,"00000000.00")))&gt;0)," lac and "," lac"))&amp;CHOOSE(MID(TEXT(J20,"000000000.00"),5,1)+1,,," twenty"," thirty"," forty"," fifty"," sixty"," seventy"," eighty"," ninety")&amp;IF(--MID(TEXT(J20,"000000000.00"),5,1)&lt;&gt;1,CHOOSE(MID(TEXT(J20,"000000000.00"),6,1)+1,," one"," two"," three"," four"," five"," six"," seven"," eight"," nine"),CHOOSE(MID(TEXT(J20,"000000000.00"),6,1)+1," ten"," eleven"," twelve"," thirteen"," fourteen"," fifteen"," sixteen"," seventeen"," eighteen"," nineteen"))&amp;IF((--MID(TEXT(J20,"000000000.00"),4,1)+MID(TEXT(J20,"000000000.00"),5,1)+MID(TEXT(J20,"000000000.00"),6,1))=0,,IF(OR((--MID(TEXT(J20,"000000000.00"),7,1)+MID(TEXT(J20,"000000000.00"),8,1)+MID(TEXT(J20,"000000000.00"),9,1))=0,--MID(TEXT(J20,"000000000.00"),7,1)&lt;&gt;0)," thousand "," thousand and "))&amp;CHOOSE(MID(TEXT(J20,"000000000.00"),7,1)+1,," one"," two"," Three"," four"," five"," six"," seven"," eight"," nine")&amp;IF(--MID(TEXT(J20,"000000000.00"),7,1)=0,,IF(AND(--MID(TEXT(J20,"000000000.00"),8,1)=0,--MID(TEXT(J20,"000000000.00"),9,1)=0)," hundred"," hundred and "))&amp;CHOOSE(MID(TEXT(J20,"000000000.00"),8,1)+1,,,"twenty ","thirty ","forty ","fifty ","sixty ","seventy ","eighty ","ninety ")&amp;IF(--MID(TEXT(J20,"000000000.00"),8,1)&lt;&gt;1,CHOOSE(MID(TEXT(J20,"000000000.00"),9,1)+1,,"one","two","three","four","five","six","seven","eight","nine"),CHOOSE(MID(TEXT(J20,"000000000.00"),9,1)+1,"ten","eleven","twelve","thirteen","fourteen","fifteen","sixteen","seventeen","eighteen","nineteen"))&amp;" only)"</f>
        <v>#VALUE!</v>
      </c>
      <c r="O20" s="78"/>
      <c r="P20" s="78"/>
      <c r="Q20" s="78"/>
      <c r="T20" s="93"/>
      <c r="U20" s="93"/>
      <c r="V20" s="93"/>
      <c r="W20" s="93"/>
      <c r="X20" s="93"/>
      <c r="Y20" s="93"/>
    </row>
    <row r="21" spans="8:25" ht="19.5" customHeight="1" x14ac:dyDescent="0.25">
      <c r="H21" s="1026" t="s">
        <v>216</v>
      </c>
      <c r="I21" s="1026"/>
      <c r="J21" s="1026"/>
      <c r="K21" s="1026"/>
      <c r="L21" s="1026"/>
      <c r="M21" s="1026"/>
      <c r="N21" s="1026"/>
      <c r="O21" s="1026"/>
      <c r="P21" s="78"/>
      <c r="Q21" s="78"/>
      <c r="T21" s="93"/>
      <c r="U21" s="93"/>
      <c r="V21" s="93"/>
      <c r="W21" s="93"/>
      <c r="X21" s="93"/>
      <c r="Y21" s="93"/>
    </row>
    <row r="22" spans="8:25" ht="15.95" customHeight="1" x14ac:dyDescent="0.25">
      <c r="H22" s="86" t="s">
        <v>194</v>
      </c>
      <c r="I22" s="1010" t="s">
        <v>217</v>
      </c>
      <c r="J22" s="1011"/>
      <c r="K22" s="1011"/>
      <c r="L22" s="1011"/>
      <c r="M22" s="1012"/>
      <c r="N22" s="86" t="s">
        <v>23</v>
      </c>
      <c r="O22" s="86" t="s">
        <v>196</v>
      </c>
      <c r="P22" s="78"/>
      <c r="Q22" s="78"/>
      <c r="T22" s="93"/>
      <c r="U22" s="93"/>
      <c r="V22" s="93"/>
      <c r="W22" s="93"/>
      <c r="X22" s="93"/>
      <c r="Y22" s="93"/>
    </row>
    <row r="23" spans="8:25" ht="15.95" customHeight="1" x14ac:dyDescent="0.25">
      <c r="H23" s="86">
        <v>1</v>
      </c>
      <c r="I23" s="1016" t="str">
        <f>PR!C16&amp;" "&amp;PR!D16</f>
        <v xml:space="preserve"> </v>
      </c>
      <c r="J23" s="997"/>
      <c r="K23" s="997"/>
      <c r="L23" s="997"/>
      <c r="M23" s="1017"/>
      <c r="N23" s="87">
        <f>PR!G16</f>
        <v>0</v>
      </c>
      <c r="O23" s="86" t="str">
        <f>PR!H16</f>
        <v/>
      </c>
      <c r="P23" s="78"/>
      <c r="Q23" s="78"/>
      <c r="T23" s="93"/>
      <c r="U23" s="93"/>
      <c r="V23" s="93"/>
      <c r="W23" s="93"/>
      <c r="X23" s="93"/>
      <c r="Y23" s="93"/>
    </row>
    <row r="24" spans="8:25" ht="15.95" customHeight="1" x14ac:dyDescent="0.25">
      <c r="H24" s="86">
        <v>2</v>
      </c>
      <c r="I24" s="1016" t="str">
        <f>PR!C17&amp;" "&amp;PR!D17</f>
        <v xml:space="preserve"> </v>
      </c>
      <c r="J24" s="997"/>
      <c r="K24" s="997"/>
      <c r="L24" s="997"/>
      <c r="M24" s="1017"/>
      <c r="N24" s="87">
        <f>PR!G17</f>
        <v>0</v>
      </c>
      <c r="O24" s="86" t="str">
        <f>PR!H17</f>
        <v/>
      </c>
      <c r="P24" s="78"/>
      <c r="Q24" s="78"/>
      <c r="T24" s="93"/>
      <c r="U24" s="93"/>
      <c r="V24" s="93"/>
      <c r="W24" s="93"/>
      <c r="X24" s="93"/>
      <c r="Y24" s="93"/>
    </row>
    <row r="25" spans="8:25" ht="15.95" customHeight="1" x14ac:dyDescent="0.25">
      <c r="H25" s="86">
        <v>3</v>
      </c>
      <c r="I25" s="1016" t="str">
        <f>PR!C18&amp;" "&amp;PR!D18</f>
        <v xml:space="preserve"> </v>
      </c>
      <c r="J25" s="997"/>
      <c r="K25" s="997"/>
      <c r="L25" s="997"/>
      <c r="M25" s="1017"/>
      <c r="N25" s="87">
        <f>PR!G18</f>
        <v>0</v>
      </c>
      <c r="O25" s="86" t="str">
        <f>PR!H18</f>
        <v/>
      </c>
      <c r="P25" s="78"/>
      <c r="Q25" s="78"/>
    </row>
    <row r="26" spans="8:25" ht="15.95" customHeight="1" x14ac:dyDescent="0.25">
      <c r="H26" s="1019" t="s">
        <v>202</v>
      </c>
      <c r="I26" s="1019"/>
      <c r="J26" s="1019"/>
      <c r="K26" s="680"/>
      <c r="L26" s="680"/>
      <c r="M26" s="680"/>
      <c r="N26" s="424"/>
      <c r="O26" s="688"/>
      <c r="P26" s="78"/>
      <c r="Q26" s="78"/>
    </row>
    <row r="27" spans="8:25" ht="15.95" customHeight="1" x14ac:dyDescent="0.25">
      <c r="H27" s="694"/>
      <c r="I27" s="694"/>
      <c r="J27" s="694"/>
      <c r="K27" s="680"/>
      <c r="L27" s="680"/>
      <c r="M27" s="680"/>
      <c r="N27" s="424"/>
      <c r="O27" s="688"/>
      <c r="P27" s="78"/>
      <c r="Q27" s="78"/>
    </row>
    <row r="28" spans="8:25" ht="15.95" customHeight="1" x14ac:dyDescent="0.25">
      <c r="H28" s="80"/>
      <c r="I28" s="80"/>
      <c r="J28" s="80"/>
      <c r="K28" s="80"/>
      <c r="L28" s="80"/>
      <c r="M28" s="80"/>
      <c r="N28" s="993" t="s">
        <v>203</v>
      </c>
      <c r="O28" s="993"/>
      <c r="P28" s="78"/>
      <c r="Q28" s="78"/>
    </row>
    <row r="29" spans="8:25" ht="15.95" customHeight="1" x14ac:dyDescent="0.25">
      <c r="H29" s="978" t="str">
        <f ca="1">H4</f>
        <v>No.Pen-2/Sup/GK//2026-27</v>
      </c>
      <c r="I29" s="978"/>
      <c r="J29" s="978"/>
      <c r="K29" s="80"/>
      <c r="L29" s="80"/>
      <c r="M29" s="80"/>
      <c r="N29" s="80" t="str">
        <f ca="1">N4</f>
        <v>Date-17/08/2026</v>
      </c>
      <c r="O29" s="80"/>
      <c r="P29" s="78"/>
      <c r="Q29" s="78"/>
    </row>
    <row r="30" spans="8:25" ht="15.95" customHeight="1" x14ac:dyDescent="0.25">
      <c r="H30" s="80" t="s">
        <v>204</v>
      </c>
      <c r="I30" s="80"/>
      <c r="J30" s="80"/>
      <c r="K30" s="80"/>
      <c r="L30" s="80"/>
      <c r="M30" s="80"/>
      <c r="N30" s="80"/>
      <c r="O30" s="80"/>
      <c r="P30" s="78"/>
      <c r="Q30" s="78"/>
    </row>
    <row r="31" spans="8:25" ht="15.95" customHeight="1" x14ac:dyDescent="0.25">
      <c r="H31" s="104" t="str">
        <f>1&amp;"."</f>
        <v>1.</v>
      </c>
      <c r="I31" s="91" t="s">
        <v>189</v>
      </c>
      <c r="J31" s="91"/>
      <c r="K31" s="91"/>
      <c r="L31" s="91"/>
      <c r="M31" s="1027" t="s">
        <v>218</v>
      </c>
      <c r="N31" s="1027"/>
      <c r="O31" s="1027"/>
      <c r="P31" s="78"/>
      <c r="Q31" s="78"/>
    </row>
    <row r="32" spans="8:25" ht="15.95" customHeight="1" x14ac:dyDescent="0.25">
      <c r="H32" s="104"/>
      <c r="I32" s="91" t="str">
        <f>S15&amp;" Treasury, "&amp;IF(S15='Pay Scales'!K33,"Agartala",S15)</f>
        <v>0 Treasury, 0</v>
      </c>
      <c r="J32" s="91"/>
      <c r="K32" s="91"/>
      <c r="L32" s="91"/>
      <c r="M32" s="1027"/>
      <c r="N32" s="1027"/>
      <c r="O32" s="1027"/>
      <c r="P32" s="78"/>
      <c r="Q32" s="78"/>
    </row>
    <row r="33" spans="8:17" ht="7.5" customHeight="1" x14ac:dyDescent="0.25">
      <c r="H33" s="104"/>
      <c r="I33" s="693"/>
      <c r="J33" s="693"/>
      <c r="K33" s="91"/>
      <c r="L33" s="91"/>
      <c r="M33" s="699"/>
      <c r="N33" s="699"/>
      <c r="O33" s="699"/>
      <c r="P33" s="78"/>
      <c r="Q33" s="78"/>
    </row>
    <row r="34" spans="8:17" ht="15.95" customHeight="1" x14ac:dyDescent="0.25">
      <c r="H34" s="4" t="str">
        <f>2&amp;"."</f>
        <v>2.</v>
      </c>
      <c r="I34" s="1018" t="e">
        <f>"The "&amp;VLOOKUP(PR!M13,#REF!,6,0)</f>
        <v>#REF!</v>
      </c>
      <c r="J34" s="1018"/>
      <c r="K34" s="1018"/>
      <c r="L34" s="1018"/>
      <c r="M34" s="693"/>
      <c r="N34" s="80"/>
      <c r="O34" s="80"/>
      <c r="P34" s="78"/>
      <c r="Q34" s="78"/>
    </row>
    <row r="35" spans="8:17" ht="15.95" customHeight="1" x14ac:dyDescent="0.25">
      <c r="H35" s="4"/>
      <c r="I35" s="1018"/>
      <c r="J35" s="1018"/>
      <c r="K35" s="1018"/>
      <c r="L35" s="1018"/>
      <c r="M35" s="693"/>
      <c r="N35" s="80"/>
      <c r="O35" s="80"/>
      <c r="P35" s="78"/>
      <c r="Q35" s="78"/>
    </row>
    <row r="36" spans="8:17" ht="15.95" customHeight="1" x14ac:dyDescent="0.25">
      <c r="H36" s="104"/>
      <c r="I36" s="693"/>
      <c r="J36" s="693"/>
      <c r="K36" s="693"/>
      <c r="L36" s="693"/>
      <c r="M36" s="696"/>
      <c r="N36" s="696"/>
      <c r="O36" s="696"/>
      <c r="P36" s="78"/>
      <c r="Q36" s="78"/>
    </row>
    <row r="37" spans="8:17" ht="15.95" customHeight="1" x14ac:dyDescent="0.25">
      <c r="H37" s="104" t="str">
        <f>3&amp;"."</f>
        <v>3.</v>
      </c>
      <c r="I37" s="1018" t="str">
        <f>I23&amp;","</f>
        <v xml:space="preserve"> ,</v>
      </c>
      <c r="J37" s="1018"/>
      <c r="K37" s="1018"/>
      <c r="L37" s="1018"/>
      <c r="M37" s="1021" t="s">
        <v>219</v>
      </c>
      <c r="N37" s="1021"/>
      <c r="O37" s="1021"/>
      <c r="P37" s="78"/>
      <c r="Q37" s="78"/>
    </row>
    <row r="38" spans="8:17" ht="15.95" customHeight="1" x14ac:dyDescent="0.25">
      <c r="H38" s="104"/>
      <c r="I38" s="1018" t="str">
        <f>O23&amp;" of "&amp;PR!F5&amp;","</f>
        <v xml:space="preserve"> of Shri Retd.,</v>
      </c>
      <c r="J38" s="1018"/>
      <c r="K38" s="1018"/>
      <c r="L38" s="1018"/>
      <c r="M38" s="1021"/>
      <c r="N38" s="1021"/>
      <c r="O38" s="1021"/>
      <c r="P38" s="78"/>
      <c r="Q38" s="78"/>
    </row>
    <row r="39" spans="8:17" ht="15.95" customHeight="1" x14ac:dyDescent="0.25">
      <c r="H39" s="104"/>
      <c r="I39" s="1018" t="str">
        <f>PR!F9</f>
        <v xml:space="preserve">, </v>
      </c>
      <c r="J39" s="1018"/>
      <c r="K39" s="1018"/>
      <c r="L39" s="1018"/>
      <c r="M39" s="1021"/>
      <c r="N39" s="1021"/>
      <c r="O39" s="1021"/>
      <c r="P39" s="78"/>
      <c r="Q39" s="78"/>
    </row>
    <row r="40" spans="8:17" ht="15.95" customHeight="1" x14ac:dyDescent="0.25">
      <c r="H40" s="4"/>
      <c r="I40" s="1018"/>
      <c r="J40" s="1018"/>
      <c r="K40" s="1018"/>
      <c r="L40" s="1018"/>
      <c r="M40" s="1021"/>
      <c r="N40" s="1021"/>
      <c r="O40" s="1021"/>
      <c r="P40" s="78"/>
      <c r="Q40" s="78"/>
    </row>
    <row r="41" spans="8:17" ht="7.5" customHeight="1" x14ac:dyDescent="0.25">
      <c r="H41" s="4"/>
      <c r="I41" s="693"/>
      <c r="J41" s="693"/>
      <c r="K41" s="693"/>
      <c r="L41" s="693"/>
      <c r="M41" s="696"/>
      <c r="N41" s="696"/>
      <c r="O41" s="696"/>
      <c r="P41" s="78"/>
      <c r="Q41" s="78"/>
    </row>
    <row r="42" spans="8:17" ht="15.95" customHeight="1" x14ac:dyDescent="0.25">
      <c r="H42" s="4" t="str">
        <f>4&amp;"."</f>
        <v>4.</v>
      </c>
      <c r="I42" s="1018" t="str">
        <f>I24&amp;","</f>
        <v xml:space="preserve"> ,</v>
      </c>
      <c r="J42" s="1018"/>
      <c r="K42" s="1018"/>
      <c r="L42" s="1018"/>
      <c r="M42" s="1021" t="s">
        <v>219</v>
      </c>
      <c r="N42" s="1021"/>
      <c r="O42" s="1021"/>
      <c r="P42" s="78"/>
      <c r="Q42" s="78"/>
    </row>
    <row r="43" spans="8:17" ht="15.95" customHeight="1" x14ac:dyDescent="0.25">
      <c r="H43" s="4"/>
      <c r="I43" s="1018" t="str">
        <f>O24&amp;" of "&amp;PR!F5&amp;","</f>
        <v xml:space="preserve"> of Shri Retd.,</v>
      </c>
      <c r="J43" s="1018"/>
      <c r="K43" s="1018"/>
      <c r="L43" s="1018"/>
      <c r="M43" s="1021"/>
      <c r="N43" s="1021"/>
      <c r="O43" s="1021"/>
      <c r="P43" s="78"/>
      <c r="Q43" s="78"/>
    </row>
    <row r="44" spans="8:17" ht="15.95" customHeight="1" x14ac:dyDescent="0.25">
      <c r="H44" s="4"/>
      <c r="I44" s="1018" t="str">
        <f>PR!F9</f>
        <v xml:space="preserve">, </v>
      </c>
      <c r="J44" s="1018"/>
      <c r="K44" s="1018"/>
      <c r="L44" s="1018"/>
      <c r="M44" s="1021"/>
      <c r="N44" s="1021"/>
      <c r="O44" s="1021"/>
      <c r="P44" s="78"/>
      <c r="Q44" s="78"/>
    </row>
    <row r="45" spans="8:17" ht="15.95" customHeight="1" x14ac:dyDescent="0.25">
      <c r="H45" s="4"/>
      <c r="I45" s="1018"/>
      <c r="J45" s="1018"/>
      <c r="K45" s="1018"/>
      <c r="L45" s="1018"/>
      <c r="M45" s="1021"/>
      <c r="N45" s="1021"/>
      <c r="O45" s="1021"/>
      <c r="P45" s="78"/>
      <c r="Q45" s="78"/>
    </row>
    <row r="46" spans="8:17" ht="7.5" customHeight="1" x14ac:dyDescent="0.25">
      <c r="H46" s="4"/>
      <c r="I46" s="693"/>
      <c r="J46" s="693"/>
      <c r="K46" s="693"/>
      <c r="L46" s="693"/>
      <c r="M46" s="696"/>
      <c r="N46" s="696"/>
      <c r="O46" s="696"/>
      <c r="P46" s="78"/>
      <c r="Q46" s="78"/>
    </row>
    <row r="47" spans="8:17" ht="15.95" customHeight="1" x14ac:dyDescent="0.25">
      <c r="H47" s="104" t="str">
        <f>5&amp;"."</f>
        <v>5.</v>
      </c>
      <c r="I47" s="1018" t="str">
        <f>I25&amp;","</f>
        <v xml:space="preserve"> ,</v>
      </c>
      <c r="J47" s="1018"/>
      <c r="K47" s="1018"/>
      <c r="L47" s="1018"/>
      <c r="M47" s="1021" t="s">
        <v>219</v>
      </c>
      <c r="N47" s="1021"/>
      <c r="O47" s="1021"/>
      <c r="P47" s="78"/>
      <c r="Q47" s="78"/>
    </row>
    <row r="48" spans="8:17" ht="15.95" customHeight="1" x14ac:dyDescent="0.25">
      <c r="H48" s="104"/>
      <c r="I48" s="1018" t="str">
        <f>O25&amp;" of "&amp;PR!F5&amp;","</f>
        <v xml:space="preserve"> of Shri Retd.,</v>
      </c>
      <c r="J48" s="1018"/>
      <c r="K48" s="1018"/>
      <c r="L48" s="1018"/>
      <c r="M48" s="1021"/>
      <c r="N48" s="1021"/>
      <c r="O48" s="1021"/>
      <c r="P48" s="78"/>
      <c r="Q48" s="78"/>
    </row>
    <row r="49" spans="8:17" ht="15.95" customHeight="1" x14ac:dyDescent="0.25">
      <c r="H49" s="104"/>
      <c r="I49" s="1018" t="str">
        <f>PR!F9</f>
        <v xml:space="preserve">, </v>
      </c>
      <c r="J49" s="1018"/>
      <c r="K49" s="1018"/>
      <c r="L49" s="1018"/>
      <c r="M49" s="1021"/>
      <c r="N49" s="1021"/>
      <c r="O49" s="1021"/>
      <c r="P49" s="78"/>
      <c r="Q49" s="78"/>
    </row>
    <row r="50" spans="8:17" ht="15.95" customHeight="1" x14ac:dyDescent="0.25">
      <c r="H50" s="4"/>
      <c r="I50" s="1018"/>
      <c r="J50" s="1018"/>
      <c r="K50" s="1018"/>
      <c r="L50" s="1018"/>
      <c r="M50" s="1021"/>
      <c r="N50" s="1021"/>
      <c r="O50" s="1021"/>
      <c r="P50" s="78"/>
      <c r="Q50" s="78"/>
    </row>
    <row r="51" spans="8:17" ht="7.5" customHeight="1" x14ac:dyDescent="0.25">
      <c r="H51" s="4"/>
      <c r="I51" s="693"/>
      <c r="J51" s="693"/>
      <c r="K51" s="693"/>
      <c r="L51" s="693"/>
      <c r="M51" s="699"/>
      <c r="N51" s="699"/>
      <c r="O51" s="699"/>
      <c r="P51" s="78"/>
      <c r="Q51" s="78"/>
    </row>
    <row r="52" spans="8:17" ht="15.95" customHeight="1" x14ac:dyDescent="0.25">
      <c r="H52" s="4"/>
      <c r="I52" s="103"/>
      <c r="J52" s="103"/>
      <c r="K52" s="103"/>
      <c r="L52" s="103"/>
      <c r="M52" s="103"/>
      <c r="N52" s="80"/>
      <c r="O52" s="80"/>
      <c r="P52" s="78"/>
      <c r="Q52" s="78"/>
    </row>
    <row r="53" spans="8:17" ht="15.95" customHeight="1" x14ac:dyDescent="0.25">
      <c r="H53" s="4"/>
      <c r="I53" s="80"/>
      <c r="J53" s="80"/>
      <c r="K53" s="80"/>
      <c r="L53" s="80"/>
      <c r="M53" s="80"/>
      <c r="N53" s="993" t="str">
        <f>'FAM DCRG'!N28</f>
        <v>Sr. Accounts Officer</v>
      </c>
      <c r="O53" s="993"/>
      <c r="P53" s="78"/>
      <c r="Q53" s="78"/>
    </row>
    <row r="54" spans="8:17" x14ac:dyDescent="0.25">
      <c r="H54" s="4"/>
    </row>
    <row r="55" spans="8:17" x14ac:dyDescent="0.25">
      <c r="H55" s="4"/>
    </row>
    <row r="56" spans="8:17" x14ac:dyDescent="0.25">
      <c r="H56" s="4"/>
    </row>
    <row r="57" spans="8:17" x14ac:dyDescent="0.25">
      <c r="H57" s="4"/>
    </row>
    <row r="58" spans="8:17" x14ac:dyDescent="0.25">
      <c r="H58" s="4"/>
    </row>
    <row r="59" spans="8:17" x14ac:dyDescent="0.25">
      <c r="H59" s="4"/>
    </row>
    <row r="60" spans="8:17" x14ac:dyDescent="0.25">
      <c r="H60" s="4"/>
    </row>
    <row r="61" spans="8:17" x14ac:dyDescent="0.25">
      <c r="H61" s="4"/>
    </row>
    <row r="62" spans="8:17" x14ac:dyDescent="0.25">
      <c r="H62" s="4"/>
    </row>
    <row r="63" spans="8:17" x14ac:dyDescent="0.25">
      <c r="H63" s="4"/>
    </row>
    <row r="64" spans="8:17" x14ac:dyDescent="0.25">
      <c r="H64" s="4"/>
    </row>
    <row r="65" spans="8:8" x14ac:dyDescent="0.25">
      <c r="H65" s="4"/>
    </row>
    <row r="66" spans="8:8" x14ac:dyDescent="0.25">
      <c r="H66" s="4"/>
    </row>
    <row r="67" spans="8:8" x14ac:dyDescent="0.25">
      <c r="H67" s="4"/>
    </row>
  </sheetData>
  <mergeCells count="40">
    <mergeCell ref="N53:O53"/>
    <mergeCell ref="N28:O28"/>
    <mergeCell ref="H13:O15"/>
    <mergeCell ref="H21:O21"/>
    <mergeCell ref="I34:L35"/>
    <mergeCell ref="M31:O32"/>
    <mergeCell ref="M37:O40"/>
    <mergeCell ref="H26:J26"/>
    <mergeCell ref="H29:J29"/>
    <mergeCell ref="I25:M25"/>
    <mergeCell ref="I24:M24"/>
    <mergeCell ref="I23:M23"/>
    <mergeCell ref="H16:J16"/>
    <mergeCell ref="H17:I17"/>
    <mergeCell ref="I39:L40"/>
    <mergeCell ref="I38:L38"/>
    <mergeCell ref="I37:L37"/>
    <mergeCell ref="I22:M22"/>
    <mergeCell ref="H6:I6"/>
    <mergeCell ref="H11:K11"/>
    <mergeCell ref="J10:K10"/>
    <mergeCell ref="H20:I20"/>
    <mergeCell ref="H10:I10"/>
    <mergeCell ref="K16:N16"/>
    <mergeCell ref="L10:N10"/>
    <mergeCell ref="H9:O9"/>
    <mergeCell ref="I1:N1"/>
    <mergeCell ref="I2:N2"/>
    <mergeCell ref="J3:L3"/>
    <mergeCell ref="H7:L7"/>
    <mergeCell ref="H4:J4"/>
    <mergeCell ref="J6:M6"/>
    <mergeCell ref="I42:L42"/>
    <mergeCell ref="M42:O45"/>
    <mergeCell ref="I43:L43"/>
    <mergeCell ref="I44:L45"/>
    <mergeCell ref="I47:L47"/>
    <mergeCell ref="M47:O50"/>
    <mergeCell ref="I48:L48"/>
    <mergeCell ref="I49:L50"/>
  </mergeCells>
  <pageMargins left="0.59" right="0.2" top="0.2" bottom="0.2" header="0.2" footer="0.2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-0.499984740745262"/>
  </sheetPr>
  <dimension ref="B3:N32"/>
  <sheetViews>
    <sheetView workbookViewId="0">
      <selection activeCell="F32" sqref="F32"/>
    </sheetView>
  </sheetViews>
  <sheetFormatPr defaultRowHeight="15" x14ac:dyDescent="0.25"/>
  <cols>
    <col min="2" max="2" width="27.140625" bestFit="1" customWidth="1"/>
    <col min="3" max="3" width="5.7109375" bestFit="1" customWidth="1"/>
    <col min="4" max="4" width="7.7109375" customWidth="1"/>
    <col min="5" max="5" width="9.85546875" bestFit="1" customWidth="1"/>
    <col min="6" max="6" width="10.140625" bestFit="1" customWidth="1"/>
    <col min="7" max="7" width="9.85546875" bestFit="1" customWidth="1"/>
    <col min="9" max="9" width="5.42578125" bestFit="1" customWidth="1"/>
    <col min="10" max="10" width="35.28515625" customWidth="1"/>
    <col min="11" max="11" width="1.28515625" customWidth="1"/>
    <col min="12" max="12" width="14.28515625" bestFit="1" customWidth="1"/>
    <col min="13" max="13" width="20.28515625" bestFit="1" customWidth="1"/>
    <col min="14" max="14" width="18.7109375" customWidth="1"/>
    <col min="16" max="16" width="10.85546875" customWidth="1"/>
    <col min="17" max="17" width="11" customWidth="1"/>
    <col min="18" max="18" width="9.140625" customWidth="1"/>
  </cols>
  <sheetData>
    <row r="3" spans="2:14" x14ac:dyDescent="0.25">
      <c r="I3" s="1029" t="s">
        <v>220</v>
      </c>
      <c r="J3" s="1030"/>
      <c r="K3" s="1030"/>
      <c r="L3" s="1030"/>
      <c r="M3" s="1030"/>
      <c r="N3" s="1031"/>
    </row>
    <row r="4" spans="2:14" ht="15.75" thickBot="1" x14ac:dyDescent="0.3">
      <c r="I4" s="1032"/>
      <c r="J4" s="1033"/>
      <c r="K4" s="1033"/>
      <c r="L4" s="1033"/>
      <c r="M4" s="1033"/>
      <c r="N4" s="1034"/>
    </row>
    <row r="5" spans="2:14" ht="18.75" x14ac:dyDescent="0.25">
      <c r="B5" s="45" t="s">
        <v>221</v>
      </c>
      <c r="C5" s="76" t="s">
        <v>222</v>
      </c>
      <c r="D5" s="1035">
        <f>PR!D16</f>
        <v>0</v>
      </c>
      <c r="E5" s="1035"/>
      <c r="F5" s="1035"/>
      <c r="G5" s="1036"/>
      <c r="I5" s="1037" t="s">
        <v>221</v>
      </c>
      <c r="J5" s="1038"/>
      <c r="K5" s="1038"/>
      <c r="L5" s="1039" t="str">
        <f>C5&amp;" "&amp;D5</f>
        <v>Smt. 0</v>
      </c>
      <c r="M5" s="1039"/>
      <c r="N5" s="1040"/>
    </row>
    <row r="6" spans="2:14" ht="19.5" thickBot="1" x14ac:dyDescent="0.3">
      <c r="B6" s="77" t="s">
        <v>223</v>
      </c>
      <c r="C6" s="1041">
        <f>IPS!D3</f>
        <v>0</v>
      </c>
      <c r="D6" s="1041"/>
      <c r="E6" s="1042"/>
      <c r="F6" s="1042"/>
      <c r="G6" s="1043"/>
      <c r="I6" s="1044" t="str">
        <f>IF(C5="Smt.","Wife","Husband")&amp;" of "</f>
        <v xml:space="preserve">Wife of </v>
      </c>
      <c r="J6" s="1045"/>
      <c r="K6" s="1045"/>
      <c r="L6" s="1046" t="str">
        <f>"Late "&amp;C6&amp;", Ex."&amp;C7</f>
        <v>Late 0, Ex.0</v>
      </c>
      <c r="M6" s="1046"/>
      <c r="N6" s="1047"/>
    </row>
    <row r="7" spans="2:14" ht="18" customHeight="1" thickBot="1" x14ac:dyDescent="0.3">
      <c r="B7" s="34" t="s">
        <v>224</v>
      </c>
      <c r="C7" s="1048">
        <f>IPS!C4</f>
        <v>0</v>
      </c>
      <c r="D7" s="1048"/>
      <c r="E7" s="1048"/>
      <c r="F7" s="1049"/>
      <c r="G7" s="9"/>
      <c r="I7" s="1050" t="s">
        <v>225</v>
      </c>
      <c r="J7" s="1051"/>
      <c r="K7" s="1051"/>
      <c r="L7" s="1051"/>
      <c r="M7" s="1051"/>
      <c r="N7" s="1052"/>
    </row>
    <row r="8" spans="2:14" ht="19.5" thickBot="1" x14ac:dyDescent="0.3">
      <c r="B8" s="77" t="s">
        <v>226</v>
      </c>
      <c r="C8" s="1053"/>
      <c r="D8" s="1035"/>
      <c r="E8" s="1054"/>
      <c r="F8" s="1055"/>
      <c r="G8" s="78"/>
      <c r="I8" s="700" t="s">
        <v>120</v>
      </c>
      <c r="J8" s="702" t="s">
        <v>227</v>
      </c>
      <c r="K8" s="707" t="s">
        <v>121</v>
      </c>
      <c r="L8" s="1046">
        <f>C8</f>
        <v>0</v>
      </c>
      <c r="M8" s="1046"/>
      <c r="N8" s="62"/>
    </row>
    <row r="9" spans="2:14" ht="19.5" thickBot="1" x14ac:dyDescent="0.3">
      <c r="B9" s="79" t="s">
        <v>228</v>
      </c>
      <c r="C9" s="1056">
        <f>IPS!C5</f>
        <v>0</v>
      </c>
      <c r="D9" s="1057"/>
      <c r="E9" s="80"/>
      <c r="F9" s="80"/>
      <c r="G9" s="78"/>
      <c r="I9" s="700" t="s">
        <v>123</v>
      </c>
      <c r="J9" s="702" t="s">
        <v>229</v>
      </c>
      <c r="K9" s="707" t="s">
        <v>121</v>
      </c>
      <c r="L9" s="1046">
        <f>C9</f>
        <v>0</v>
      </c>
      <c r="M9" s="1046"/>
      <c r="N9" s="62"/>
    </row>
    <row r="10" spans="2:14" ht="18.75" x14ac:dyDescent="0.25">
      <c r="B10" s="75" t="s">
        <v>23</v>
      </c>
      <c r="C10" s="1060">
        <f>IPS!C7</f>
        <v>23935</v>
      </c>
      <c r="D10" s="1061"/>
      <c r="E10" s="80"/>
      <c r="F10" s="80"/>
      <c r="G10" s="78"/>
      <c r="I10" s="700" t="s">
        <v>124</v>
      </c>
      <c r="J10" s="702" t="s">
        <v>23</v>
      </c>
      <c r="K10" s="707" t="s">
        <v>121</v>
      </c>
      <c r="L10" s="1062">
        <f>C10</f>
        <v>23935</v>
      </c>
      <c r="M10" s="1046"/>
      <c r="N10" s="63"/>
    </row>
    <row r="11" spans="2:14" ht="18.75" x14ac:dyDescent="0.25">
      <c r="B11" s="324" t="s">
        <v>230</v>
      </c>
      <c r="C11" s="1063">
        <f>IPS!C8</f>
        <v>31841</v>
      </c>
      <c r="D11" s="1059"/>
      <c r="E11" s="80"/>
      <c r="F11" s="80"/>
      <c r="G11" s="78"/>
      <c r="I11" s="700" t="s">
        <v>126</v>
      </c>
      <c r="J11" s="702" t="s">
        <v>230</v>
      </c>
      <c r="K11" s="707" t="s">
        <v>121</v>
      </c>
      <c r="L11" s="1062">
        <f>C11</f>
        <v>31841</v>
      </c>
      <c r="M11" s="1046"/>
      <c r="N11" s="63"/>
    </row>
    <row r="12" spans="2:14" ht="19.5" thickBot="1" x14ac:dyDescent="0.3">
      <c r="B12" s="81" t="s">
        <v>231</v>
      </c>
      <c r="C12" s="1064">
        <f>IPS!C11</f>
        <v>0</v>
      </c>
      <c r="D12" s="1065"/>
      <c r="E12" s="9"/>
      <c r="F12" s="80"/>
      <c r="G12" s="78"/>
      <c r="I12" s="700" t="s">
        <v>128</v>
      </c>
      <c r="J12" s="702" t="s">
        <v>231</v>
      </c>
      <c r="K12" s="707" t="s">
        <v>121</v>
      </c>
      <c r="L12" s="1062">
        <f>C12</f>
        <v>0</v>
      </c>
      <c r="M12" s="1046"/>
      <c r="N12" s="63"/>
    </row>
    <row r="13" spans="2:14" ht="18.75" x14ac:dyDescent="0.25">
      <c r="B13" s="75" t="s">
        <v>167</v>
      </c>
      <c r="C13" s="1066">
        <f>IPS!J99</f>
        <v>35400</v>
      </c>
      <c r="D13" s="1067"/>
      <c r="E13" s="9"/>
      <c r="F13" s="80"/>
      <c r="G13" s="78"/>
      <c r="I13" s="700" t="s">
        <v>130</v>
      </c>
      <c r="J13" s="64" t="s">
        <v>232</v>
      </c>
      <c r="K13" s="707" t="s">
        <v>121</v>
      </c>
      <c r="L13" s="1046" t="e">
        <f>E20&amp;" Years"</f>
        <v>#NUM!</v>
      </c>
      <c r="M13" s="1046"/>
      <c r="N13" s="63"/>
    </row>
    <row r="14" spans="2:14" ht="19.5" thickBot="1" x14ac:dyDescent="0.3">
      <c r="B14" s="81" t="s">
        <v>233</v>
      </c>
      <c r="C14" s="1068">
        <f>PR!M3</f>
        <v>0</v>
      </c>
      <c r="D14" s="1065"/>
      <c r="E14" s="9"/>
      <c r="F14" s="80"/>
      <c r="G14" s="78"/>
      <c r="I14" s="700" t="s">
        <v>132</v>
      </c>
      <c r="J14" s="64" t="s">
        <v>167</v>
      </c>
      <c r="K14" s="707" t="s">
        <v>121</v>
      </c>
      <c r="L14" s="65">
        <f>C13</f>
        <v>35400</v>
      </c>
      <c r="M14" s="66" t="str">
        <f>"at P/"&amp;C14</f>
        <v>at P/0</v>
      </c>
      <c r="N14" s="63"/>
    </row>
    <row r="15" spans="2:14" ht="17.25" customHeight="1" x14ac:dyDescent="0.25">
      <c r="B15" s="82" t="s">
        <v>234</v>
      </c>
      <c r="C15" s="1069"/>
      <c r="D15" s="1061"/>
      <c r="E15" s="9"/>
      <c r="F15" s="80"/>
      <c r="G15" s="78"/>
      <c r="I15" s="1050" t="s">
        <v>235</v>
      </c>
      <c r="J15" s="1051"/>
      <c r="K15" s="1051"/>
      <c r="L15" s="1051"/>
      <c r="M15" s="1051"/>
      <c r="N15" s="1052"/>
    </row>
    <row r="16" spans="2:14" ht="18.75" x14ac:dyDescent="0.25">
      <c r="B16" s="324" t="s">
        <v>236</v>
      </c>
      <c r="C16" s="1058"/>
      <c r="D16" s="1059"/>
      <c r="E16" s="9"/>
      <c r="F16" s="80"/>
      <c r="G16" s="78"/>
      <c r="I16" s="700" t="s">
        <v>135</v>
      </c>
      <c r="J16" s="64" t="s">
        <v>72</v>
      </c>
      <c r="K16" s="707" t="s">
        <v>121</v>
      </c>
      <c r="L16" s="65">
        <f>L14*50%</f>
        <v>17700</v>
      </c>
      <c r="M16" s="1046" t="str">
        <f>"w.e.f. "&amp;TEXT(L12+1,"dd-mm-yyyy")&amp;", "&amp;"upto "&amp;TEXT(MIN((EDATE(L10,12*67)-1),(EDATE(L12,12*10))),"dd-mm-yyyy")</f>
        <v>w.e.f. 01-01-1900, upto 31-12-1909</v>
      </c>
      <c r="N16" s="1047"/>
    </row>
    <row r="17" spans="2:14" ht="19.5" thickBot="1" x14ac:dyDescent="0.3">
      <c r="B17" s="81" t="s">
        <v>237</v>
      </c>
      <c r="C17" s="1068"/>
      <c r="D17" s="1065"/>
      <c r="E17" s="80"/>
      <c r="F17" s="80"/>
      <c r="G17" s="78"/>
      <c r="I17" s="700" t="s">
        <v>139</v>
      </c>
      <c r="J17" s="64" t="s">
        <v>173</v>
      </c>
      <c r="K17" s="707" t="s">
        <v>121</v>
      </c>
      <c r="L17" s="65">
        <f>L14*30%</f>
        <v>10620</v>
      </c>
      <c r="M17" s="702" t="str">
        <f>"w.e.f. "&amp;TEXT(MIN((EDATE(L10,12*67)-1),(EDATE(L12,12*10)))+1,"dd-mm-yyyy")</f>
        <v>w.e.f. 01-01-1910</v>
      </c>
      <c r="N17" s="63"/>
    </row>
    <row r="18" spans="2:14" ht="16.5" customHeight="1" thickBot="1" x14ac:dyDescent="0.3">
      <c r="I18" s="1050" t="s">
        <v>238</v>
      </c>
      <c r="J18" s="1051"/>
      <c r="K18" s="1051"/>
      <c r="L18" s="1051"/>
      <c r="M18" s="1051"/>
      <c r="N18" s="1052"/>
    </row>
    <row r="19" spans="2:14" ht="16.5" customHeight="1" thickBot="1" x14ac:dyDescent="0.3">
      <c r="B19" s="83" t="s">
        <v>239</v>
      </c>
      <c r="C19" s="1072">
        <f>EDATE(L10,12*67)</f>
        <v>48407</v>
      </c>
      <c r="D19" s="1073"/>
      <c r="E19" s="57" t="s">
        <v>92</v>
      </c>
      <c r="F19" s="84" t="s">
        <v>93</v>
      </c>
      <c r="G19" s="58" t="s">
        <v>94</v>
      </c>
      <c r="I19" s="700" t="s">
        <v>141</v>
      </c>
      <c r="J19" s="702" t="s">
        <v>237</v>
      </c>
      <c r="K19" s="707" t="s">
        <v>121</v>
      </c>
      <c r="L19" s="1046" t="str">
        <f ca="1">"Pen-2/SP/ND/"&amp;C17&amp;"/"&amp;'Pay Scales'!F34</f>
        <v>Pen-2/SP/ND//2026-27</v>
      </c>
      <c r="M19" s="1046"/>
      <c r="N19" s="62"/>
    </row>
    <row r="20" spans="2:14" ht="16.5" customHeight="1" thickBot="1" x14ac:dyDescent="0.3">
      <c r="B20" s="81" t="s">
        <v>240</v>
      </c>
      <c r="C20" s="1074">
        <f>EDATE(L12,12*10)</f>
        <v>3653</v>
      </c>
      <c r="D20" s="1075"/>
      <c r="E20" s="59" t="e">
        <f>DATEDIF(L10,L12,"y")</f>
        <v>#NUM!</v>
      </c>
      <c r="F20" s="60" t="e">
        <f>DATEDIF(L10,L12,"ym")</f>
        <v>#NUM!</v>
      </c>
      <c r="G20" s="61" t="e">
        <f>DATEDIF(L10,L12,"md")</f>
        <v>#NUM!</v>
      </c>
      <c r="I20" s="700" t="s">
        <v>152</v>
      </c>
      <c r="J20" s="702" t="s">
        <v>241</v>
      </c>
      <c r="K20" s="707" t="s">
        <v>121</v>
      </c>
      <c r="L20" s="702">
        <f>C16</f>
        <v>0</v>
      </c>
      <c r="M20" s="702"/>
      <c r="N20" s="62"/>
    </row>
    <row r="21" spans="2:14" ht="19.5" thickBot="1" x14ac:dyDescent="0.3">
      <c r="B21" s="35" t="s">
        <v>242</v>
      </c>
      <c r="C21" s="1076">
        <f>IF(C19&lt;C20,C19,C20)</f>
        <v>3653</v>
      </c>
      <c r="D21" s="1077"/>
      <c r="E21" s="1078" t="e">
        <f>IF(AND(E20&gt;49,E20&lt;60),"Special Pension admissible","Special Pension not admissible")</f>
        <v>#NUM!</v>
      </c>
      <c r="F21" s="1079"/>
      <c r="G21" s="1080"/>
      <c r="I21" s="700" t="s">
        <v>164</v>
      </c>
      <c r="J21" s="64" t="str">
        <f>"Sanction Order for Special Pension issued by H.O/H.O.D at P/"&amp;C15</f>
        <v>Sanction Order for Special Pension issued by H.O/H.O.D at P/</v>
      </c>
      <c r="K21" s="64"/>
      <c r="L21" s="64"/>
      <c r="M21" s="64"/>
      <c r="N21" s="63"/>
    </row>
    <row r="22" spans="2:14" ht="18.75" x14ac:dyDescent="0.25">
      <c r="I22" s="700" t="s">
        <v>144</v>
      </c>
      <c r="J22" s="701" t="s">
        <v>68</v>
      </c>
      <c r="K22" s="707" t="s">
        <v>121</v>
      </c>
      <c r="L22" s="65">
        <f>L14</f>
        <v>35400</v>
      </c>
      <c r="M22" s="64"/>
      <c r="N22" s="67"/>
    </row>
    <row r="23" spans="2:14" ht="18.75" x14ac:dyDescent="0.25">
      <c r="I23" s="700" t="s">
        <v>146</v>
      </c>
      <c r="J23" s="68" t="str">
        <f>"(-) Issued Family Pension"</f>
        <v>(-) Issued Family Pension</v>
      </c>
      <c r="K23" s="704" t="s">
        <v>121</v>
      </c>
      <c r="L23" s="69">
        <f>L16</f>
        <v>17700</v>
      </c>
      <c r="M23" s="64"/>
      <c r="N23" s="703"/>
    </row>
    <row r="24" spans="2:14" ht="18.75" x14ac:dyDescent="0.25">
      <c r="I24" s="700" t="s">
        <v>147</v>
      </c>
      <c r="J24" s="701" t="s">
        <v>220</v>
      </c>
      <c r="K24" s="707" t="s">
        <v>121</v>
      </c>
      <c r="L24" s="65">
        <f>L22-L23</f>
        <v>17700</v>
      </c>
      <c r="M24" s="1046" t="str">
        <f>"w.e.f. "&amp;TEXT(L12+1,"dd-mm-yyyy")&amp;", upto "&amp;TEXT(EOMONTH(L10,12*60),"dd-mm-yyyy")</f>
        <v>w.e.f. 01-01-1900, upto 31-07-2025</v>
      </c>
      <c r="N24" s="1047"/>
    </row>
    <row r="25" spans="2:14" ht="18.75" x14ac:dyDescent="0.25">
      <c r="I25" s="700"/>
      <c r="J25" s="64"/>
      <c r="K25" s="707"/>
      <c r="L25" s="65"/>
      <c r="M25" s="702"/>
      <c r="N25" s="63"/>
    </row>
    <row r="26" spans="2:14" ht="18.75" x14ac:dyDescent="0.25">
      <c r="I26" s="1081" t="str">
        <f>"(Special Pension will be ceased w.e.f. "&amp;TEXT(EOMONTH(L10,12*60)+1,"dd-mm-yyyy")&amp;")"</f>
        <v>(Special Pension will be ceased w.e.f. 01-08-2025)</v>
      </c>
      <c r="J26" s="1082"/>
      <c r="K26" s="1082"/>
      <c r="L26" s="1082"/>
      <c r="M26" s="1082"/>
      <c r="N26" s="1083"/>
    </row>
    <row r="27" spans="2:14" ht="18.75" x14ac:dyDescent="0.3">
      <c r="I27" s="70"/>
      <c r="J27" s="64"/>
      <c r="K27" s="64"/>
      <c r="L27" s="64"/>
      <c r="M27" s="64"/>
      <c r="N27" s="71"/>
    </row>
    <row r="28" spans="2:14" ht="18.75" x14ac:dyDescent="0.3">
      <c r="I28" s="72"/>
      <c r="J28" s="24"/>
      <c r="K28" s="24"/>
      <c r="L28" s="24"/>
      <c r="M28" s="24"/>
      <c r="N28" s="71"/>
    </row>
    <row r="29" spans="2:14" ht="18.75" x14ac:dyDescent="0.3">
      <c r="I29" s="72"/>
      <c r="J29" s="24"/>
      <c r="K29" s="24"/>
      <c r="L29" s="24"/>
      <c r="M29" s="24"/>
      <c r="N29" s="71"/>
    </row>
    <row r="30" spans="2:14" ht="18.75" x14ac:dyDescent="0.3">
      <c r="I30" s="72"/>
      <c r="J30" s="24"/>
      <c r="K30" s="24"/>
      <c r="L30" s="24"/>
      <c r="M30" s="24"/>
      <c r="N30" s="71"/>
    </row>
    <row r="31" spans="2:14" ht="18.75" x14ac:dyDescent="0.3">
      <c r="I31" s="72"/>
      <c r="J31" s="24"/>
      <c r="K31" s="24"/>
      <c r="L31" s="24"/>
      <c r="M31" s="24"/>
      <c r="N31" s="71"/>
    </row>
    <row r="32" spans="2:14" ht="18.75" x14ac:dyDescent="0.3">
      <c r="I32" s="73"/>
      <c r="J32" s="704" t="s">
        <v>73</v>
      </c>
      <c r="K32" s="74"/>
      <c r="L32" s="704" t="s">
        <v>243</v>
      </c>
      <c r="M32" s="1070" t="s">
        <v>75</v>
      </c>
      <c r="N32" s="1071"/>
    </row>
  </sheetData>
  <mergeCells count="36">
    <mergeCell ref="M24:N24"/>
    <mergeCell ref="M32:N32"/>
    <mergeCell ref="C17:D17"/>
    <mergeCell ref="I18:N18"/>
    <mergeCell ref="C19:D19"/>
    <mergeCell ref="L19:M19"/>
    <mergeCell ref="C20:D20"/>
    <mergeCell ref="C21:D21"/>
    <mergeCell ref="E21:G21"/>
    <mergeCell ref="I26:N26"/>
    <mergeCell ref="C16:D16"/>
    <mergeCell ref="M16:N16"/>
    <mergeCell ref="C10:D10"/>
    <mergeCell ref="L10:M10"/>
    <mergeCell ref="C11:D11"/>
    <mergeCell ref="L11:M11"/>
    <mergeCell ref="C12:D12"/>
    <mergeCell ref="L12:M12"/>
    <mergeCell ref="C13:D13"/>
    <mergeCell ref="L13:M13"/>
    <mergeCell ref="C14:D14"/>
    <mergeCell ref="C15:D15"/>
    <mergeCell ref="I15:N15"/>
    <mergeCell ref="C7:F7"/>
    <mergeCell ref="I7:N7"/>
    <mergeCell ref="C8:F8"/>
    <mergeCell ref="L8:M8"/>
    <mergeCell ref="C9:D9"/>
    <mergeCell ref="L9:M9"/>
    <mergeCell ref="I3:N4"/>
    <mergeCell ref="D5:G5"/>
    <mergeCell ref="I5:K5"/>
    <mergeCell ref="L5:N5"/>
    <mergeCell ref="C6:G6"/>
    <mergeCell ref="I6:K6"/>
    <mergeCell ref="L6:N6"/>
  </mergeCells>
  <conditionalFormatting sqref="E21">
    <cfRule type="containsText" dxfId="0" priority="1" operator="containsText" text="Not">
      <formula>NOT(ISERROR(SEARCH("Not",E21)))</formula>
    </cfRule>
  </conditionalFormatting>
  <pageMargins left="0.45" right="0.25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3" tint="0.39997558519241921"/>
  </sheetPr>
  <dimension ref="B2:R40"/>
  <sheetViews>
    <sheetView workbookViewId="0">
      <selection activeCell="P16" sqref="P16"/>
    </sheetView>
  </sheetViews>
  <sheetFormatPr defaultColWidth="9.140625" defaultRowHeight="15" x14ac:dyDescent="0.25"/>
  <cols>
    <col min="1" max="1" width="9.140625" style="94"/>
    <col min="2" max="2" width="4.7109375" style="94" bestFit="1" customWidth="1"/>
    <col min="3" max="3" width="36.5703125" style="94" customWidth="1"/>
    <col min="4" max="4" width="1.85546875" style="94" bestFit="1" customWidth="1"/>
    <col min="5" max="5" width="16.7109375" style="94" customWidth="1"/>
    <col min="6" max="6" width="38.42578125" style="94" customWidth="1"/>
    <col min="7" max="7" width="3" style="94" customWidth="1"/>
    <col min="8" max="8" width="25.85546875" style="94" bestFit="1" customWidth="1"/>
    <col min="9" max="9" width="14" style="94" bestFit="1" customWidth="1"/>
    <col min="10" max="11" width="12.42578125" style="94" customWidth="1"/>
    <col min="12" max="16384" width="9.140625" style="94"/>
  </cols>
  <sheetData>
    <row r="2" spans="2:18" ht="23.25" x14ac:dyDescent="0.25">
      <c r="B2" s="988" t="s">
        <v>244</v>
      </c>
      <c r="C2" s="988"/>
      <c r="D2" s="988"/>
      <c r="E2" s="988"/>
      <c r="F2" s="988"/>
    </row>
    <row r="3" spans="2:18" ht="18.75" customHeight="1" x14ac:dyDescent="0.25">
      <c r="B3" s="701" t="s">
        <v>120</v>
      </c>
      <c r="C3" s="64" t="str">
        <f>H3</f>
        <v>Revision Type</v>
      </c>
      <c r="D3" s="707" t="s">
        <v>121</v>
      </c>
      <c r="E3" s="64" t="str">
        <f>I3</f>
        <v>Change of Last pay due to notional increment</v>
      </c>
      <c r="F3" s="64"/>
      <c r="H3" s="86" t="s">
        <v>245</v>
      </c>
      <c r="I3" s="1084" t="s">
        <v>246</v>
      </c>
      <c r="J3" s="1084"/>
      <c r="K3" s="1084"/>
      <c r="L3" s="1084"/>
      <c r="M3" s="1084"/>
    </row>
    <row r="4" spans="2:18" ht="18.75" customHeight="1" x14ac:dyDescent="0.25">
      <c r="B4" s="701" t="s">
        <v>123</v>
      </c>
      <c r="C4" s="64" t="str">
        <f>H4</f>
        <v>Case/Application No.</v>
      </c>
      <c r="D4" s="707" t="s">
        <v>121</v>
      </c>
      <c r="E4" s="702">
        <f>I4</f>
        <v>0</v>
      </c>
      <c r="F4" s="64"/>
      <c r="H4" s="86" t="s">
        <v>247</v>
      </c>
      <c r="I4" s="706">
        <f>IPS!C5</f>
        <v>0</v>
      </c>
      <c r="J4" s="80"/>
      <c r="K4" s="80"/>
      <c r="L4" s="80"/>
    </row>
    <row r="5" spans="2:18" ht="18.75" customHeight="1" x14ac:dyDescent="0.25">
      <c r="B5" s="701" t="s">
        <v>124</v>
      </c>
      <c r="C5" s="64" t="str">
        <f>H5</f>
        <v>PPO No.</v>
      </c>
      <c r="D5" s="707" t="s">
        <v>121</v>
      </c>
      <c r="E5" s="702">
        <f>I5</f>
        <v>0</v>
      </c>
      <c r="F5" s="64"/>
      <c r="H5" s="86" t="s">
        <v>248</v>
      </c>
      <c r="I5" s="86"/>
      <c r="J5" s="80"/>
      <c r="K5" s="80"/>
      <c r="L5" s="80"/>
    </row>
    <row r="6" spans="2:18" ht="18.75" customHeight="1" x14ac:dyDescent="0.25">
      <c r="B6" s="701" t="s">
        <v>126</v>
      </c>
      <c r="C6" s="64" t="str">
        <f>H6</f>
        <v>PR No.</v>
      </c>
      <c r="D6" s="707" t="s">
        <v>121</v>
      </c>
      <c r="E6" s="64" t="str">
        <f ca="1">PR!F4</f>
        <v>Pen-2/Sup/GK//2026-27</v>
      </c>
      <c r="F6" s="64"/>
      <c r="H6" s="86" t="s">
        <v>22</v>
      </c>
      <c r="I6" s="86"/>
      <c r="J6" s="705" t="s">
        <v>249</v>
      </c>
      <c r="K6" s="80"/>
      <c r="L6" s="80"/>
    </row>
    <row r="7" spans="2:18" ht="18.75" customHeight="1" x14ac:dyDescent="0.25">
      <c r="B7" s="701" t="s">
        <v>128</v>
      </c>
      <c r="C7" s="64" t="str">
        <f>H7</f>
        <v>Employee Name</v>
      </c>
      <c r="D7" s="707" t="s">
        <v>121</v>
      </c>
      <c r="E7" s="64" t="str">
        <f>PR!F5</f>
        <v>Shri Retd.</v>
      </c>
      <c r="F7" s="64"/>
      <c r="H7" s="86" t="s">
        <v>250</v>
      </c>
      <c r="I7" s="141" t="str">
        <f>IPS!C3</f>
        <v>Shri</v>
      </c>
      <c r="J7" s="997">
        <f>IPS!D3</f>
        <v>0</v>
      </c>
      <c r="K7" s="997"/>
      <c r="L7" s="997"/>
      <c r="M7" s="1017"/>
    </row>
    <row r="8" spans="2:18" ht="18.75" customHeight="1" x14ac:dyDescent="0.25">
      <c r="B8" s="701" t="s">
        <v>130</v>
      </c>
      <c r="C8" s="64" t="str">
        <f>H17</f>
        <v>Revised Last Pay</v>
      </c>
      <c r="D8" s="707" t="s">
        <v>121</v>
      </c>
      <c r="E8" s="65">
        <f>I17</f>
        <v>35400</v>
      </c>
      <c r="F8" s="64"/>
      <c r="H8" s="86" t="s">
        <v>19</v>
      </c>
      <c r="I8" s="141" t="str">
        <f>IF('Rev PR'!I7="Late","Ex.","Retd.")</f>
        <v>Retd.</v>
      </c>
      <c r="J8" s="997">
        <f>IPS!C4</f>
        <v>0</v>
      </c>
      <c r="K8" s="1017"/>
    </row>
    <row r="9" spans="2:18" ht="18.75" customHeight="1" x14ac:dyDescent="0.25">
      <c r="B9" s="701" t="s">
        <v>132</v>
      </c>
      <c r="C9" s="64" t="str">
        <f>H15</f>
        <v>Qualifying Service</v>
      </c>
      <c r="D9" s="707" t="s">
        <v>121</v>
      </c>
      <c r="E9" s="64" t="str">
        <f>I16&amp;" Years,"&amp;J16&amp;" Months,"&amp;K16&amp;" Days"</f>
        <v xml:space="preserve"> Years, Months, Days</v>
      </c>
      <c r="F9" s="64"/>
      <c r="H9" s="86" t="s">
        <v>251</v>
      </c>
      <c r="I9" s="145" t="str">
        <f>IF(OR(PR!H16="Wife",PR!H16="Husband"),IF(OR(I7="Shri",I7="Late"),"Smt.","Shri"),"")</f>
        <v/>
      </c>
      <c r="J9" s="1089" t="str">
        <f>IF(OR(PR!H16="Wife",PR!H16="Husband"),PR!D16,"")</f>
        <v/>
      </c>
      <c r="K9" s="1089"/>
      <c r="L9" s="997"/>
      <c r="M9" s="1017"/>
    </row>
    <row r="10" spans="2:18" ht="18.75" customHeight="1" x14ac:dyDescent="0.25">
      <c r="B10" s="701" t="s">
        <v>135</v>
      </c>
      <c r="C10" s="64" t="str">
        <f>H9</f>
        <v>Spouse</v>
      </c>
      <c r="D10" s="707" t="s">
        <v>121</v>
      </c>
      <c r="E10" s="64" t="str">
        <f>I9&amp;" "&amp;J9</f>
        <v xml:space="preserve"> </v>
      </c>
      <c r="F10" s="64"/>
      <c r="H10" s="86" t="s">
        <v>252</v>
      </c>
      <c r="I10" s="706"/>
      <c r="J10" s="680"/>
      <c r="K10" s="680"/>
      <c r="L10" s="80"/>
    </row>
    <row r="11" spans="2:18" ht="18.75" customHeight="1" x14ac:dyDescent="0.25">
      <c r="B11" s="701" t="s">
        <v>139</v>
      </c>
      <c r="C11" s="64" t="str">
        <f>IF(ISBLANK(I10),"Treasury","Treasury/Sub-Treasury")</f>
        <v>Treasury</v>
      </c>
      <c r="D11" s="64" t="s">
        <v>121</v>
      </c>
      <c r="E11" s="64">
        <f>IF(ISBLANK(I10),I11,I11&amp;"/"&amp;I10)</f>
        <v>0</v>
      </c>
      <c r="F11" s="64"/>
      <c r="H11" s="86" t="s">
        <v>188</v>
      </c>
      <c r="I11" s="86">
        <f>IF(OR(I10='Pay Scales'!J26),"Dharmanagar",IF(OR(I10='Pay Scales'!J27),"Dharmanagar",IF(OR(I10='Pay Scales'!J28),"Kailashahar",IF(OR(I10='Pay Scales'!J29),"Ambassa",IF(OR(I10='Pay Scales'!J30),"Ambassa",IF(OR(I10='Pay Scales'!J31),"Ambassa",IF(OR(I10='Pay Scales'!J32),"Khowai",IF(OR(I10='Pay Scales'!J33),"Agartala-1",IF(OR(I10='Pay Scales'!J34),"Agartala-1",IF(OR(I10='Pay Scales'!J35),"Bishalgarh",IF(OR(I10='Pay Scales'!J36),"Udaipur",IF(OR(I10='Pay Scales'!J37),"Belonia",IF(OR(I10='Pay Scales'!J38),"Belonia",)))))))))))))</f>
        <v>0</v>
      </c>
      <c r="J11" s="680"/>
      <c r="K11" s="680"/>
      <c r="L11" s="80"/>
      <c r="Q11" s="135"/>
      <c r="R11" s="135"/>
    </row>
    <row r="12" spans="2:18" ht="18.75" customHeight="1" x14ac:dyDescent="0.25">
      <c r="B12" s="1085" t="s">
        <v>253</v>
      </c>
      <c r="C12" s="1085"/>
      <c r="D12" s="1085"/>
      <c r="E12" s="1085"/>
      <c r="F12" s="1085"/>
      <c r="H12" s="86" t="s">
        <v>23</v>
      </c>
      <c r="I12" s="87">
        <f>IPS!C7</f>
        <v>23935</v>
      </c>
      <c r="J12" s="92"/>
      <c r="K12" s="92"/>
      <c r="L12" s="80"/>
    </row>
    <row r="13" spans="2:18" ht="18.75" customHeight="1" x14ac:dyDescent="0.25">
      <c r="B13" s="701" t="s">
        <v>141</v>
      </c>
      <c r="C13" s="702" t="s">
        <v>254</v>
      </c>
      <c r="D13" s="707" t="s">
        <v>121</v>
      </c>
      <c r="E13" s="65">
        <f>IF(I19="","Not admissible",I19)</f>
        <v>17700</v>
      </c>
      <c r="F13" s="64" t="str">
        <f>IF(K19="","","w.e.f. "&amp;TEXT(K19,"dd-mm-yyyy"))</f>
        <v>w.e.f. 01-08-2025</v>
      </c>
      <c r="H13" s="86" t="s">
        <v>24</v>
      </c>
      <c r="I13" s="87">
        <f>IPS!C8</f>
        <v>31841</v>
      </c>
      <c r="J13" s="92"/>
      <c r="K13" s="92"/>
      <c r="L13" s="80"/>
    </row>
    <row r="14" spans="2:18" ht="18.75" customHeight="1" x14ac:dyDescent="0.25">
      <c r="B14" s="701" t="s">
        <v>152</v>
      </c>
      <c r="C14" s="702" t="str">
        <f>H26</f>
        <v>Commuted Pension</v>
      </c>
      <c r="D14" s="707" t="s">
        <v>121</v>
      </c>
      <c r="E14" s="65">
        <f>IF(I26="",0,IF(I19="","Not admissible",I26))</f>
        <v>7080</v>
      </c>
      <c r="F14" s="64" t="str">
        <f>IF(I25="","","vide CPO NO."&amp;I25)</f>
        <v/>
      </c>
      <c r="H14" s="86" t="str">
        <f>IF('Rev PR'!I7="Late","Date of Death","Date of Retirement")</f>
        <v>Date of Retirement</v>
      </c>
      <c r="I14" s="87">
        <f>IPS!C10</f>
        <v>45869</v>
      </c>
      <c r="J14" s="92"/>
      <c r="K14" s="92"/>
      <c r="L14" s="80"/>
    </row>
    <row r="15" spans="2:18" ht="18.75" customHeight="1" x14ac:dyDescent="0.25">
      <c r="B15" s="701" t="s">
        <v>164</v>
      </c>
      <c r="C15" s="702" t="str">
        <f>IF(I3="Change of Last pay","Revised Reduced Pension","Reduced Pension")</f>
        <v>Reduced Pension</v>
      </c>
      <c r="D15" s="707" t="s">
        <v>121</v>
      </c>
      <c r="E15" s="65">
        <f>IF(I19="","Not admissible",E13-E14)</f>
        <v>10620</v>
      </c>
      <c r="F15" s="64"/>
      <c r="H15" s="1086" t="s">
        <v>108</v>
      </c>
      <c r="I15" s="144" t="s">
        <v>92</v>
      </c>
      <c r="J15" s="144" t="s">
        <v>93</v>
      </c>
      <c r="K15" s="144" t="s">
        <v>94</v>
      </c>
      <c r="L15" s="80"/>
    </row>
    <row r="16" spans="2:18" ht="18.75" customHeight="1" x14ac:dyDescent="0.25">
      <c r="B16" s="701" t="s">
        <v>166</v>
      </c>
      <c r="C16" s="702" t="s">
        <v>255</v>
      </c>
      <c r="D16" s="707" t="s">
        <v>121</v>
      </c>
      <c r="E16" s="65" t="str">
        <f>I20</f>
        <v>Not admissible</v>
      </c>
      <c r="F16" s="64" t="str">
        <f>IF(K20="","","upto "&amp;TEXT(K20,"dd-mm-yyyy"))</f>
        <v/>
      </c>
      <c r="H16" s="1087"/>
      <c r="I16" s="86"/>
      <c r="J16" s="86"/>
      <c r="K16" s="86"/>
      <c r="L16" s="80"/>
    </row>
    <row r="17" spans="2:12" ht="18.75" customHeight="1" x14ac:dyDescent="0.25">
      <c r="B17" s="701" t="s">
        <v>256</v>
      </c>
      <c r="C17" s="702" t="s">
        <v>257</v>
      </c>
      <c r="D17" s="707" t="s">
        <v>121</v>
      </c>
      <c r="E17" s="65" t="str">
        <f>I21</f>
        <v>Not admissible</v>
      </c>
      <c r="F17" s="64" t="str">
        <f>IF(K21="","","w.e.f. "&amp;TEXT(K21,"dd-mm-yyyy"))</f>
        <v/>
      </c>
      <c r="H17" s="86" t="s">
        <v>258</v>
      </c>
      <c r="I17" s="140">
        <f>IPS!J99</f>
        <v>35400</v>
      </c>
      <c r="L17" s="80"/>
    </row>
    <row r="18" spans="2:12" ht="18.75" customHeight="1" x14ac:dyDescent="0.25">
      <c r="B18" s="1085" t="s">
        <v>259</v>
      </c>
      <c r="C18" s="1085"/>
      <c r="D18" s="1085"/>
      <c r="E18" s="1085"/>
      <c r="F18" s="1085"/>
      <c r="H18" s="86" t="s">
        <v>260</v>
      </c>
      <c r="I18" s="138">
        <f>IF(I7="Late","",MAX(8000,SUM(I17*50%,0),IF('Rev Auth'!N15&gt;19,SUM(I17*MIN(50,(SUM('Rev Auth'!N15)))%,0),0)))</f>
        <v>17700</v>
      </c>
      <c r="L18" s="80"/>
    </row>
    <row r="19" spans="2:12" ht="18.75" customHeight="1" x14ac:dyDescent="0.25">
      <c r="B19" s="701" t="s">
        <v>261</v>
      </c>
      <c r="C19" s="702" t="s">
        <v>262</v>
      </c>
      <c r="D19" s="707" t="s">
        <v>121</v>
      </c>
      <c r="E19" s="65">
        <f>I23</f>
        <v>0</v>
      </c>
      <c r="F19" s="64"/>
      <c r="H19" s="86" t="s">
        <v>263</v>
      </c>
      <c r="I19" s="143">
        <f>IF(I7="Late","",MAX(8000,SUM('Rev PR'!I17*50%,0),IF('Rev Auth'!N16&gt;19,SUM('Rev PR'!I17*MIN(50,(SUM('Rev Auth'!N16)))%,0),0)))</f>
        <v>17700</v>
      </c>
      <c r="J19" s="86" t="s">
        <v>83</v>
      </c>
      <c r="K19" s="87">
        <f>IF(I19="","",'Rev PR'!I14+1)</f>
        <v>45870</v>
      </c>
      <c r="L19" s="80"/>
    </row>
    <row r="20" spans="2:12" ht="18.75" customHeight="1" x14ac:dyDescent="0.25">
      <c r="B20" s="701" t="s">
        <v>264</v>
      </c>
      <c r="C20" s="702" t="s">
        <v>265</v>
      </c>
      <c r="D20" s="707" t="s">
        <v>121</v>
      </c>
      <c r="E20" s="65">
        <f>I24</f>
        <v>0</v>
      </c>
      <c r="F20" s="64" t="str">
        <f>IF(I22="","","vide GPO NO."&amp;I22)</f>
        <v/>
      </c>
      <c r="H20" s="86" t="s">
        <v>266</v>
      </c>
      <c r="I20" s="143" t="str">
        <f>IF(J9="","Not admissible",I19)</f>
        <v>Not admissible</v>
      </c>
      <c r="J20" s="86" t="s">
        <v>267</v>
      </c>
      <c r="K20" s="139" t="str">
        <f>IF(J9="","",IF('Rev PR'!I7="Late",MIN((EDATE('Rev PR'!I12,12*67)-1),(EDATE('Rev PR'!I14,12*10))),EDATE('Rev PR'!I12,12*67)-1))</f>
        <v/>
      </c>
    </row>
    <row r="21" spans="2:12" ht="18.75" customHeight="1" x14ac:dyDescent="0.25">
      <c r="B21" s="701" t="s">
        <v>268</v>
      </c>
      <c r="C21" s="702" t="s">
        <v>269</v>
      </c>
      <c r="D21" s="707" t="s">
        <v>121</v>
      </c>
      <c r="E21" s="65" t="str">
        <f>IF($I$3="Change of Last pay due to notional increment","Not admissble now",IF(E19=E20,"Nil",E19-E20))</f>
        <v>Not admissble now</v>
      </c>
      <c r="F21" s="64"/>
      <c r="H21" s="86" t="s">
        <v>270</v>
      </c>
      <c r="I21" s="143" t="str">
        <f>IF(J9="","Not admissible",I17*30%)</f>
        <v>Not admissible</v>
      </c>
      <c r="J21" s="86" t="s">
        <v>83</v>
      </c>
      <c r="K21" s="87" t="str">
        <f>IF(J9="","",K20+1)</f>
        <v/>
      </c>
    </row>
    <row r="22" spans="2:12" ht="18.75" customHeight="1" x14ac:dyDescent="0.25">
      <c r="B22" s="1085" t="s">
        <v>158</v>
      </c>
      <c r="C22" s="1085"/>
      <c r="D22" s="1085"/>
      <c r="E22" s="1085"/>
      <c r="F22" s="1085"/>
      <c r="H22" s="86" t="s">
        <v>271</v>
      </c>
      <c r="I22" s="86"/>
    </row>
    <row r="23" spans="2:12" ht="18.75" customHeight="1" x14ac:dyDescent="0.25">
      <c r="B23" s="701" t="s">
        <v>272</v>
      </c>
      <c r="C23" s="64" t="str">
        <f>H27</f>
        <v>Total Commutation</v>
      </c>
      <c r="D23" s="64" t="s">
        <v>121</v>
      </c>
      <c r="E23" s="65">
        <f>IF(I27="","Not admissible",I27)</f>
        <v>696163</v>
      </c>
      <c r="F23" s="565"/>
      <c r="G23" s="136"/>
      <c r="H23" s="86" t="s">
        <v>262</v>
      </c>
      <c r="I23" s="143">
        <f>IF('Rev PR'!I7="Late",MIN(1000000,(IF('Rev PR'!I16&lt;1,'Rev PR'!I17*2,IF(AND('Rev PR'!I16&gt;=1,'Rev PR'!I16&lt;5),'Rev PR'!I17*6,IF(AND('Rev PR'!I16&gt;=5,'Rev PR'!I16&lt;20),'Rev PR'!I17*12,IF('Rev PR'!I16&gt;=20,SUM('Rev PR'!I17*'Rev Auth'!N16/2,0))))))),MIN(1000000,(IF('Rev PR'!I16&gt;19,SUM('Rev PR'!I17*'Rev Auth'!N16/4,0),SUM('Rev PR'!I17*'Rev Auth'!N16/2,0)))))</f>
        <v>0</v>
      </c>
      <c r="J23" s="92"/>
      <c r="K23" s="80"/>
      <c r="L23" s="80"/>
    </row>
    <row r="24" spans="2:12" ht="18.75" customHeight="1" x14ac:dyDescent="0.25">
      <c r="B24" s="701" t="s">
        <v>273</v>
      </c>
      <c r="C24" s="64" t="s">
        <v>274</v>
      </c>
      <c r="D24" s="64" t="s">
        <v>121</v>
      </c>
      <c r="E24" s="65" t="str">
        <f>IF(I28="","Not admissible",I28)</f>
        <v>Not admissible</v>
      </c>
      <c r="F24" s="64" t="str">
        <f>F14</f>
        <v/>
      </c>
      <c r="H24" s="86" t="s">
        <v>265</v>
      </c>
      <c r="I24" s="138"/>
      <c r="J24" s="80"/>
      <c r="K24" s="80"/>
      <c r="L24" s="80"/>
    </row>
    <row r="25" spans="2:12" ht="18.75" customHeight="1" x14ac:dyDescent="0.25">
      <c r="B25" s="701" t="s">
        <v>275</v>
      </c>
      <c r="C25" s="702" t="s">
        <v>276</v>
      </c>
      <c r="D25" s="707" t="s">
        <v>121</v>
      </c>
      <c r="E25" s="65" t="str">
        <f>IF($I$3="Change of Last pay due to notional increment","Not admissble now",IF(E23=E24,"Nil",E23-E24))</f>
        <v>Not admissble now</v>
      </c>
      <c r="H25" s="86" t="s">
        <v>277</v>
      </c>
      <c r="I25" s="86"/>
      <c r="J25" s="80"/>
      <c r="K25" s="80"/>
      <c r="L25" s="80"/>
    </row>
    <row r="26" spans="2:12" ht="18.75" customHeight="1" x14ac:dyDescent="0.25">
      <c r="B26" s="991" t="s">
        <v>278</v>
      </c>
      <c r="C26" s="991"/>
      <c r="D26" s="991"/>
      <c r="E26" s="991"/>
      <c r="F26" s="991"/>
      <c r="G26" s="136"/>
      <c r="H26" s="86" t="str">
        <f>IF(I3="Change of Last pay","Revised Commuted Pension","Commuted Pension")</f>
        <v>Commuted Pension</v>
      </c>
      <c r="I26" s="138">
        <f>PR!F44</f>
        <v>7080</v>
      </c>
      <c r="J26" s="80"/>
      <c r="K26" s="80"/>
      <c r="L26" s="80"/>
    </row>
    <row r="27" spans="2:12" ht="18.75" customHeight="1" x14ac:dyDescent="0.25">
      <c r="B27" s="991"/>
      <c r="C27" s="991"/>
      <c r="D27" s="991"/>
      <c r="E27" s="991"/>
      <c r="F27" s="991"/>
      <c r="H27" s="86" t="str">
        <f>IF(I3="Change of Last pay","Revised Total Commutation","Total Commutation")</f>
        <v>Total Commutation</v>
      </c>
      <c r="I27" s="138">
        <f>PR!F45</f>
        <v>696163</v>
      </c>
      <c r="J27" s="137"/>
      <c r="K27" s="80"/>
      <c r="L27" s="80"/>
    </row>
    <row r="28" spans="2:12" ht="18.75" customHeight="1" x14ac:dyDescent="0.25">
      <c r="B28" s="991" t="s">
        <v>279</v>
      </c>
      <c r="C28" s="991"/>
      <c r="D28" s="991"/>
      <c r="E28" s="991"/>
      <c r="F28" s="991"/>
      <c r="H28" s="86" t="s">
        <v>274</v>
      </c>
      <c r="I28" s="138"/>
      <c r="J28" s="92"/>
      <c r="K28" s="80"/>
      <c r="L28" s="80"/>
    </row>
    <row r="29" spans="2:12" ht="18.75" customHeight="1" x14ac:dyDescent="0.25">
      <c r="B29" s="991"/>
      <c r="C29" s="991"/>
      <c r="D29" s="991"/>
      <c r="E29" s="991"/>
      <c r="F29" s="991"/>
      <c r="H29" s="688"/>
      <c r="J29" s="80"/>
      <c r="K29" s="80"/>
      <c r="L29" s="80"/>
    </row>
    <row r="30" spans="2:12" ht="18.75" customHeight="1" x14ac:dyDescent="0.25">
      <c r="B30" s="991" t="str">
        <f>"Remarks 3) Less the amount already drawn vide PPO No."&amp;I5</f>
        <v>Remarks 3) Less the amount already drawn vide PPO No.</v>
      </c>
      <c r="C30" s="991"/>
      <c r="D30" s="991"/>
      <c r="E30" s="991"/>
      <c r="F30" s="991"/>
      <c r="J30" s="80"/>
      <c r="K30" s="80"/>
      <c r="L30" s="80"/>
    </row>
    <row r="31" spans="2:12" ht="18.75" customHeight="1" x14ac:dyDescent="0.25">
      <c r="B31" s="284"/>
      <c r="C31" s="284"/>
      <c r="D31" s="284"/>
      <c r="E31" s="284"/>
      <c r="F31" s="284"/>
      <c r="J31" s="80"/>
      <c r="K31" s="80"/>
      <c r="L31" s="80"/>
    </row>
    <row r="32" spans="2:12" ht="18.75" customHeight="1" x14ac:dyDescent="0.25">
      <c r="B32" s="284"/>
      <c r="C32" s="284"/>
      <c r="D32" s="284"/>
      <c r="E32" s="284"/>
      <c r="F32" s="284"/>
      <c r="J32" s="80"/>
      <c r="K32" s="80"/>
      <c r="L32" s="80"/>
    </row>
    <row r="33" spans="2:11" ht="18.75" customHeight="1" x14ac:dyDescent="0.25">
      <c r="B33" s="64"/>
      <c r="C33" s="64"/>
      <c r="D33" s="64"/>
      <c r="E33" s="64"/>
      <c r="F33" s="64"/>
    </row>
    <row r="34" spans="2:11" ht="18.75" customHeight="1" x14ac:dyDescent="0.3">
      <c r="B34" s="64"/>
      <c r="C34" s="707" t="s">
        <v>73</v>
      </c>
      <c r="D34" s="1088" t="s">
        <v>74</v>
      </c>
      <c r="E34" s="1088"/>
      <c r="F34" s="707" t="s">
        <v>75</v>
      </c>
      <c r="G34" s="24"/>
    </row>
    <row r="36" spans="2:11" x14ac:dyDescent="0.25">
      <c r="H36" s="94" t="s">
        <v>23</v>
      </c>
      <c r="I36" s="156">
        <f>I12</f>
        <v>23935</v>
      </c>
      <c r="J36" s="88" t="s">
        <v>280</v>
      </c>
      <c r="K36" s="94" t="s">
        <v>281</v>
      </c>
    </row>
    <row r="37" spans="2:11" x14ac:dyDescent="0.25">
      <c r="H37" s="94" t="s">
        <v>282</v>
      </c>
      <c r="I37" s="156">
        <v>42095</v>
      </c>
      <c r="J37" s="117">
        <v>6480</v>
      </c>
    </row>
    <row r="38" spans="2:11" x14ac:dyDescent="0.25">
      <c r="H38" s="94" t="s">
        <v>282</v>
      </c>
      <c r="I38" s="156">
        <v>42826</v>
      </c>
      <c r="J38" s="117">
        <f>CEILING(J37*2.25,10)</f>
        <v>14580</v>
      </c>
    </row>
    <row r="39" spans="2:11" x14ac:dyDescent="0.25">
      <c r="H39" s="94" t="s">
        <v>282</v>
      </c>
      <c r="I39" s="156">
        <v>43374</v>
      </c>
      <c r="J39" s="117">
        <f>ROUND(J38*2.57/2.25,-2)</f>
        <v>16700</v>
      </c>
      <c r="K39" s="117">
        <f>J39+J39*25%+500</f>
        <v>21375</v>
      </c>
    </row>
    <row r="40" spans="2:11" x14ac:dyDescent="0.25">
      <c r="H40" s="94" t="s">
        <v>283</v>
      </c>
      <c r="I40" s="156">
        <f>EDATE(I36,12*80)</f>
        <v>53155</v>
      </c>
      <c r="J40" s="117">
        <f>J39+J39*20%</f>
        <v>20040</v>
      </c>
    </row>
  </sheetData>
  <mergeCells count="13">
    <mergeCell ref="B30:F30"/>
    <mergeCell ref="D34:E34"/>
    <mergeCell ref="J9:M9"/>
    <mergeCell ref="J7:M7"/>
    <mergeCell ref="B26:F27"/>
    <mergeCell ref="B28:F29"/>
    <mergeCell ref="J8:K8"/>
    <mergeCell ref="B2:F2"/>
    <mergeCell ref="I3:M3"/>
    <mergeCell ref="B22:F22"/>
    <mergeCell ref="B12:F12"/>
    <mergeCell ref="B18:F18"/>
    <mergeCell ref="H15:H16"/>
  </mergeCells>
  <pageMargins left="0.44" right="0.26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A00-000004000000}">
          <x14:formula1>
            <xm:f>'Pay Scales'!$S$2:$S$9</xm:f>
          </x14:formula1>
          <xm:sqref>I11</xm:sqref>
        </x14:dataValidation>
        <x14:dataValidation type="list" allowBlank="1" showInputMessage="1" showErrorMessage="1" xr:uid="{00000000-0002-0000-0A00-000002000000}">
          <x14:formula1>
            <xm:f>'Pay Scales'!$F$34:$F$36</xm:f>
          </x14:formula1>
          <xm:sqref>J6</xm:sqref>
        </x14:dataValidation>
        <x14:dataValidation type="list" allowBlank="1" showInputMessage="1" showErrorMessage="1" xr:uid="{00000000-0002-0000-0A00-000005000000}">
          <x14:formula1>
            <xm:f>'Pay Scales'!$K$26:$K$38</xm:f>
          </x14:formula1>
          <xm:sqref>J11:K11</xm:sqref>
        </x14:dataValidation>
        <x14:dataValidation type="list" allowBlank="1" showInputMessage="1" showErrorMessage="1" xr:uid="{00000000-0002-0000-0A00-000006000000}">
          <x14:formula1>
            <xm:f>'Pay Scales'!$J$26:$J$38</xm:f>
          </x14:formula1>
          <xm:sqref>I10</xm:sqref>
        </x14:dataValidation>
        <x14:dataValidation type="list" allowBlank="1" showInputMessage="1" showErrorMessage="1" xr:uid="{00000000-0002-0000-0A00-000003000000}">
          <x14:formula1>
            <xm:f>'Pay Scales'!$J$44:$J$47</xm:f>
          </x14:formula1>
          <xm:sqref>I7</xm:sqref>
        </x14:dataValidation>
        <x14:dataValidation type="list" allowBlank="1" showInputMessage="1" showErrorMessage="1" xr:uid="{1B43B291-74DA-43F7-8E12-53840C20EB3D}">
          <x14:formula1>
            <xm:f>'Pay Scales'!$K$46:$K$52</xm:f>
          </x14:formula1>
          <xm:sqref>I3:M3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theme="2" tint="-0.749992370372631"/>
  </sheetPr>
  <dimension ref="B1:S43"/>
  <sheetViews>
    <sheetView workbookViewId="0">
      <selection activeCell="O28" sqref="O28"/>
    </sheetView>
  </sheetViews>
  <sheetFormatPr defaultRowHeight="15" x14ac:dyDescent="0.25"/>
  <cols>
    <col min="2" max="2" width="3" customWidth="1"/>
    <col min="3" max="3" width="11" customWidth="1"/>
    <col min="4" max="4" width="19.28515625" bestFit="1" customWidth="1"/>
    <col min="10" max="10" width="11.28515625" customWidth="1"/>
    <col min="11" max="11" width="3.42578125" customWidth="1"/>
    <col min="12" max="12" width="8.5703125" customWidth="1"/>
    <col min="13" max="13" width="23" bestFit="1" customWidth="1"/>
    <col min="14" max="14" width="14.42578125" bestFit="1" customWidth="1"/>
    <col min="15" max="15" width="53" bestFit="1" customWidth="1"/>
  </cols>
  <sheetData>
    <row r="1" spans="2:19" ht="26.25" x14ac:dyDescent="0.25">
      <c r="B1" s="3"/>
      <c r="C1" s="3"/>
      <c r="D1" s="1000" t="s">
        <v>284</v>
      </c>
      <c r="E1" s="1000"/>
      <c r="F1" s="1000"/>
      <c r="G1" s="1000"/>
      <c r="H1" s="1000"/>
      <c r="I1" s="1000"/>
      <c r="J1" s="99"/>
      <c r="K1" s="3"/>
      <c r="L1" s="3"/>
      <c r="M1" s="3"/>
      <c r="N1" s="3"/>
      <c r="O1" s="3"/>
      <c r="P1" s="3"/>
      <c r="Q1" s="3"/>
      <c r="R1" s="3"/>
      <c r="S1" s="3"/>
    </row>
    <row r="2" spans="2:19" ht="18.75" x14ac:dyDescent="0.25">
      <c r="B2" s="3"/>
      <c r="C2" s="3"/>
      <c r="D2" s="1001" t="s">
        <v>285</v>
      </c>
      <c r="E2" s="1001"/>
      <c r="F2" s="1001"/>
      <c r="G2" s="1001"/>
      <c r="H2" s="1001"/>
      <c r="I2" s="1001"/>
      <c r="J2" s="30"/>
      <c r="K2" s="3"/>
      <c r="L2" s="3"/>
      <c r="M2" s="3"/>
      <c r="N2" s="3"/>
      <c r="O2" s="3"/>
      <c r="P2" s="3"/>
      <c r="Q2" s="3"/>
      <c r="R2" s="3"/>
      <c r="S2" s="3"/>
    </row>
    <row r="3" spans="2:19" ht="15.75" x14ac:dyDescent="0.25">
      <c r="B3" s="3"/>
      <c r="C3" s="3"/>
      <c r="D3" s="78"/>
      <c r="E3" s="1022" t="s">
        <v>208</v>
      </c>
      <c r="F3" s="1022"/>
      <c r="G3" s="1022"/>
      <c r="H3" s="697"/>
      <c r="I3" s="9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15.75" x14ac:dyDescent="0.25">
      <c r="B4" s="3"/>
      <c r="C4" s="978" t="str">
        <f>"No.Pen-1/Sup/ND/Rev/"&amp;'Rev PR'!I6&amp;"/"&amp;'Rev PR'!J6&amp;"/"</f>
        <v>No.Pen-1/Sup/ND/Rev//2025-26/</v>
      </c>
      <c r="D4" s="978"/>
      <c r="E4" s="978"/>
      <c r="F4" s="80"/>
      <c r="G4" s="80"/>
      <c r="H4" s="80"/>
      <c r="I4" s="993" t="str">
        <f ca="1">"Date-"&amp;TEXT(TODAY(),"dd/mm/yyyy")</f>
        <v>Date-17/08/2026</v>
      </c>
      <c r="J4" s="993"/>
      <c r="K4" s="78"/>
      <c r="L4" s="3"/>
      <c r="M4" s="708" t="s">
        <v>286</v>
      </c>
      <c r="N4" s="708"/>
      <c r="O4" s="88"/>
      <c r="P4" s="3"/>
      <c r="Q4" s="3"/>
      <c r="R4" s="3"/>
      <c r="S4" s="3"/>
    </row>
    <row r="5" spans="2:19" ht="15.75" x14ac:dyDescent="0.25">
      <c r="B5" s="3"/>
      <c r="C5" s="1023" t="s">
        <v>287</v>
      </c>
      <c r="D5" s="1023"/>
      <c r="E5" s="1023"/>
      <c r="F5" s="1023"/>
      <c r="G5" s="1023"/>
      <c r="H5" s="1023"/>
      <c r="I5" s="1023"/>
      <c r="J5" s="1023"/>
      <c r="K5" s="78"/>
      <c r="L5" s="94"/>
      <c r="M5" s="708" t="s">
        <v>288</v>
      </c>
      <c r="N5" s="116">
        <f>'Rev PR'!E15</f>
        <v>10620</v>
      </c>
      <c r="O5" s="136" t="str">
        <f>IF(N5="Not admissible","Not admissible","(Rupees "&amp;CHOOSE(MID(TEXT(N5,"00000000.00"),2,1)+1,,,"twenty ","thirty ","forty ","fifty ","sixty ","seventy ","eighty ","ninety ")&amp;IF(--MID(TEXT(N5,"00000000.00"),2,1)&lt;&gt;1,CHOOSE(MID(TEXT(N5,"00000000.00"),3,1)+1,,"one","two","three","four","five","six","seven","eight","nine"),CHOOSE(MID(TEXT(N5,"00000000.00"),3,1)+1,"ten","eleven","twelve","thirteen","fourteen","fifteen","sixteen","seventeen","eighteen","nineteen"))&amp;IF((--LEFT(TEXT(N5,"00000000.00"))+MID(TEXT(N5,"00000000.00"),2,1)+MID(TEXT(N5,"00000000.00"),3,1))=0,,IF(AND((--MID(TEXT(N5,"00000000.00"),4,1)+MID(TEXT(N5,"00000000.00"),5,1)+MID(TEXT(N5,"00000000.00"),6,1)+MID(TEXT(N5,"00000000.00"),7,1))=0,(--MID(TEXT(N5,"00000000.00"),8,1)+RIGHT(TEXT(N5,"00000000.00")))&gt;0)," lakh and "," lakhs"))&amp;CHOOSE(MID(TEXT(N5,"000000000.00"),5,1)+1,,," twenty"," thirty"," forty"," fifty"," sixty"," seventy"," eighty"," ninety")&amp;IF(--MID(TEXT(N5,"000000000.00"),5,1)&lt;&gt;1,CHOOSE(MID(TEXT(N5,"000000000.00"),6,1)+1,," one"," two"," three"," four"," five"," six"," seven"," eight"," nine"),CHOOSE(MID(TEXT(N5,"000000000.00"),6,1)+1," ten"," eleven"," twelve"," thirteen"," fourteen"," fifteen"," sixteen"," seventeen"," eighteen"," nineteen"))&amp;IF((--MID(TEXT(N5,"000000000.00"),4,1)+MID(TEXT(N5,"000000000.00"),5,1)+MID(TEXT(N5,"000000000.00"),6,1))=0,,IF(OR((--MID(TEXT(N5,"000000000.00"),7,1)+MID(TEXT(N5,"000000000.00"),8,1)+MID(TEXT(N5,"000000000.00"),9,1))=0,--MID(TEXT(N5,"000000000.00"),7,1)&lt;&gt;0)," thousand"," thousand and "))&amp;CHOOSE(MID(TEXT(N5,"000000000.00"),7,1)+1,," one"," two"," Three"," four"," five"," six"," seven"," eight"," nine")&amp;IF(--MID(TEXT(N5,"000000000.00"),7,1)=0,,IF(AND(--MID(TEXT(N5,"000000000.00"),8,1)=0,--MID(TEXT(N5,"000000000.00"),9,1)=0)," hundred"," hundred and "))&amp;CHOOSE(MID(TEXT(N5,"000000000.00"),8,1)+1,,,"twenty","thirty","forty","fifty","sixty","seventy","eighty","ninety")&amp;IF(--MID(TEXT(N5,"000000000.00"),8,1)&lt;&gt;1,CHOOSE(MID(TEXT(N5,"000000000.00"),9,1)+1,,"one","two","three","four","five","six","seven","eight","nine"),CHOOSE(MID(TEXT(N5,"000000000.00"),9,1)+1,"ten","eleven","twelve","thirteen","fourteen","fifteen","sixteen","seventeen","eighteen","nineteen"))&amp;" only)")</f>
        <v>(Rupees  ten thousand six hundred and twenty only)</v>
      </c>
    </row>
    <row r="6" spans="2:19" ht="15.75" x14ac:dyDescent="0.25">
      <c r="B6" s="3"/>
      <c r="C6" s="1023"/>
      <c r="D6" s="1023"/>
      <c r="E6" s="1023"/>
      <c r="F6" s="1023"/>
      <c r="G6" s="1023"/>
      <c r="H6" s="1023"/>
      <c r="I6" s="1023"/>
      <c r="J6" s="1023"/>
      <c r="K6" s="78"/>
      <c r="L6" s="3"/>
      <c r="M6" s="708" t="s">
        <v>289</v>
      </c>
      <c r="N6" s="134">
        <f>'Rev PR'!K19</f>
        <v>45870</v>
      </c>
      <c r="O6" s="136"/>
      <c r="P6" s="94"/>
      <c r="Q6" s="94"/>
      <c r="R6" s="94"/>
      <c r="S6" s="94"/>
    </row>
    <row r="7" spans="2:19" ht="15.75" x14ac:dyDescent="0.25">
      <c r="B7" s="3"/>
      <c r="C7" s="1024" t="str">
        <f>"Reference:-"&amp;'Rev PR'!H5&amp;'Rev PR'!I5&amp;" issued in favour of "&amp;'Rev PR'!I7&amp;" "&amp;'Rev PR'!J7&amp;", Retd."&amp;'Rev PR'!J8</f>
        <v>Reference:-PPO No. issued in favour of Shri 0, Retd.0</v>
      </c>
      <c r="D7" s="1024"/>
      <c r="E7" s="1024"/>
      <c r="F7" s="1024"/>
      <c r="G7" s="1024"/>
      <c r="H7" s="1024"/>
      <c r="I7" s="1024"/>
      <c r="J7" s="1024"/>
      <c r="K7" s="78"/>
      <c r="L7" s="3"/>
      <c r="M7" s="708" t="str">
        <f>'Rev PR'!C15</f>
        <v>Reduced Pension</v>
      </c>
      <c r="N7" s="116">
        <f>'Rev PR'!E15</f>
        <v>10620</v>
      </c>
      <c r="O7" s="136" t="str">
        <f>IF(N7="Not admissible","Not admissible","(Rupees "&amp;CHOOSE(MID(TEXT(N7,"00000000.00"),2,1)+1,,,"twenty ","thirty ","forty ","fifty ","sixty ","seventy ","eighty ","ninety ")&amp;IF(--MID(TEXT(N7,"00000000.00"),2,1)&lt;&gt;1,CHOOSE(MID(TEXT(N7,"00000000.00"),3,1)+1,,"one","two","three","four","five","six","seven","eight","nine"),CHOOSE(MID(TEXT(N7,"00000000.00"),3,1)+1,"ten","eleven","twelve","thirteen","fourteen","fifteen","sixteen","seventeen","eighteen","nineteen"))&amp;IF((--LEFT(TEXT(N7,"00000000.00"))+MID(TEXT(N7,"00000000.00"),2,1)+MID(TEXT(N7,"00000000.00"),3,1))=0,,IF(AND((--MID(TEXT(N7,"00000000.00"),4,1)+MID(TEXT(N7,"00000000.00"),5,1)+MID(TEXT(N7,"00000000.00"),6,1)+MID(TEXT(N7,"00000000.00"),7,1))=0,(--MID(TEXT(N7,"00000000.00"),8,1)+RIGHT(TEXT(N7,"00000000.00")))&gt;0)," lakh and "," lakhs"))&amp;CHOOSE(MID(TEXT(N7,"000000000.00"),5,1)+1,,," twenty"," thirty"," forty"," fifty"," sixty"," seventy"," eighty"," ninety")&amp;IF(--MID(TEXT(N7,"000000000.00"),5,1)&lt;&gt;1,CHOOSE(MID(TEXT(N7,"000000000.00"),6,1)+1,," one"," two"," three"," four"," five"," six"," seven"," eight"," nine"),CHOOSE(MID(TEXT(N7,"000000000.00"),6,1)+1," ten"," eleven"," twelve"," thirteen"," fourteen"," fifteen"," sixteen"," seventeen"," eighteen"," nineteen"))&amp;IF((--MID(TEXT(N7,"000000000.00"),4,1)+MID(TEXT(N7,"000000000.00"),5,1)+MID(TEXT(N7,"000000000.00"),6,1))=0,,IF(OR((--MID(TEXT(N7,"000000000.00"),7,1)+MID(TEXT(N7,"000000000.00"),8,1)+MID(TEXT(N7,"000000000.00"),9,1))=0,--MID(TEXT(N7,"000000000.00"),7,1)&lt;&gt;0)," thousand"," thousand and "))&amp;CHOOSE(MID(TEXT(N7,"000000000.00"),7,1)+1,," one"," two"," Three"," four"," five"," six"," seven"," eight"," nine")&amp;IF(--MID(TEXT(N7,"000000000.00"),7,1)=0,,IF(AND(--MID(TEXT(N7,"000000000.00"),8,1)=0,--MID(TEXT(N7,"000000000.00"),9,1)=0)," hundred"," hundred and "))&amp;CHOOSE(MID(TEXT(N7,"000000000.00"),8,1)+1,,,"twenty","thirty","forty","fifty","sixty","seventy","eighty","ninety")&amp;IF(--MID(TEXT(N7,"000000000.00"),8,1)&lt;&gt;1,CHOOSE(MID(TEXT(N7,"000000000.00"),9,1)+1,,"one","two","three","four","five","six","seven","eight","nine"),CHOOSE(MID(TEXT(N7,"000000000.00"),9,1)+1,"ten","eleven","twelve","thirteen","fourteen","fifteen","sixteen","seventeen","eighteen","nineteen"))&amp;" only)")</f>
        <v>(Rupees  ten thousand six hundred and twenty only)</v>
      </c>
      <c r="P7" s="136"/>
      <c r="Q7" s="136"/>
      <c r="R7" s="136"/>
      <c r="S7" s="136"/>
    </row>
    <row r="8" spans="2:19" ht="15.75" x14ac:dyDescent="0.25">
      <c r="B8" s="3"/>
      <c r="C8" s="979" t="str">
        <f>"          Due to "&amp;'Rev PR'!I3&amp;" the rate of Pension/Family Pension as incorporated in the above mentioned PPO stands revised as under subject to adjustment of amount already drawn."</f>
        <v xml:space="preserve">          Due to Change of Last pay due to notional increment the rate of Pension/Family Pension as incorporated in the above mentioned PPO stands revised as under subject to adjustment of amount already drawn.</v>
      </c>
      <c r="D8" s="979"/>
      <c r="E8" s="979"/>
      <c r="F8" s="979"/>
      <c r="G8" s="979"/>
      <c r="H8" s="979"/>
      <c r="I8" s="979"/>
      <c r="J8" s="979"/>
      <c r="K8" s="78"/>
      <c r="L8" s="3"/>
      <c r="M8" s="708" t="s">
        <v>158</v>
      </c>
      <c r="N8" s="116">
        <f>'Rev PR'!E14</f>
        <v>7080</v>
      </c>
      <c r="O8" s="136" t="str">
        <f>"(Rupees "&amp;CHOOSE(MID(TEXT(N8,"00000000.00"),2,1)+1,,,"twenty ","thirty ","forty ","fifty ","sixty ","seventy ","eighty ","ninety ")&amp;IF(--MID(TEXT(N8,"00000000.00"),2,1)&lt;&gt;1,CHOOSE(MID(TEXT(N8,"00000000.00"),3,1)+1,,"one","two","three","four","five","six","seven","eight","nine"),CHOOSE(MID(TEXT(N8,"00000000.00"),3,1)+1,"ten","eleven","twelve","thirteen","fourteen","fifteen","sixteen","seventeen","eighteen","nineteen"))&amp;IF((--LEFT(TEXT(N8,"00000000.00"))+MID(TEXT(N8,"00000000.00"),2,1)+MID(TEXT(N8,"00000000.00"),3,1))=0,,IF(AND((--MID(TEXT(N8,"00000000.00"),4,1)+MID(TEXT(N8,"00000000.00"),5,1)+MID(TEXT(N8,"00000000.00"),6,1)+MID(TEXT(N8,"00000000.00"),7,1))=0,(--MID(TEXT(N8,"00000000.00"),8,1)+RIGHT(TEXT(N8,"00000000.00")))&gt;0)," lakh and "," lakhs"))&amp;CHOOSE(MID(TEXT(N8,"000000000.00"),5,1)+1,,," twenty"," thirty"," forty"," fifty"," sixty"," seventy"," eighty"," ninety")&amp;IF(--MID(TEXT(N8,"000000000.00"),5,1)&lt;&gt;1,CHOOSE(MID(TEXT(N8,"000000000.00"),6,1)+1,," one"," two"," three"," four"," five"," six"," seven"," eight"," nine"),CHOOSE(MID(TEXT(N8,"000000000.00"),6,1)+1," ten"," eleven"," twelve"," thirteen"," fourteen"," fifteen"," sixteen"," seventeen"," eighteen"," nineteen"))&amp;IF((--MID(TEXT(N8,"000000000.00"),4,1)+MID(TEXT(N8,"000000000.00"),5,1)+MID(TEXT(N8,"000000000.00"),6,1))=0,,IF(OR((--MID(TEXT(N8,"000000000.00"),7,1)+MID(TEXT(N8,"000000000.00"),8,1)+MID(TEXT(N8,"000000000.00"),9,1))=0,--MID(TEXT(N8,"000000000.00"),7,1)&lt;&gt;0)," thousand"," thousand and "))&amp;CHOOSE(MID(TEXT(N8,"000000000.00"),7,1)+1,," one"," two"," Three"," four"," five"," six"," seven"," eight"," nine")&amp;IF(--MID(TEXT(N8,"000000000.00"),7,1)=0,,IF(AND(--MID(TEXT(N8,"000000000.00"),8,1)=0,--MID(TEXT(N8,"000000000.00"),9,1)=0)," hundred"," hundred and "))&amp;CHOOSE(MID(TEXT(N8,"000000000.00"),8,1)+1,,,"twenty","thirty","forty","fifty","sixty","seventy","eighty","ninety")&amp;IF(--MID(TEXT(N8,"000000000.00"),8,1)&lt;&gt;1,CHOOSE(MID(TEXT(N8,"000000000.00"),9,1)+1,,"one","two","three","four","five","six","seven","eight","nine"),CHOOSE(MID(TEXT(N8,"000000000.00"),9,1)+1,"ten","eleven","twelve","thirteen","fourteen","fifteen","sixteen","seventeen","eighteen","nineteen"))&amp;" only)"</f>
        <v>(Rupees  seven thousand and eighty only)</v>
      </c>
      <c r="P8" s="136"/>
      <c r="Q8" s="136"/>
      <c r="R8" s="136"/>
      <c r="S8" s="136"/>
    </row>
    <row r="9" spans="2:19" ht="15.75" customHeight="1" x14ac:dyDescent="0.25">
      <c r="B9" s="3"/>
      <c r="C9" s="979"/>
      <c r="D9" s="979"/>
      <c r="E9" s="979"/>
      <c r="F9" s="979"/>
      <c r="G9" s="979"/>
      <c r="H9" s="979"/>
      <c r="I9" s="979"/>
      <c r="J9" s="979"/>
      <c r="K9" s="78"/>
      <c r="L9" s="3"/>
      <c r="M9" s="708" t="str">
        <f>'Rev PR'!C19</f>
        <v>Revised DCRG</v>
      </c>
      <c r="N9" s="116">
        <f>'Rev PR'!E19</f>
        <v>0</v>
      </c>
      <c r="O9" s="136" t="str">
        <f>"(Rupees "&amp;CHOOSE(MID(TEXT(N9,"00000000.00"),2,1)+1,,,"twenty ","thirty ","forty ","fifty ","sixty ","seventy ","eighty ","ninety ")&amp;IF(--MID(TEXT(N9,"00000000.00"),2,1)&lt;&gt;1,CHOOSE(MID(TEXT(N9,"00000000.00"),3,1)+1,,"one","two","three","four","five","six","seven","eight","nine"),CHOOSE(MID(TEXT(N9,"00000000.00"),3,1)+1,"ten","eleven","twelve","thirteen","fourteen","fifteen","sixteen","seventeen","eighteen","nineteen"))&amp;IF((--LEFT(TEXT(N9,"00000000.00"))+MID(TEXT(N9,"00000000.00"),2,1)+MID(TEXT(N9,"00000000.00"),3,1))=0,,IF(AND((--MID(TEXT(N9,"00000000.00"),4,1)+MID(TEXT(N9,"00000000.00"),5,1)+MID(TEXT(N9,"00000000.00"),6,1)+MID(TEXT(N9,"00000000.00"),7,1))=0,(--MID(TEXT(N9,"00000000.00"),8,1)+RIGHT(TEXT(N9,"00000000.00")))&gt;0)," lakh and "," lakhs"))&amp;CHOOSE(MID(TEXT(N9,"000000000.00"),5,1)+1,,," twenty"," thirty"," forty"," fifty"," sixty"," seventy"," eighty"," ninety")&amp;IF(--MID(TEXT(N9,"000000000.00"),5,1)&lt;&gt;1,CHOOSE(MID(TEXT(N9,"000000000.00"),6,1)+1,," one"," two"," three"," four"," five"," six"," seven"," eight"," nine"),CHOOSE(MID(TEXT(N9,"000000000.00"),6,1)+1," ten"," eleven"," twelve"," thirteen"," fourteen"," fifteen"," sixteen"," seventeen"," eighteen"," nineteen"))&amp;IF((--MID(TEXT(N9,"000000000.00"),4,1)+MID(TEXT(N9,"000000000.00"),5,1)+MID(TEXT(N9,"000000000.00"),6,1))=0,,IF(OR((--MID(TEXT(N9,"000000000.00"),7,1)+MID(TEXT(N9,"000000000.00"),8,1)+MID(TEXT(N9,"000000000.00"),9,1))=0,--MID(TEXT(N9,"000000000.00"),7,1)&lt;&gt;0)," thousand"," thousand and "))&amp;CHOOSE(MID(TEXT(N9,"000000000.00"),7,1)+1,," one"," two"," Three"," four"," five"," six"," seven"," eight"," nine")&amp;IF(--MID(TEXT(N9,"000000000.00"),7,1)=0,,IF(AND(--MID(TEXT(N9,"000000000.00"),8,1)=0,--MID(TEXT(N9,"000000000.00"),9,1)=0)," hundred"," hundred and "))&amp;CHOOSE(MID(TEXT(N9,"000000000.00"),8,1)+1,,,"twenty","thirty","forty","fifty","sixty","seventy","eighty","ninety")&amp;IF(--MID(TEXT(N9,"000000000.00"),8,1)&lt;&gt;1,CHOOSE(MID(TEXT(N9,"000000000.00"),9,1)+1,,"one","two","three","four","five","six","seven","eight","nine"),CHOOSE(MID(TEXT(N9,"000000000.00"),9,1)+1,"ten","eleven","twelve","thirteen","fourteen","fifteen","sixteen","seventeen","eighteen","nineteen"))&amp;" only)"</f>
        <v>(Rupees  only)</v>
      </c>
      <c r="P9" s="136"/>
      <c r="Q9" s="136"/>
      <c r="R9" s="136"/>
      <c r="S9" s="136"/>
    </row>
    <row r="10" spans="2:19" ht="15.75" x14ac:dyDescent="0.25">
      <c r="B10" s="3"/>
      <c r="C10" s="979"/>
      <c r="D10" s="979"/>
      <c r="E10" s="979"/>
      <c r="F10" s="979"/>
      <c r="G10" s="979"/>
      <c r="H10" s="979"/>
      <c r="I10" s="979"/>
      <c r="J10" s="979"/>
      <c r="K10" s="78"/>
      <c r="L10" s="3"/>
      <c r="M10" s="708" t="str">
        <f>'Rev PR'!C20</f>
        <v>Paid DCRG</v>
      </c>
      <c r="N10" s="116">
        <f>'Rev PR'!E20</f>
        <v>0</v>
      </c>
      <c r="O10" s="136" t="str">
        <f>"(Rupees "&amp;CHOOSE(MID(TEXT(N10,"00000000.00"),2,1)+1,,,"twenty ","thirty ","forty ","fifty ","sixty ","seventy ","eighty ","ninety ")&amp;IF(--MID(TEXT(N10,"00000000.00"),2,1)&lt;&gt;1,CHOOSE(MID(TEXT(N10,"00000000.00"),3,1)+1,,"one","two","three","four","five","six","seven","eight","nine"),CHOOSE(MID(TEXT(N10,"00000000.00"),3,1)+1,"ten","eleven","twelve","thirteen","fourteen","fifteen","sixteen","seventeen","eighteen","nineteen"))&amp;IF((--LEFT(TEXT(N10,"00000000.00"))+MID(TEXT(N10,"00000000.00"),2,1)+MID(TEXT(N10,"00000000.00"),3,1))=0,,IF(AND((--MID(TEXT(N10,"00000000.00"),4,1)+MID(TEXT(N10,"00000000.00"),5,1)+MID(TEXT(N10,"00000000.00"),6,1)+MID(TEXT(N10,"00000000.00"),7,1))=0,(--MID(TEXT(N10,"00000000.00"),8,1)+RIGHT(TEXT(N10,"00000000.00")))&gt;0)," lakh and "," lakhs"))&amp;CHOOSE(MID(TEXT(N10,"000000000.00"),5,1)+1,,," twenty"," thirty"," forty"," fifty"," sixty"," seventy"," eighty"," ninety")&amp;IF(--MID(TEXT(N10,"000000000.00"),5,1)&lt;&gt;1,CHOOSE(MID(TEXT(N10,"000000000.00"),6,1)+1,," one"," two"," three"," four"," five"," six"," seven"," eight"," nine"),CHOOSE(MID(TEXT(N10,"000000000.00"),6,1)+1," ten"," eleven"," twelve"," thirteen"," fourteen"," fifteen"," sixteen"," seventeen"," eighteen"," nineteen"))&amp;IF((--MID(TEXT(N10,"000000000.00"),4,1)+MID(TEXT(N10,"000000000.00"),5,1)+MID(TEXT(N10,"000000000.00"),6,1))=0,,IF(OR((--MID(TEXT(N10,"000000000.00"),7,1)+MID(TEXT(N10,"000000000.00"),8,1)+MID(TEXT(N10,"000000000.00"),9,1))=0,--MID(TEXT(N10,"000000000.00"),7,1)&lt;&gt;0)," thousand"," thousand and "))&amp;CHOOSE(MID(TEXT(N10,"000000000.00"),7,1)+1,," one"," two"," Three"," four"," five"," six"," seven"," eight"," nine")&amp;IF(--MID(TEXT(N10,"000000000.00"),7,1)=0,,IF(AND(--MID(TEXT(N10,"000000000.00"),8,1)=0,--MID(TEXT(N10,"000000000.00"),9,1)=0)," hundred"," hundred and "))&amp;CHOOSE(MID(TEXT(N10,"000000000.00"),8,1)+1,,,"twenty","thirty","forty","fifty","sixty","seventy","eighty","ninety")&amp;IF(--MID(TEXT(N10,"000000000.00"),8,1)&lt;&gt;1,CHOOSE(MID(TEXT(N10,"000000000.00"),9,1)+1,,"one","two","three","four","five","six","seven","eight","nine"),CHOOSE(MID(TEXT(N10,"000000000.00"),9,1)+1,"ten","eleven","twelve","thirteen","fourteen","fifteen","sixteen","seventeen","eighteen","nineteen"))&amp;" only)"</f>
        <v>(Rupees  only)</v>
      </c>
      <c r="P10" s="136"/>
      <c r="Q10" s="136"/>
      <c r="R10" s="136"/>
      <c r="S10" s="136"/>
    </row>
    <row r="11" spans="2:19" ht="15.75" customHeight="1" x14ac:dyDescent="0.25">
      <c r="B11" s="3"/>
      <c r="C11" s="979" t="str">
        <f>"          Revised Superannuation Pension "&amp;TEXT('Rev PR'!E13,"₹ #,##0;")&amp;"/-"&amp;'Rev Auth'!O5&amp;" per month w.e.f. "&amp;TEXT('Rev PR'!K19,"dd/mm/yyyy")&amp;" per month and reduced pension payable "&amp;TEXT('Rev PR'!E15,"₹ #,##0;")&amp;"/-"&amp;'Rev Auth'!O7&amp;" from the date following the date of C.V.P. due to commutation of pension of "&amp;TEXT('Rev PR'!E14,"₹ #,##0;")&amp;"/-"&amp;'Rev Auth'!O8&amp;" vide No."&amp;'Rev PR'!I25&amp;" plus dearness relief and medical allowance as admissible from time to time."</f>
        <v xml:space="preserve">          Revised Superannuation Pension ₹ 17,700/-(Rupees  ten thousand six hundred and twenty only) per month w.e.f. 01/08/2025 per month and reduced pension payable ₹ 10,620/-(Rupees  ten thousand six hundred and twenty only) from the date following the date of C.V.P. due to commutation of pension of ₹ 7,080/-(Rupees  seven thousand and eighty only) vide No. plus dearness relief and medical allowance as admissible from time to time.</v>
      </c>
      <c r="D11" s="979"/>
      <c r="E11" s="979"/>
      <c r="F11" s="979"/>
      <c r="G11" s="979"/>
      <c r="H11" s="979"/>
      <c r="I11" s="979"/>
      <c r="J11" s="979"/>
      <c r="K11" s="78"/>
      <c r="L11" s="3"/>
      <c r="M11" s="708" t="str">
        <f>'Rev PR'!C21</f>
        <v>Revised Payable DCRG</v>
      </c>
      <c r="N11" s="116" t="b">
        <f>IF('Rev PR'!E21="Nil",0)</f>
        <v>0</v>
      </c>
      <c r="O11" s="136" t="e">
        <f>"(Rupees "&amp;CHOOSE(MID(TEXT(N11,"00000000.00"),2,1)+1,,,"twenty ","thirty ","forty ","fifty ","sixty ","seventy ","eighty ","ninety ")&amp;IF(--MID(TEXT(N11,"00000000.00"),2,1)&lt;&gt;1,CHOOSE(MID(TEXT(N11,"00000000.00"),3,1)+1,,"one","two","three","four","five","six","seven","eight","nine"),CHOOSE(MID(TEXT(N11,"00000000.00"),3,1)+1,"ten","eleven","twelve","thirteen","fourteen","fifteen","sixteen","seventeen","eighteen","nineteen"))&amp;IF((--LEFT(TEXT(N11,"00000000.00"))+MID(TEXT(N11,"00000000.00"),2,1)+MID(TEXT(N11,"00000000.00"),3,1))=0,,IF(AND((--MID(TEXT(N11,"00000000.00"),4,1)+MID(TEXT(N11,"00000000.00"),5,1)+MID(TEXT(N11,"00000000.00"),6,1)+MID(TEXT(N11,"00000000.00"),7,1))=0,(--MID(TEXT(N11,"00000000.00"),8,1)+RIGHT(TEXT(N11,"00000000.00")))&gt;0)," lakh and "," lakhs"))&amp;CHOOSE(MID(TEXT(N11,"000000000.00"),5,1)+1,,," twenty"," thirty"," forty"," fifty"," sixty"," seventy"," eighty"," ninety")&amp;IF(--MID(TEXT(N11,"000000000.00"),5,1)&lt;&gt;1,CHOOSE(MID(TEXT(N11,"000000000.00"),6,1)+1,," one"," two"," three"," four"," five"," six"," seven"," eight"," nine"),CHOOSE(MID(TEXT(N11,"000000000.00"),6,1)+1," ten"," eleven"," twelve"," thirteen"," fourteen"," fifteen"," sixteen"," seventeen"," eighteen"," nineteen"))&amp;IF((--MID(TEXT(N11,"000000000.00"),4,1)+MID(TEXT(N11,"000000000.00"),5,1)+MID(TEXT(N11,"000000000.00"),6,1))=0,,IF(OR((--MID(TEXT(N11,"000000000.00"),7,1)+MID(TEXT(N11,"000000000.00"),8,1)+MID(TEXT(N11,"000000000.00"),9,1))=0,--MID(TEXT(N11,"000000000.00"),7,1)&lt;&gt;0)," thousand"," thousand and "))&amp;CHOOSE(MID(TEXT(N11,"000000000.00"),7,1)+1,," one"," two"," Three"," four"," five"," six"," seven"," eight"," nine")&amp;IF(--MID(TEXT(N11,"000000000.00"),7,1)=0,,IF(AND(--MID(TEXT(N11,"000000000.00"),8,1)=0,--MID(TEXT(N11,"000000000.00"),9,1)=0)," hundred"," hundred and "))&amp;CHOOSE(MID(TEXT(N11,"000000000.00"),8,1)+1,,,"twenty","thirty","forty","fifty","sixty","seventy","eighty","ninety")&amp;IF(--MID(TEXT(N11,"000000000.00"),8,1)&lt;&gt;1,CHOOSE(MID(TEXT(N11,"000000000.00"),9,1)+1,,"one","two","three","four","five","six","seven","eight","nine"),CHOOSE(MID(TEXT(N11,"000000000.00"),9,1)+1,"ten","eleven","twelve","thirteen","fourteen","fifteen","sixteen","seventeen","eighteen","nineteen"))&amp;" only)"</f>
        <v>#VALUE!</v>
      </c>
      <c r="P11" s="3"/>
      <c r="Q11" s="3"/>
      <c r="R11" s="3"/>
      <c r="S11" s="3"/>
    </row>
    <row r="12" spans="2:19" ht="15.75" customHeight="1" x14ac:dyDescent="0.25">
      <c r="B12" s="3"/>
      <c r="C12" s="979"/>
      <c r="D12" s="979"/>
      <c r="E12" s="979"/>
      <c r="F12" s="979"/>
      <c r="G12" s="979"/>
      <c r="H12" s="979"/>
      <c r="I12" s="979"/>
      <c r="J12" s="979"/>
      <c r="K12" s="78"/>
      <c r="L12" s="94"/>
      <c r="M12" s="708" t="s">
        <v>72</v>
      </c>
      <c r="N12" s="116" t="str">
        <f>'Rev PR'!E16</f>
        <v>Not admissible</v>
      </c>
      <c r="O12" s="136" t="str">
        <f>IF(N12="Not admissible","Not admissible","(Rupees "&amp;CHOOSE(MID(TEXT(N12,"00000000.00"),2,1)+1,,,"twenty ","thirty ","forty ","fifty ","sixty ","seventy ","eighty ","ninety ")&amp;IF(--MID(TEXT(N12,"00000000.00"),2,1)&lt;&gt;1,CHOOSE(MID(TEXT(N12,"00000000.00"),3,1)+1,,"one","two","three","four","five","six","seven","eight","nine"),CHOOSE(MID(TEXT(N12,"00000000.00"),3,1)+1,"ten","eleven","twelve","thirteen","fourteen","fifteen","sixteen","seventeen","eighteen","nineteen"))&amp;IF((--LEFT(TEXT(N12,"00000000.00"))+MID(TEXT(N12,"00000000.00"),2,1)+MID(TEXT(N12,"00000000.00"),3,1))=0,,IF(AND((--MID(TEXT(N12,"00000000.00"),4,1)+MID(TEXT(N12,"00000000.00"),5,1)+MID(TEXT(N12,"00000000.00"),6,1)+MID(TEXT(N12,"00000000.00"),7,1))=0,(--MID(TEXT(N12,"00000000.00"),8,1)+RIGHT(TEXT(N12,"00000000.00")))&gt;0)," lakh and "," lakhs"))&amp;CHOOSE(MID(TEXT(N12,"000000000.00"),5,1)+1,,," twenty"," thirty"," forty"," fifty"," sixty"," seventy"," eighty"," ninety")&amp;IF(--MID(TEXT(N12,"000000000.00"),5,1)&lt;&gt;1,CHOOSE(MID(TEXT(N12,"000000000.00"),6,1)+1,," one"," two"," three"," four"," five"," six"," seven"," eight"," nine"),CHOOSE(MID(TEXT(N12,"000000000.00"),6,1)+1," ten"," eleven"," twelve"," thirteen"," fourteen"," fifteen"," sixteen"," seventeen"," eighteen"," nineteen"))&amp;IF((--MID(TEXT(N12,"000000000.00"),4,1)+MID(TEXT(N12,"000000000.00"),5,1)+MID(TEXT(N12,"000000000.00"),6,1))=0,,IF(OR((--MID(TEXT(N12,"000000000.00"),7,1)+MID(TEXT(N12,"000000000.00"),8,1)+MID(TEXT(N12,"000000000.00"),9,1))=0,--MID(TEXT(N12,"000000000.00"),7,1)&lt;&gt;0)," thousand"," thousand and "))&amp;CHOOSE(MID(TEXT(N12,"000000000.00"),7,1)+1,," one"," two"," Three"," four"," five"," six"," seven"," eight"," nine")&amp;IF(--MID(TEXT(N12,"000000000.00"),7,1)=0,,IF(AND(--MID(TEXT(N12,"000000000.00"),8,1)=0,--MID(TEXT(N12,"000000000.00"),9,1)=0)," hundred"," hundred and "))&amp;CHOOSE(MID(TEXT(N12,"000000000.00"),8,1)+1,,,"twenty","thirty","forty","fifty","sixty","seventy","eighty","ninety")&amp;IF(--MID(TEXT(N12,"000000000.00"),8,1)&lt;&gt;1,CHOOSE(MID(TEXT(N12,"000000000.00"),9,1)+1,,"one","two","three","four","five","six","seven","eight","nine"),CHOOSE(MID(TEXT(N12,"000000000.00"),9,1)+1,"ten","eleven","twelve","thirteen","fourteen","fifteen","sixteen","seventeen","eighteen","nineteen"))&amp;" only)")</f>
        <v>Not admissible</v>
      </c>
      <c r="P12" s="136"/>
      <c r="Q12" s="136"/>
      <c r="R12" s="94"/>
      <c r="S12" s="94"/>
    </row>
    <row r="13" spans="2:19" ht="15.75" x14ac:dyDescent="0.25">
      <c r="B13" s="3"/>
      <c r="C13" s="979"/>
      <c r="D13" s="979"/>
      <c r="E13" s="979"/>
      <c r="F13" s="979"/>
      <c r="G13" s="979"/>
      <c r="H13" s="979"/>
      <c r="I13" s="979"/>
      <c r="J13" s="979"/>
      <c r="K13" s="78"/>
      <c r="L13" s="94"/>
      <c r="M13" s="708" t="s">
        <v>290</v>
      </c>
      <c r="N13" s="134" t="str">
        <f>'Rev PR'!K20</f>
        <v/>
      </c>
      <c r="O13" s="136"/>
      <c r="P13" s="117"/>
      <c r="Q13" s="117"/>
      <c r="R13" s="117"/>
      <c r="S13" s="117"/>
    </row>
    <row r="14" spans="2:19" ht="15.75" x14ac:dyDescent="0.25">
      <c r="B14" s="3"/>
      <c r="C14" s="979"/>
      <c r="D14" s="979"/>
      <c r="E14" s="979"/>
      <c r="F14" s="979"/>
      <c r="G14" s="979"/>
      <c r="H14" s="979"/>
      <c r="I14" s="979"/>
      <c r="J14" s="979"/>
      <c r="K14" s="78"/>
      <c r="L14" s="94"/>
      <c r="M14" s="708" t="s">
        <v>173</v>
      </c>
      <c r="N14" s="116" t="str">
        <f>'Rev PR'!E17</f>
        <v>Not admissible</v>
      </c>
      <c r="O14" s="136" t="str">
        <f>IF(N14="Not admissible","Not admissible","(Rupees "&amp;CHOOSE(MID(TEXT(N14,"00000000.00"),2,1)+1,,,"twenty ","thirty ","forty ","fifty ","sixty ","seventy ","eighty ","ninety ")&amp;IF(--MID(TEXT(N14,"00000000.00"),2,1)&lt;&gt;1,CHOOSE(MID(TEXT(N14,"00000000.00"),3,1)+1,,"one","two","three","four","five","six","seven","eight","nine"),CHOOSE(MID(TEXT(N14,"00000000.00"),3,1)+1,"ten","eleven","twelve","thirteen","fourteen","fifteen","sixteen","seventeen","eighteen","nineteen"))&amp;IF((--LEFT(TEXT(N14,"00000000.00"))+MID(TEXT(N14,"00000000.00"),2,1)+MID(TEXT(N14,"00000000.00"),3,1))=0,,IF(AND((--MID(TEXT(N14,"00000000.00"),4,1)+MID(TEXT(N14,"00000000.00"),5,1)+MID(TEXT(N14,"00000000.00"),6,1)+MID(TEXT(N14,"00000000.00"),7,1))=0,(--MID(TEXT(N14,"00000000.00"),8,1)+RIGHT(TEXT(N14,"00000000.00")))&gt;0)," lakh and "," lakhs"))&amp;CHOOSE(MID(TEXT(N14,"000000000.00"),5,1)+1,,," twenty"," thirty"," forty"," fifty"," sixty"," seventy"," eighty"," ninety")&amp;IF(--MID(TEXT(N14,"000000000.00"),5,1)&lt;&gt;1,CHOOSE(MID(TEXT(N14,"000000000.00"),6,1)+1,," one"," two"," three"," four"," five"," six"," seven"," eight"," nine"),CHOOSE(MID(TEXT(N14,"000000000.00"),6,1)+1," ten"," eleven"," twelve"," thirteen"," fourteen"," fifteen"," sixteen"," seventeen"," eighteen"," nineteen"))&amp;IF((--MID(TEXT(N14,"000000000.00"),4,1)+MID(TEXT(N14,"000000000.00"),5,1)+MID(TEXT(N14,"000000000.00"),6,1))=0,,IF(OR((--MID(TEXT(N14,"000000000.00"),7,1)+MID(TEXT(N14,"000000000.00"),8,1)+MID(TEXT(N14,"000000000.00"),9,1))=0,--MID(TEXT(N14,"000000000.00"),7,1)&lt;&gt;0)," thousand"," thousand and "))&amp;CHOOSE(MID(TEXT(N14,"000000000.00"),7,1)+1,," one"," two"," Three"," four"," five"," six"," seven"," eight"," nine")&amp;IF(--MID(TEXT(N14,"000000000.00"),7,1)=0,,IF(AND(--MID(TEXT(N14,"000000000.00"),8,1)=0,--MID(TEXT(N14,"000000000.00"),9,1)=0)," hundred"," hundred and "))&amp;CHOOSE(MID(TEXT(N14,"000000000.00"),8,1)+1,,,"twenty","thirty","forty","fifty","sixty","seventy","eighty","ninety")&amp;IF(--MID(TEXT(N14,"000000000.00"),8,1)&lt;&gt;1,CHOOSE(MID(TEXT(N14,"000000000.00"),9,1)+1,,"one","two","three","four","five","six","seven","eight","nine"),CHOOSE(MID(TEXT(N14,"000000000.00"),9,1)+1,"ten","eleven","twelve","thirteen","fourteen","fifteen","sixteen","seventeen","eighteen","nineteen"))&amp;" only)")</f>
        <v>Not admissible</v>
      </c>
      <c r="P14" s="94"/>
      <c r="Q14" s="94"/>
      <c r="R14" s="94"/>
      <c r="S14" s="94"/>
    </row>
    <row r="15" spans="2:19" ht="15.75" x14ac:dyDescent="0.25">
      <c r="B15" s="3"/>
      <c r="C15" s="979"/>
      <c r="D15" s="979"/>
      <c r="E15" s="979"/>
      <c r="F15" s="979"/>
      <c r="G15" s="979"/>
      <c r="H15" s="979"/>
      <c r="I15" s="979"/>
      <c r="J15" s="979"/>
      <c r="K15" s="78"/>
      <c r="L15" s="3"/>
      <c r="M15" s="708" t="s">
        <v>289</v>
      </c>
      <c r="N15" s="134" t="str">
        <f>'Rev PR'!K21</f>
        <v/>
      </c>
      <c r="O15" s="88"/>
      <c r="P15" s="3"/>
      <c r="Q15" s="3"/>
      <c r="R15" s="3"/>
      <c r="S15" s="3"/>
    </row>
    <row r="16" spans="2:19" ht="15.75" customHeight="1" x14ac:dyDescent="0.25">
      <c r="B16" s="3"/>
      <c r="C16" s="979" t="e">
        <f>"          Revised D.C.R.G. payable "&amp;TEXT('Rev PR'!E19,"₹ #,##0;")&amp;"/-"&amp;'Rev Auth'!O9&amp;" in lump subject to adjustment of amount of "&amp;TEXT('Rev PR'!E20,"₹ #,##0;")&amp;"/-"&amp;'Rev Auth'!O10&amp;" already drawn vide GPO No."&amp;'Rev PR'!I22&amp;". Net amount of D.C.R.G. now payable "&amp;TEXT('Rev PR'!E21,"₹ #,##0;")&amp;"/-"&amp;'Rev Auth'!O11&amp;" in lump."</f>
        <v>#VALUE!</v>
      </c>
      <c r="D16" s="979"/>
      <c r="E16" s="979"/>
      <c r="F16" s="979"/>
      <c r="G16" s="979"/>
      <c r="H16" s="979"/>
      <c r="I16" s="979"/>
      <c r="J16" s="979"/>
      <c r="K16" s="78"/>
      <c r="L16" s="3"/>
      <c r="M16" s="708" t="s">
        <v>291</v>
      </c>
      <c r="N16" s="708">
        <f>MIN(66,(SUM('Rev PR'!I16*2+IF('Rev PR'!J16&lt;3,"0",IF(AND('Rev PR'!J16&gt;=3,'Rev PR'!J16&lt;9),"1",IF(AND('Rev PR'!J16&gt;=9),"2"))))))</f>
        <v>0</v>
      </c>
      <c r="O16" s="88"/>
      <c r="P16" s="3"/>
      <c r="Q16" s="3"/>
      <c r="R16" s="3"/>
      <c r="S16" s="3"/>
    </row>
    <row r="17" spans="2:19" ht="15.75" x14ac:dyDescent="0.25">
      <c r="B17" s="3"/>
      <c r="C17" s="979"/>
      <c r="D17" s="979"/>
      <c r="E17" s="979"/>
      <c r="F17" s="979"/>
      <c r="G17" s="979"/>
      <c r="H17" s="979"/>
      <c r="I17" s="979"/>
      <c r="J17" s="979"/>
      <c r="K17" s="78"/>
      <c r="L17" s="3"/>
      <c r="M17" s="142" t="s">
        <v>292</v>
      </c>
      <c r="N17" s="142">
        <v>22011</v>
      </c>
      <c r="O17" s="88"/>
      <c r="P17" s="3"/>
      <c r="Q17" s="3"/>
      <c r="R17" s="3"/>
      <c r="S17" s="3"/>
    </row>
    <row r="18" spans="2:19" ht="15.75" x14ac:dyDescent="0.25">
      <c r="B18" s="3"/>
      <c r="C18" s="979"/>
      <c r="D18" s="979"/>
      <c r="E18" s="979"/>
      <c r="F18" s="979"/>
      <c r="G18" s="979"/>
      <c r="H18" s="979"/>
      <c r="I18" s="979"/>
      <c r="J18" s="979"/>
      <c r="K18" s="78"/>
      <c r="L18" s="3"/>
      <c r="M18" s="1092" t="s">
        <v>293</v>
      </c>
      <c r="N18" s="1091"/>
      <c r="O18" s="1091"/>
      <c r="P18" s="3"/>
      <c r="Q18" s="3"/>
      <c r="R18" s="3"/>
      <c r="S18" s="3"/>
    </row>
    <row r="19" spans="2:19" ht="15.75" customHeight="1" x14ac:dyDescent="0.25">
      <c r="B19" s="3"/>
      <c r="C19" s="979" t="str">
        <f>"          Revised enhanced Family Pension "&amp;TEXT('Rev PR'!E16,"₹ #,##0;")&amp;"/-"&amp;'Rev Auth'!O12&amp;" per month upto "&amp;TEXT('Rev PR'!K20,"dd/mm/yyyy")&amp;" and thereafter "&amp;TEXT('Rev PR'!E17,"₹ #,##0;")&amp;"/-"&amp;'Rev Auth'!O14&amp;" per month from "&amp;TEXT('Rev PR'!K21,"dd/mm/yyyy")&amp;" payable to "&amp;'Rev PR'!I9&amp;" "&amp;'Rev PR'!J9&amp;",W/o "&amp;'Rev PR'!I7&amp;" "&amp;'Rev PR'!J7&amp;", Retd. "&amp;'Rev PR'!J8&amp;" plus dearness relief and medical allowance as admissible from time to time till his/her death or remarriage or divorce whichever is earlier."</f>
        <v xml:space="preserve">          Revised enhanced Family Pension Not admissible/-Not admissible per month upto  and thereafter Not admissible/-Not admissible per month from  payable to  ,W/o Shri 0, Retd. 0 plus dearness relief and medical allowance as admissible from time to time till his/her death or remarriage or divorce whichever is earlier.</v>
      </c>
      <c r="D19" s="979"/>
      <c r="E19" s="979"/>
      <c r="F19" s="979"/>
      <c r="G19" s="979"/>
      <c r="H19" s="979"/>
      <c r="I19" s="979"/>
      <c r="J19" s="979"/>
      <c r="K19" s="78"/>
      <c r="L19" s="3"/>
      <c r="M19" s="1092"/>
      <c r="N19" s="1091"/>
      <c r="O19" s="1091"/>
      <c r="P19" s="3"/>
      <c r="Q19" s="3"/>
      <c r="R19" s="3"/>
      <c r="S19" s="3"/>
    </row>
    <row r="20" spans="2:19" ht="15.75" customHeight="1" x14ac:dyDescent="0.25">
      <c r="B20" s="3"/>
      <c r="C20" s="979"/>
      <c r="D20" s="979"/>
      <c r="E20" s="979"/>
      <c r="F20" s="979"/>
      <c r="G20" s="979"/>
      <c r="H20" s="979"/>
      <c r="I20" s="979"/>
      <c r="J20" s="979"/>
      <c r="K20" s="78"/>
      <c r="L20" s="3"/>
      <c r="M20" s="94"/>
      <c r="N20" s="94"/>
      <c r="O20" s="94"/>
      <c r="P20" s="3"/>
      <c r="Q20" s="3"/>
      <c r="R20" s="3"/>
      <c r="S20" s="3"/>
    </row>
    <row r="21" spans="2:19" ht="15.75" customHeight="1" x14ac:dyDescent="0.25">
      <c r="B21" s="3"/>
      <c r="C21" s="979"/>
      <c r="D21" s="979"/>
      <c r="E21" s="979"/>
      <c r="F21" s="979"/>
      <c r="G21" s="979"/>
      <c r="H21" s="979"/>
      <c r="I21" s="979"/>
      <c r="J21" s="979"/>
      <c r="K21" s="78"/>
      <c r="L21" s="3"/>
      <c r="M21" s="94"/>
      <c r="N21" s="94"/>
      <c r="O21" s="94"/>
      <c r="P21" s="3"/>
      <c r="Q21" s="3"/>
      <c r="R21" s="3"/>
      <c r="S21" s="3"/>
    </row>
    <row r="22" spans="2:19" ht="15.75" x14ac:dyDescent="0.25">
      <c r="B22" s="3"/>
      <c r="C22" s="979"/>
      <c r="D22" s="979"/>
      <c r="E22" s="979"/>
      <c r="F22" s="979"/>
      <c r="G22" s="979"/>
      <c r="H22" s="979"/>
      <c r="I22" s="979"/>
      <c r="J22" s="979"/>
      <c r="K22" s="78"/>
      <c r="L22" s="3"/>
      <c r="M22" s="3"/>
      <c r="N22" s="3"/>
      <c r="O22" s="3"/>
      <c r="P22" s="3"/>
      <c r="Q22" s="3"/>
      <c r="R22" s="3"/>
      <c r="S22" s="3"/>
    </row>
    <row r="23" spans="2:19" ht="15.75" x14ac:dyDescent="0.25">
      <c r="B23" s="3"/>
      <c r="C23" s="979"/>
      <c r="D23" s="979"/>
      <c r="E23" s="979"/>
      <c r="F23" s="979"/>
      <c r="G23" s="979"/>
      <c r="H23" s="979"/>
      <c r="I23" s="979"/>
      <c r="J23" s="979"/>
      <c r="K23" s="78"/>
      <c r="L23" s="3"/>
      <c r="M23" s="3"/>
      <c r="N23" s="3"/>
      <c r="O23" s="3"/>
      <c r="P23" s="3"/>
      <c r="Q23" s="3"/>
      <c r="R23" s="3"/>
      <c r="S23" s="3"/>
    </row>
    <row r="24" spans="2:19" ht="15.75" x14ac:dyDescent="0.25">
      <c r="B24" s="3"/>
      <c r="C24" s="979"/>
      <c r="D24" s="979"/>
      <c r="E24" s="979"/>
      <c r="F24" s="979"/>
      <c r="G24" s="979"/>
      <c r="H24" s="979"/>
      <c r="I24" s="979"/>
      <c r="J24" s="979"/>
      <c r="K24" s="78"/>
      <c r="L24" s="3"/>
      <c r="M24" s="3"/>
      <c r="N24" s="3"/>
      <c r="O24" s="3"/>
      <c r="P24" s="3"/>
      <c r="Q24" s="3"/>
      <c r="R24" s="3"/>
      <c r="S24" s="3"/>
    </row>
    <row r="25" spans="2:19" ht="15.75" x14ac:dyDescent="0.25">
      <c r="B25" s="3"/>
      <c r="C25" s="979" t="s">
        <v>294</v>
      </c>
      <c r="D25" s="979"/>
      <c r="E25" s="979"/>
      <c r="F25" s="979"/>
      <c r="G25" s="979"/>
      <c r="H25" s="979"/>
      <c r="I25" s="979"/>
      <c r="J25" s="979"/>
      <c r="K25" s="78"/>
      <c r="L25" s="3"/>
      <c r="M25" s="3"/>
      <c r="N25" s="3"/>
      <c r="O25" s="3"/>
      <c r="P25" s="3"/>
      <c r="Q25" s="3"/>
      <c r="R25" s="3"/>
      <c r="S25" s="3"/>
    </row>
    <row r="26" spans="2:19" ht="15.75" x14ac:dyDescent="0.25">
      <c r="B26" s="3"/>
      <c r="C26" s="979"/>
      <c r="D26" s="979"/>
      <c r="E26" s="979"/>
      <c r="F26" s="979"/>
      <c r="G26" s="979"/>
      <c r="H26" s="979"/>
      <c r="I26" s="979"/>
      <c r="J26" s="979"/>
      <c r="K26" s="78"/>
      <c r="L26" s="3"/>
      <c r="M26" s="3"/>
      <c r="N26" s="3"/>
      <c r="O26" s="3"/>
      <c r="P26" s="3"/>
      <c r="Q26" s="3"/>
      <c r="R26" s="3"/>
      <c r="S26" s="3"/>
    </row>
    <row r="27" spans="2:19" ht="15.75" x14ac:dyDescent="0.25">
      <c r="B27" s="3"/>
      <c r="C27" s="104"/>
      <c r="D27" s="1090" t="s">
        <v>295</v>
      </c>
      <c r="E27" s="1090"/>
      <c r="F27" s="1090"/>
      <c r="G27" s="1090"/>
      <c r="H27" s="1090"/>
      <c r="I27" s="1090"/>
      <c r="J27" s="103"/>
      <c r="K27" s="78"/>
      <c r="L27" s="3"/>
      <c r="M27" s="3"/>
      <c r="N27" s="3"/>
      <c r="O27" s="3"/>
      <c r="P27" s="3"/>
      <c r="Q27" s="3"/>
      <c r="R27" s="3"/>
      <c r="S27" s="3"/>
    </row>
    <row r="28" spans="2:19" ht="15.75" x14ac:dyDescent="0.25">
      <c r="B28" s="3"/>
      <c r="C28" s="118" t="str">
        <f>"Remarks:-Less the amount already drawn vide PPO No."&amp;'Rev PR'!I5</f>
        <v>Remarks:-Less the amount already drawn vide PPO No.</v>
      </c>
      <c r="D28" s="80"/>
      <c r="E28" s="693"/>
      <c r="F28" s="693"/>
      <c r="G28" s="693"/>
      <c r="H28" s="693"/>
      <c r="I28" s="693"/>
      <c r="J28" s="693"/>
      <c r="K28" s="78"/>
      <c r="L28" s="3"/>
      <c r="M28" s="3"/>
      <c r="N28" s="3"/>
      <c r="O28" s="3"/>
      <c r="P28" s="3"/>
      <c r="Q28" s="3"/>
      <c r="R28" s="3"/>
      <c r="S28" s="3"/>
    </row>
    <row r="29" spans="2:19" ht="15.75" x14ac:dyDescent="0.25">
      <c r="B29" s="3"/>
      <c r="C29" s="1019" t="s">
        <v>202</v>
      </c>
      <c r="D29" s="1019"/>
      <c r="E29" s="1019"/>
      <c r="F29" s="680"/>
      <c r="G29" s="680"/>
      <c r="H29" s="680"/>
      <c r="I29" s="424"/>
      <c r="J29" s="688"/>
      <c r="K29" s="78"/>
      <c r="L29" s="3"/>
      <c r="M29" s="3"/>
      <c r="N29" s="3"/>
      <c r="O29" s="3"/>
      <c r="P29" s="3"/>
      <c r="Q29" s="3"/>
      <c r="R29" s="3"/>
      <c r="S29" s="3"/>
    </row>
    <row r="30" spans="2:19" ht="15.75" x14ac:dyDescent="0.25">
      <c r="B30" s="3"/>
      <c r="C30" s="694"/>
      <c r="D30" s="694"/>
      <c r="E30" s="694"/>
      <c r="F30" s="680"/>
      <c r="G30" s="680"/>
      <c r="H30" s="680"/>
      <c r="I30" s="424"/>
      <c r="J30" s="688"/>
      <c r="K30" s="78"/>
      <c r="L30" s="3"/>
      <c r="M30" s="3"/>
      <c r="N30" s="3"/>
      <c r="O30" s="3"/>
      <c r="P30" s="3"/>
      <c r="Q30" s="3"/>
      <c r="R30" s="3"/>
      <c r="S30" s="3"/>
    </row>
    <row r="31" spans="2:19" ht="15.75" x14ac:dyDescent="0.25">
      <c r="B31" s="3"/>
      <c r="C31" s="80"/>
      <c r="D31" s="80"/>
      <c r="E31" s="80"/>
      <c r="F31" s="80"/>
      <c r="G31" s="80"/>
      <c r="H31" s="80"/>
      <c r="I31" s="993" t="s">
        <v>203</v>
      </c>
      <c r="J31" s="993"/>
      <c r="K31" s="78"/>
      <c r="L31" s="3"/>
      <c r="M31" s="3"/>
      <c r="N31" s="3"/>
      <c r="O31" s="3"/>
      <c r="P31" s="3"/>
      <c r="Q31" s="3"/>
      <c r="R31" s="3"/>
      <c r="S31" s="3"/>
    </row>
    <row r="32" spans="2:19" ht="15.75" x14ac:dyDescent="0.25">
      <c r="B32" s="3"/>
      <c r="C32" s="978" t="str">
        <f>C4</f>
        <v>No.Pen-1/Sup/ND/Rev//2025-26/</v>
      </c>
      <c r="D32" s="978"/>
      <c r="E32" s="978"/>
      <c r="F32" s="80"/>
      <c r="G32" s="80"/>
      <c r="H32" s="80"/>
      <c r="I32" s="993" t="str">
        <f ca="1">I4</f>
        <v>Date-17/08/2026</v>
      </c>
      <c r="J32" s="993"/>
      <c r="K32" s="78"/>
      <c r="L32" s="3"/>
      <c r="M32" s="3"/>
      <c r="N32" s="3"/>
      <c r="O32" s="3"/>
      <c r="P32" s="3"/>
      <c r="Q32" s="3"/>
      <c r="R32" s="3"/>
      <c r="S32" s="3"/>
    </row>
    <row r="33" spans="2:19" ht="15.75" x14ac:dyDescent="0.25">
      <c r="B33" s="3"/>
      <c r="C33" s="80" t="s">
        <v>204</v>
      </c>
      <c r="D33" s="80"/>
      <c r="E33" s="80"/>
      <c r="F33" s="80"/>
      <c r="G33" s="80"/>
      <c r="H33" s="80"/>
      <c r="I33" s="80"/>
      <c r="J33" s="80"/>
      <c r="K33" s="78"/>
      <c r="L33" s="3"/>
      <c r="M33" s="3"/>
      <c r="N33" s="3"/>
      <c r="O33" s="3"/>
      <c r="P33" s="3"/>
      <c r="Q33" s="3"/>
      <c r="R33" s="3"/>
      <c r="S33" s="3"/>
    </row>
    <row r="34" spans="2:19" ht="15.75" x14ac:dyDescent="0.25">
      <c r="B34" s="3"/>
      <c r="C34" s="104" t="str">
        <f>1&amp;"."</f>
        <v>1.</v>
      </c>
      <c r="D34" s="91" t="s">
        <v>189</v>
      </c>
      <c r="E34" s="103"/>
      <c r="F34" s="91"/>
      <c r="G34" s="91"/>
      <c r="H34" s="1018" t="s">
        <v>218</v>
      </c>
      <c r="I34" s="1018"/>
      <c r="J34" s="1018"/>
      <c r="K34" s="78"/>
      <c r="L34" s="3"/>
      <c r="M34" s="3"/>
      <c r="N34" s="3"/>
      <c r="O34" s="3"/>
    </row>
    <row r="35" spans="2:19" ht="15.75" x14ac:dyDescent="0.25">
      <c r="B35" s="3"/>
      <c r="C35" s="104"/>
      <c r="D35" s="91" t="str">
        <f>'Rev PR'!I11&amp;" Treasury, "&amp;IF('Rev PR'!I11='Pay Scales'!J34,"Agartala",'Rev PR'!I11)</f>
        <v>0 Treasury, 0</v>
      </c>
      <c r="E35" s="103"/>
      <c r="F35" s="91"/>
      <c r="G35" s="91"/>
      <c r="H35" s="1018"/>
      <c r="I35" s="1018"/>
      <c r="J35" s="1018"/>
      <c r="K35" s="78"/>
      <c r="L35" s="3"/>
      <c r="M35" s="3"/>
      <c r="N35" s="3"/>
      <c r="O35" s="3"/>
    </row>
    <row r="36" spans="2:19" ht="15.75" x14ac:dyDescent="0.25">
      <c r="B36" s="3"/>
      <c r="C36" s="104" t="str">
        <f>2&amp;"."</f>
        <v>2.</v>
      </c>
      <c r="D36" s="1018" t="e">
        <f>VLOOKUP(N17,#REF!,6,0)</f>
        <v>#REF!</v>
      </c>
      <c r="E36" s="1018"/>
      <c r="F36" s="1018"/>
      <c r="G36" s="1018"/>
      <c r="H36" s="78"/>
      <c r="I36" s="78"/>
      <c r="J36" s="78"/>
      <c r="K36" s="78"/>
      <c r="L36" s="3"/>
      <c r="M36" s="3"/>
      <c r="N36" s="3"/>
      <c r="O36" s="3"/>
    </row>
    <row r="37" spans="2:19" ht="15.75" x14ac:dyDescent="0.25">
      <c r="B37" s="3"/>
      <c r="C37" s="104"/>
      <c r="D37" s="1018"/>
      <c r="E37" s="1018"/>
      <c r="F37" s="1018"/>
      <c r="G37" s="1018"/>
      <c r="H37" s="78"/>
      <c r="I37" s="78"/>
      <c r="J37" s="78"/>
      <c r="K37" s="78"/>
      <c r="L37" s="3"/>
      <c r="M37" s="3"/>
      <c r="N37" s="3"/>
      <c r="O37" s="3"/>
    </row>
    <row r="38" spans="2:19" ht="15.75" x14ac:dyDescent="0.25">
      <c r="B38" s="3"/>
      <c r="C38" s="119" t="str">
        <f>3&amp;"."</f>
        <v>3.</v>
      </c>
      <c r="D38" s="1018" t="str">
        <f>'Rev PR'!I9&amp;" "&amp;'Rev PR'!J9&amp;","</f>
        <v xml:space="preserve"> ,</v>
      </c>
      <c r="E38" s="1018"/>
      <c r="F38" s="1018"/>
      <c r="G38" s="1018"/>
      <c r="H38" s="979" t="s">
        <v>219</v>
      </c>
      <c r="I38" s="979"/>
      <c r="J38" s="979"/>
      <c r="K38" s="78"/>
      <c r="L38" s="3"/>
      <c r="M38" s="3"/>
      <c r="N38" s="3"/>
      <c r="O38" s="3"/>
    </row>
    <row r="39" spans="2:19" ht="15.75" x14ac:dyDescent="0.25">
      <c r="B39" s="3"/>
      <c r="C39" s="119"/>
      <c r="D39" s="1018" t="str">
        <f>'Rev PR'!H9&amp;" of "&amp;'Rev PR'!I7&amp;" "&amp;'Rev PR'!J7&amp;","&amp;'Rev PR'!I8&amp;'Rev PR'!J8</f>
        <v>Spouse of Shri 0,Retd.0</v>
      </c>
      <c r="E39" s="1018"/>
      <c r="F39" s="1018"/>
      <c r="G39" s="1018"/>
      <c r="H39" s="979"/>
      <c r="I39" s="979"/>
      <c r="J39" s="979"/>
      <c r="K39" s="78"/>
      <c r="L39" s="3"/>
      <c r="M39" s="3"/>
      <c r="N39" s="3"/>
      <c r="O39" s="3"/>
    </row>
    <row r="40" spans="2:19" ht="15.75" x14ac:dyDescent="0.25">
      <c r="B40" s="3"/>
      <c r="C40" s="119"/>
      <c r="D40" s="1018">
        <f>N18</f>
        <v>0</v>
      </c>
      <c r="E40" s="1018"/>
      <c r="F40" s="1018"/>
      <c r="G40" s="1018"/>
      <c r="H40" s="979"/>
      <c r="I40" s="979"/>
      <c r="J40" s="979"/>
      <c r="K40" s="78"/>
      <c r="L40" s="3"/>
      <c r="M40" s="3"/>
      <c r="N40" s="3"/>
      <c r="O40" s="3"/>
    </row>
    <row r="41" spans="2:19" ht="15.75" x14ac:dyDescent="0.25">
      <c r="B41" s="3"/>
      <c r="C41" s="119"/>
      <c r="D41" s="1018"/>
      <c r="E41" s="1018"/>
      <c r="F41" s="1018"/>
      <c r="G41" s="1018"/>
      <c r="H41" s="979"/>
      <c r="I41" s="979"/>
      <c r="J41" s="979"/>
      <c r="K41" s="78"/>
      <c r="L41" s="3"/>
      <c r="M41" s="3"/>
      <c r="N41" s="3"/>
      <c r="O41" s="3"/>
    </row>
    <row r="42" spans="2:19" ht="15.75" x14ac:dyDescent="0.25">
      <c r="B42" s="3"/>
      <c r="C42" s="104"/>
      <c r="D42" s="1018"/>
      <c r="E42" s="1018"/>
      <c r="F42" s="1018"/>
      <c r="G42" s="1018"/>
      <c r="H42" s="681"/>
      <c r="I42" s="681"/>
      <c r="J42" s="681"/>
      <c r="K42" s="78"/>
      <c r="L42" s="3"/>
      <c r="M42" s="3"/>
      <c r="N42" s="3"/>
      <c r="O42" s="3"/>
    </row>
    <row r="43" spans="2:19" ht="15.75" x14ac:dyDescent="0.25">
      <c r="B43" s="3"/>
      <c r="C43" s="104"/>
      <c r="D43" s="80"/>
      <c r="E43" s="80"/>
      <c r="F43" s="80"/>
      <c r="G43" s="80"/>
      <c r="H43" s="80"/>
      <c r="I43" s="993" t="str">
        <f>I31</f>
        <v>Sr. Accounts Officer</v>
      </c>
      <c r="J43" s="993"/>
      <c r="K43" s="78"/>
      <c r="L43" s="3"/>
      <c r="M43" s="3"/>
      <c r="N43" s="3"/>
      <c r="O43" s="3"/>
    </row>
  </sheetData>
  <mergeCells count="26">
    <mergeCell ref="C8:J10"/>
    <mergeCell ref="N18:O19"/>
    <mergeCell ref="M18:M19"/>
    <mergeCell ref="D1:I1"/>
    <mergeCell ref="D2:I2"/>
    <mergeCell ref="E3:G3"/>
    <mergeCell ref="C4:E4"/>
    <mergeCell ref="C5:J6"/>
    <mergeCell ref="C7:J7"/>
    <mergeCell ref="I4:J4"/>
    <mergeCell ref="I43:J43"/>
    <mergeCell ref="C16:J18"/>
    <mergeCell ref="C11:J15"/>
    <mergeCell ref="D38:G38"/>
    <mergeCell ref="H38:J41"/>
    <mergeCell ref="D39:G39"/>
    <mergeCell ref="C32:E32"/>
    <mergeCell ref="H34:J35"/>
    <mergeCell ref="D36:G37"/>
    <mergeCell ref="I32:J32"/>
    <mergeCell ref="D40:G42"/>
    <mergeCell ref="C29:E29"/>
    <mergeCell ref="I31:J31"/>
    <mergeCell ref="C25:J26"/>
    <mergeCell ref="D27:I27"/>
    <mergeCell ref="C19:J24"/>
  </mergeCells>
  <pageMargins left="0.7" right="0.7" top="0.22" bottom="0.12" header="0" footer="0"/>
  <pageSetup orientation="portrait" r:id="rId1"/>
  <ignoredErrors>
    <ignoredError sqref="N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theme="6" tint="-0.249977111117893"/>
  </sheetPr>
  <dimension ref="B1:S270"/>
  <sheetViews>
    <sheetView topLeftCell="A67" zoomScaleNormal="100" workbookViewId="0">
      <selection activeCell="D122" sqref="D122"/>
    </sheetView>
  </sheetViews>
  <sheetFormatPr defaultRowHeight="15" x14ac:dyDescent="0.25"/>
  <cols>
    <col min="1" max="1" width="9.140625" style="3"/>
    <col min="2" max="2" width="4.42578125" style="3" customWidth="1"/>
    <col min="3" max="3" width="11.140625" style="3" customWidth="1"/>
    <col min="4" max="4" width="40.28515625" style="3" customWidth="1"/>
    <col min="5" max="5" width="12.42578125" style="3" bestFit="1" customWidth="1"/>
    <col min="6" max="6" width="18" style="3" bestFit="1" customWidth="1"/>
    <col min="7" max="7" width="20.28515625" style="3" bestFit="1" customWidth="1"/>
    <col min="8" max="8" width="15.5703125" style="3" bestFit="1" customWidth="1"/>
    <col min="9" max="9" width="4.5703125" style="3" bestFit="1" customWidth="1"/>
    <col min="10" max="10" width="15.5703125" style="88" bestFit="1" customWidth="1"/>
    <col min="11" max="11" width="40.140625" style="3" bestFit="1" customWidth="1"/>
    <col min="12" max="12" width="21.140625" style="3" bestFit="1" customWidth="1"/>
    <col min="13" max="13" width="18" style="3" bestFit="1" customWidth="1"/>
    <col min="14" max="14" width="19.85546875" style="3" bestFit="1" customWidth="1"/>
    <col min="15" max="15" width="3.85546875" style="3" bestFit="1" customWidth="1"/>
    <col min="16" max="16" width="15.140625" style="3" bestFit="1" customWidth="1"/>
    <col min="17" max="17" width="18.7109375" style="3" bestFit="1" customWidth="1"/>
    <col min="18" max="18" width="21.140625" style="3" bestFit="1" customWidth="1"/>
    <col min="19" max="19" width="12.5703125" style="3" bestFit="1" customWidth="1"/>
    <col min="20" max="16384" width="9.140625" style="3"/>
  </cols>
  <sheetData>
    <row r="1" spans="2:19" ht="15.75" thickBot="1" x14ac:dyDescent="0.3"/>
    <row r="2" spans="2:19" x14ac:dyDescent="0.25">
      <c r="C2" s="1146" t="s">
        <v>296</v>
      </c>
      <c r="D2" s="1148" t="s">
        <v>297</v>
      </c>
      <c r="E2" s="3" t="s">
        <v>298</v>
      </c>
      <c r="F2" s="10">
        <v>39939</v>
      </c>
      <c r="H2" s="315">
        <v>38718</v>
      </c>
      <c r="I2" s="146">
        <v>1</v>
      </c>
      <c r="J2" s="147" t="s">
        <v>299</v>
      </c>
      <c r="K2" s="330" t="s">
        <v>300</v>
      </c>
      <c r="R2" s="708" t="s">
        <v>301</v>
      </c>
      <c r="S2" s="708" t="s">
        <v>302</v>
      </c>
    </row>
    <row r="3" spans="2:19" ht="15.75" thickBot="1" x14ac:dyDescent="0.3">
      <c r="C3" s="1147"/>
      <c r="D3" s="1148"/>
      <c r="E3" s="3" t="s">
        <v>303</v>
      </c>
      <c r="F3" s="319">
        <v>33604</v>
      </c>
      <c r="H3" s="315">
        <v>38899</v>
      </c>
      <c r="I3" s="148">
        <v>2</v>
      </c>
      <c r="J3" s="16" t="s">
        <v>304</v>
      </c>
      <c r="K3" s="326"/>
      <c r="R3" s="708" t="s">
        <v>305</v>
      </c>
      <c r="S3" s="708" t="s">
        <v>306</v>
      </c>
    </row>
    <row r="4" spans="2:19" ht="15.75" thickBot="1" x14ac:dyDescent="0.3">
      <c r="B4" s="3">
        <v>1</v>
      </c>
      <c r="C4" s="7">
        <v>20</v>
      </c>
      <c r="D4" s="5">
        <v>9.1880000000000006</v>
      </c>
      <c r="F4" s="36" t="s">
        <v>307</v>
      </c>
      <c r="G4" s="36" t="s">
        <v>307</v>
      </c>
      <c r="H4" s="315">
        <v>39264</v>
      </c>
      <c r="I4" s="149">
        <v>3</v>
      </c>
      <c r="J4" s="20" t="s">
        <v>308</v>
      </c>
      <c r="K4" s="329"/>
      <c r="R4" s="708" t="s">
        <v>309</v>
      </c>
      <c r="S4" s="708" t="s">
        <v>310</v>
      </c>
    </row>
    <row r="5" spans="2:19" x14ac:dyDescent="0.25">
      <c r="B5" s="3">
        <v>2</v>
      </c>
      <c r="C5" s="7">
        <v>21</v>
      </c>
      <c r="D5" s="5">
        <v>9.1869999999999994</v>
      </c>
      <c r="F5" s="37">
        <f>IPS!C27</f>
        <v>31841</v>
      </c>
      <c r="G5" s="51" t="e">
        <f>#REF!</f>
        <v>#REF!</v>
      </c>
      <c r="H5" s="315">
        <v>39630</v>
      </c>
      <c r="I5" s="150">
        <v>4</v>
      </c>
      <c r="J5" s="18" t="s">
        <v>311</v>
      </c>
      <c r="K5" s="325" t="s">
        <v>312</v>
      </c>
      <c r="R5" s="708" t="s">
        <v>313</v>
      </c>
      <c r="S5" s="708" t="s">
        <v>314</v>
      </c>
    </row>
    <row r="6" spans="2:19" ht="15.75" thickBot="1" x14ac:dyDescent="0.3">
      <c r="B6" s="3">
        <v>3</v>
      </c>
      <c r="C6" s="7">
        <v>22</v>
      </c>
      <c r="D6" s="5">
        <v>9.1859999999999999</v>
      </c>
      <c r="F6" s="38">
        <f>IPS!C28</f>
        <v>32203</v>
      </c>
      <c r="G6" s="37" t="e">
        <f>#REF!</f>
        <v>#REF!</v>
      </c>
      <c r="H6" s="315">
        <v>39995</v>
      </c>
      <c r="I6" s="149">
        <v>5</v>
      </c>
      <c r="J6" s="20" t="s">
        <v>315</v>
      </c>
      <c r="K6" s="329"/>
      <c r="R6" s="708" t="s">
        <v>316</v>
      </c>
      <c r="S6" s="708" t="s">
        <v>317</v>
      </c>
    </row>
    <row r="7" spans="2:19" x14ac:dyDescent="0.25">
      <c r="B7" s="3">
        <v>4</v>
      </c>
      <c r="C7" s="7">
        <v>23</v>
      </c>
      <c r="D7" s="5">
        <v>9.1850000000000005</v>
      </c>
      <c r="F7" s="38">
        <f>IPS!C29</f>
        <v>32568</v>
      </c>
      <c r="G7" s="37" t="e">
        <f>#REF!</f>
        <v>#REF!</v>
      </c>
      <c r="H7" s="315">
        <v>40360</v>
      </c>
      <c r="I7" s="150">
        <v>6</v>
      </c>
      <c r="J7" s="21" t="s">
        <v>318</v>
      </c>
      <c r="K7" s="325" t="s">
        <v>319</v>
      </c>
      <c r="R7" s="708" t="s">
        <v>320</v>
      </c>
      <c r="S7" s="708" t="s">
        <v>321</v>
      </c>
    </row>
    <row r="8" spans="2:19" x14ac:dyDescent="0.25">
      <c r="B8" s="3">
        <v>5</v>
      </c>
      <c r="C8" s="7">
        <v>24</v>
      </c>
      <c r="D8" s="5">
        <v>9.1839999999999993</v>
      </c>
      <c r="F8" s="38">
        <f>IPS!C30</f>
        <v>32933</v>
      </c>
      <c r="G8" s="37" t="e">
        <f>#REF!</f>
        <v>#REF!</v>
      </c>
      <c r="H8" s="315">
        <v>40725</v>
      </c>
      <c r="I8" s="148">
        <v>7</v>
      </c>
      <c r="J8" s="16" t="s">
        <v>322</v>
      </c>
      <c r="K8" s="326"/>
      <c r="R8" s="708" t="s">
        <v>323</v>
      </c>
      <c r="S8" s="708" t="s">
        <v>324</v>
      </c>
    </row>
    <row r="9" spans="2:19" x14ac:dyDescent="0.25">
      <c r="B9" s="3">
        <v>6</v>
      </c>
      <c r="C9" s="7">
        <v>25</v>
      </c>
      <c r="D9" s="5">
        <v>9.1829999999999892</v>
      </c>
      <c r="F9" s="38">
        <f>IPS!C31</f>
        <v>33298</v>
      </c>
      <c r="G9" s="37" t="e">
        <f>#REF!</f>
        <v>#REF!</v>
      </c>
      <c r="H9" s="315">
        <v>41091</v>
      </c>
      <c r="I9" s="148">
        <v>8</v>
      </c>
      <c r="J9" s="16" t="s">
        <v>325</v>
      </c>
      <c r="K9" s="326"/>
      <c r="M9" s="88" t="s">
        <v>326</v>
      </c>
      <c r="R9" s="708" t="s">
        <v>327</v>
      </c>
      <c r="S9" s="708" t="s">
        <v>328</v>
      </c>
    </row>
    <row r="10" spans="2:19" ht="15.75" thickBot="1" x14ac:dyDescent="0.3">
      <c r="B10" s="3">
        <v>7</v>
      </c>
      <c r="C10" s="7">
        <v>26</v>
      </c>
      <c r="D10" s="5">
        <v>9.1819999999999897</v>
      </c>
      <c r="F10" s="38">
        <f>IPS!C32</f>
        <v>33664</v>
      </c>
      <c r="G10" s="37" t="e">
        <f>#REF!</f>
        <v>#REF!</v>
      </c>
      <c r="H10" s="315">
        <v>41456</v>
      </c>
      <c r="I10" s="149">
        <v>9</v>
      </c>
      <c r="J10" s="20" t="s">
        <v>329</v>
      </c>
      <c r="K10" s="329"/>
      <c r="M10" s="88" t="s">
        <v>330</v>
      </c>
      <c r="R10" s="30"/>
    </row>
    <row r="11" spans="2:19" x14ac:dyDescent="0.25">
      <c r="B11" s="3">
        <v>8</v>
      </c>
      <c r="C11" s="7">
        <v>27</v>
      </c>
      <c r="D11" s="5">
        <v>9.1799999999999908</v>
      </c>
      <c r="F11" s="38">
        <f>IPS!C33</f>
        <v>34029</v>
      </c>
      <c r="G11" s="37" t="e">
        <f>#REF!</f>
        <v>#REF!</v>
      </c>
      <c r="H11" s="315">
        <v>41821</v>
      </c>
      <c r="I11" s="150">
        <v>10</v>
      </c>
      <c r="J11" s="18" t="s">
        <v>331</v>
      </c>
      <c r="K11" s="325" t="s">
        <v>332</v>
      </c>
      <c r="M11" s="88" t="s">
        <v>333</v>
      </c>
    </row>
    <row r="12" spans="2:19" ht="15.75" thickBot="1" x14ac:dyDescent="0.3">
      <c r="B12" s="3">
        <v>9</v>
      </c>
      <c r="C12" s="7">
        <v>28</v>
      </c>
      <c r="D12" s="5">
        <v>9.1780000000000008</v>
      </c>
      <c r="F12" s="38">
        <f>IPS!C34</f>
        <v>34394</v>
      </c>
      <c r="G12" s="37" t="e">
        <f>#REF!</f>
        <v>#REF!</v>
      </c>
      <c r="H12" s="315">
        <v>42186</v>
      </c>
      <c r="I12" s="149">
        <v>11</v>
      </c>
      <c r="J12" s="19" t="s">
        <v>334</v>
      </c>
      <c r="K12" s="329"/>
      <c r="M12" s="88" t="s">
        <v>335</v>
      </c>
    </row>
    <row r="13" spans="2:19" x14ac:dyDescent="0.25">
      <c r="B13" s="3">
        <v>10</v>
      </c>
      <c r="C13" s="7">
        <v>29</v>
      </c>
      <c r="D13" s="5">
        <v>9.1760000000000002</v>
      </c>
      <c r="F13" s="38">
        <f>IPS!C35</f>
        <v>34759</v>
      </c>
      <c r="G13" s="37" t="e">
        <f>#REF!</f>
        <v>#REF!</v>
      </c>
      <c r="H13" s="315">
        <v>42552</v>
      </c>
      <c r="I13" s="150">
        <v>12</v>
      </c>
      <c r="J13" s="21" t="s">
        <v>336</v>
      </c>
      <c r="K13" s="325" t="s">
        <v>337</v>
      </c>
    </row>
    <row r="14" spans="2:19" x14ac:dyDescent="0.25">
      <c r="B14" s="3">
        <v>11</v>
      </c>
      <c r="C14" s="7">
        <v>30</v>
      </c>
      <c r="D14" s="5">
        <v>9.173</v>
      </c>
      <c r="F14" s="38">
        <f>IPS!C36</f>
        <v>35125</v>
      </c>
      <c r="G14" s="37" t="e">
        <f>#REF!</f>
        <v>#REF!</v>
      </c>
      <c r="H14" s="315">
        <v>42917</v>
      </c>
      <c r="I14" s="148">
        <v>13</v>
      </c>
      <c r="J14" s="22" t="s">
        <v>338</v>
      </c>
      <c r="K14" s="326"/>
      <c r="M14" s="88" t="s">
        <v>339</v>
      </c>
    </row>
    <row r="15" spans="2:19" ht="15.75" thickBot="1" x14ac:dyDescent="0.3">
      <c r="B15" s="3">
        <v>12</v>
      </c>
      <c r="C15" s="7">
        <v>31</v>
      </c>
      <c r="D15" s="5">
        <v>9.1690000000000005</v>
      </c>
      <c r="F15" s="39">
        <f>IPS!C37</f>
        <v>35490</v>
      </c>
      <c r="G15" s="52" t="e">
        <f>#REF!</f>
        <v>#REF!</v>
      </c>
      <c r="H15" s="315">
        <v>43282</v>
      </c>
      <c r="I15" s="149">
        <v>14</v>
      </c>
      <c r="J15" s="20" t="s">
        <v>340</v>
      </c>
      <c r="K15" s="329"/>
      <c r="M15" s="88" t="s">
        <v>341</v>
      </c>
    </row>
    <row r="16" spans="2:19" ht="32.25" customHeight="1" thickBot="1" x14ac:dyDescent="0.3">
      <c r="B16" s="3">
        <v>13</v>
      </c>
      <c r="C16" s="7">
        <v>32</v>
      </c>
      <c r="D16" s="5">
        <v>9.1639999999999997</v>
      </c>
      <c r="H16" s="315">
        <v>43647</v>
      </c>
      <c r="I16" s="150">
        <v>15</v>
      </c>
      <c r="J16" s="18" t="s">
        <v>342</v>
      </c>
      <c r="K16" s="325" t="s">
        <v>343</v>
      </c>
    </row>
    <row r="17" spans="2:18" ht="32.25" customHeight="1" thickBot="1" x14ac:dyDescent="0.3">
      <c r="B17" s="3">
        <v>14</v>
      </c>
      <c r="C17" s="7">
        <v>33</v>
      </c>
      <c r="D17" s="5">
        <v>9.1590000000000007</v>
      </c>
      <c r="F17" s="36" t="s">
        <v>344</v>
      </c>
      <c r="G17" s="36" t="s">
        <v>344</v>
      </c>
      <c r="H17" s="315">
        <v>44013</v>
      </c>
      <c r="I17" s="148">
        <v>16</v>
      </c>
      <c r="J17" s="16" t="s">
        <v>345</v>
      </c>
      <c r="K17" s="326"/>
      <c r="M17" s="3">
        <v>46113</v>
      </c>
    </row>
    <row r="18" spans="2:18" ht="32.25" customHeight="1" thickBot="1" x14ac:dyDescent="0.3">
      <c r="B18" s="3">
        <v>15</v>
      </c>
      <c r="C18" s="7">
        <v>34</v>
      </c>
      <c r="D18" s="5">
        <v>9.1519999999999992</v>
      </c>
      <c r="F18" s="55">
        <f>IPS!C48</f>
        <v>35125</v>
      </c>
      <c r="G18" s="56" t="e">
        <f>#REF!</f>
        <v>#REF!</v>
      </c>
      <c r="H18" s="315">
        <v>44378</v>
      </c>
      <c r="I18" s="151">
        <v>17</v>
      </c>
      <c r="J18" s="23" t="s">
        <v>346</v>
      </c>
      <c r="K18" s="327"/>
      <c r="M18" s="3">
        <v>46478</v>
      </c>
    </row>
    <row r="19" spans="2:18" ht="32.25" customHeight="1" x14ac:dyDescent="0.25">
      <c r="B19" s="3">
        <v>16</v>
      </c>
      <c r="C19" s="7">
        <v>35</v>
      </c>
      <c r="D19" s="5">
        <v>9.1449999999999996</v>
      </c>
      <c r="F19" s="53">
        <f>IPS!C49</f>
        <v>35490</v>
      </c>
      <c r="G19" s="38" t="e">
        <f>#REF!</f>
        <v>#REF!</v>
      </c>
      <c r="H19" s="315">
        <v>44743</v>
      </c>
      <c r="I19" s="152">
        <v>18</v>
      </c>
      <c r="J19" s="17" t="s">
        <v>347</v>
      </c>
      <c r="K19" s="328" t="s">
        <v>348</v>
      </c>
    </row>
    <row r="20" spans="2:18" ht="15.75" customHeight="1" x14ac:dyDescent="0.25">
      <c r="B20" s="3">
        <v>17</v>
      </c>
      <c r="C20" s="7">
        <v>36</v>
      </c>
      <c r="D20" s="5">
        <v>9.1359999999999992</v>
      </c>
      <c r="F20" s="53">
        <f>IPS!C50</f>
        <v>35855</v>
      </c>
      <c r="G20" s="38" t="e">
        <f>#REF!</f>
        <v>#REF!</v>
      </c>
      <c r="H20" s="315">
        <v>45108</v>
      </c>
      <c r="I20" s="148">
        <v>19</v>
      </c>
      <c r="J20" s="16" t="s">
        <v>349</v>
      </c>
      <c r="K20" s="326"/>
    </row>
    <row r="21" spans="2:18" ht="15.75" customHeight="1" thickBot="1" x14ac:dyDescent="0.3">
      <c r="B21" s="3">
        <v>18</v>
      </c>
      <c r="C21" s="7">
        <v>37</v>
      </c>
      <c r="D21" s="5">
        <v>9.1259999999999994</v>
      </c>
      <c r="F21" s="53">
        <f>IPS!C51</f>
        <v>36220</v>
      </c>
      <c r="G21" s="38" t="e">
        <f>#REF!</f>
        <v>#REF!</v>
      </c>
      <c r="H21" s="315">
        <v>45474</v>
      </c>
      <c r="I21" s="149">
        <v>20</v>
      </c>
      <c r="J21" s="20" t="s">
        <v>350</v>
      </c>
      <c r="K21" s="329"/>
    </row>
    <row r="22" spans="2:18" ht="15.75" customHeight="1" x14ac:dyDescent="0.25">
      <c r="B22" s="3">
        <v>19</v>
      </c>
      <c r="C22" s="7">
        <v>38</v>
      </c>
      <c r="D22" s="5">
        <v>9.1159999999999997</v>
      </c>
      <c r="F22" s="53">
        <f>IPS!C52</f>
        <v>36586</v>
      </c>
      <c r="G22" s="38" t="e">
        <f>#REF!</f>
        <v>#REF!</v>
      </c>
      <c r="H22" s="315">
        <v>45839</v>
      </c>
      <c r="I22" s="150">
        <v>21</v>
      </c>
      <c r="J22" s="18" t="s">
        <v>351</v>
      </c>
      <c r="K22" s="325" t="s">
        <v>352</v>
      </c>
    </row>
    <row r="23" spans="2:18" ht="15.75" customHeight="1" x14ac:dyDescent="0.25">
      <c r="B23" s="3">
        <v>20</v>
      </c>
      <c r="C23" s="7">
        <v>39</v>
      </c>
      <c r="D23" s="5">
        <v>9.1029999999999998</v>
      </c>
      <c r="F23" s="53">
        <f>IPS!C53</f>
        <v>36951</v>
      </c>
      <c r="G23" s="38" t="e">
        <f>#REF!</f>
        <v>#REF!</v>
      </c>
      <c r="H23" s="315">
        <v>46204</v>
      </c>
      <c r="I23" s="148">
        <v>22</v>
      </c>
      <c r="J23" s="16" t="s">
        <v>353</v>
      </c>
      <c r="K23" s="326"/>
    </row>
    <row r="24" spans="2:18" ht="32.25" customHeight="1" thickBot="1" x14ac:dyDescent="0.3">
      <c r="B24" s="3">
        <v>21</v>
      </c>
      <c r="C24" s="7">
        <v>40</v>
      </c>
      <c r="D24" s="5">
        <v>9.09</v>
      </c>
      <c r="F24" s="53">
        <f>IPS!C54</f>
        <v>37316</v>
      </c>
      <c r="G24" s="38" t="e">
        <f>#REF!</f>
        <v>#REF!</v>
      </c>
      <c r="H24" s="315">
        <v>46569</v>
      </c>
      <c r="I24" s="153">
        <v>23</v>
      </c>
      <c r="J24" s="154" t="s">
        <v>354</v>
      </c>
      <c r="K24" s="331"/>
    </row>
    <row r="25" spans="2:18" ht="32.25" customHeight="1" thickBot="1" x14ac:dyDescent="0.3">
      <c r="B25" s="3">
        <v>22</v>
      </c>
      <c r="C25" s="7">
        <v>41</v>
      </c>
      <c r="D25" s="5">
        <v>9.0749999999999993</v>
      </c>
      <c r="F25" s="53">
        <f>IPS!C55</f>
        <v>37681</v>
      </c>
      <c r="G25" s="38" t="e">
        <f>#REF!</f>
        <v>#REF!</v>
      </c>
      <c r="H25" s="315">
        <v>46935</v>
      </c>
      <c r="I25" s="1128" t="s">
        <v>252</v>
      </c>
      <c r="J25" s="1129"/>
      <c r="K25" s="342" t="s">
        <v>188</v>
      </c>
      <c r="L25" s="710" t="s">
        <v>355</v>
      </c>
    </row>
    <row r="26" spans="2:18" ht="32.25" customHeight="1" thickBot="1" x14ac:dyDescent="0.3">
      <c r="B26" s="3">
        <v>23</v>
      </c>
      <c r="C26" s="7">
        <v>42</v>
      </c>
      <c r="D26" s="5">
        <v>9.0589999999999993</v>
      </c>
      <c r="F26" s="53">
        <f>IPS!C56</f>
        <v>38047</v>
      </c>
      <c r="G26" s="38" t="e">
        <f>#REF!</f>
        <v>#REF!</v>
      </c>
      <c r="H26" s="315">
        <v>47300</v>
      </c>
      <c r="I26" s="343">
        <v>1</v>
      </c>
      <c r="J26" s="711" t="s">
        <v>356</v>
      </c>
      <c r="K26" s="1126" t="s">
        <v>302</v>
      </c>
      <c r="L26" s="1122" t="s">
        <v>301</v>
      </c>
    </row>
    <row r="27" spans="2:18" ht="32.25" customHeight="1" thickBot="1" x14ac:dyDescent="0.3">
      <c r="B27" s="3">
        <v>24</v>
      </c>
      <c r="C27" s="7">
        <v>43</v>
      </c>
      <c r="D27" s="5">
        <v>9.0399999999999991</v>
      </c>
      <c r="F27" s="53">
        <f>IPS!C57</f>
        <v>38412</v>
      </c>
      <c r="G27" s="38" t="e">
        <f>#REF!</f>
        <v>#REF!</v>
      </c>
      <c r="H27" s="315">
        <v>47665</v>
      </c>
      <c r="I27" s="344">
        <v>2</v>
      </c>
      <c r="J27" s="345" t="s">
        <v>357</v>
      </c>
      <c r="K27" s="1127"/>
      <c r="L27" s="1123"/>
      <c r="R27" s="30"/>
    </row>
    <row r="28" spans="2:18" ht="19.5" customHeight="1" thickBot="1" x14ac:dyDescent="0.3">
      <c r="B28" s="3">
        <v>25</v>
      </c>
      <c r="C28" s="7">
        <v>44</v>
      </c>
      <c r="D28" s="5">
        <v>9.0190000000000001</v>
      </c>
      <c r="F28" s="54" t="str">
        <f>IPS!C58</f>
        <v/>
      </c>
      <c r="G28" s="39" t="e">
        <f>#REF!</f>
        <v>#REF!</v>
      </c>
      <c r="H28" s="315">
        <v>48030</v>
      </c>
      <c r="I28" s="343">
        <v>3</v>
      </c>
      <c r="J28" s="711" t="s">
        <v>358</v>
      </c>
      <c r="K28" s="342" t="s">
        <v>306</v>
      </c>
      <c r="L28" s="341" t="s">
        <v>305</v>
      </c>
      <c r="R28" s="30"/>
    </row>
    <row r="29" spans="2:18" ht="19.5" customHeight="1" thickBot="1" x14ac:dyDescent="0.3">
      <c r="B29" s="3">
        <v>26</v>
      </c>
      <c r="C29" s="7">
        <v>45</v>
      </c>
      <c r="D29" s="5">
        <v>8.9960000000000004</v>
      </c>
      <c r="H29" s="315">
        <v>48396</v>
      </c>
      <c r="I29" s="344">
        <v>4</v>
      </c>
      <c r="J29" s="345" t="s">
        <v>359</v>
      </c>
      <c r="K29" s="1124" t="s">
        <v>310</v>
      </c>
      <c r="L29" s="1122" t="s">
        <v>309</v>
      </c>
    </row>
    <row r="30" spans="2:18" ht="19.5" customHeight="1" thickBot="1" x14ac:dyDescent="0.3">
      <c r="B30" s="3">
        <v>27</v>
      </c>
      <c r="C30" s="7">
        <v>46</v>
      </c>
      <c r="D30" s="5">
        <v>8.9710000000000001</v>
      </c>
      <c r="H30" s="315">
        <v>48761</v>
      </c>
      <c r="I30" s="343">
        <v>5</v>
      </c>
      <c r="J30" s="711" t="s">
        <v>360</v>
      </c>
      <c r="K30" s="1131"/>
      <c r="L30" s="1130"/>
    </row>
    <row r="31" spans="2:18" ht="19.5" customHeight="1" thickBot="1" x14ac:dyDescent="0.3">
      <c r="B31" s="3">
        <v>28</v>
      </c>
      <c r="C31" s="7">
        <v>47</v>
      </c>
      <c r="D31" s="5">
        <v>8.9429999999999996</v>
      </c>
      <c r="F31" s="85">
        <v>35065</v>
      </c>
      <c r="H31" s="315">
        <v>49126</v>
      </c>
      <c r="I31" s="344">
        <v>6</v>
      </c>
      <c r="J31" s="345" t="s">
        <v>361</v>
      </c>
      <c r="K31" s="1125"/>
      <c r="L31" s="1123"/>
    </row>
    <row r="32" spans="2:18" ht="19.5" customHeight="1" thickBot="1" x14ac:dyDescent="0.3">
      <c r="B32" s="3">
        <v>29</v>
      </c>
      <c r="C32" s="7">
        <v>48</v>
      </c>
      <c r="D32" s="5">
        <v>8.9130000000000003</v>
      </c>
      <c r="F32" s="85">
        <f>VLOOKUP(35431,IPS!C27:C37,1,TRUE)</f>
        <v>35125</v>
      </c>
      <c r="H32" s="315">
        <v>49491</v>
      </c>
      <c r="I32" s="343">
        <v>7</v>
      </c>
      <c r="J32" s="711" t="s">
        <v>362</v>
      </c>
      <c r="K32" s="342" t="s">
        <v>314</v>
      </c>
      <c r="L32" s="341" t="s">
        <v>313</v>
      </c>
    </row>
    <row r="33" spans="2:13" ht="19.5" customHeight="1" thickBot="1" x14ac:dyDescent="0.3">
      <c r="B33" s="3">
        <v>30</v>
      </c>
      <c r="C33" s="7">
        <v>49</v>
      </c>
      <c r="D33" s="5">
        <v>8.8810000000000002</v>
      </c>
      <c r="H33" s="315">
        <v>49857</v>
      </c>
      <c r="I33" s="344">
        <v>8</v>
      </c>
      <c r="J33" s="345" t="s">
        <v>363</v>
      </c>
      <c r="K33" s="1124" t="s">
        <v>317</v>
      </c>
      <c r="L33" s="1122" t="s">
        <v>316</v>
      </c>
    </row>
    <row r="34" spans="2:13" ht="19.5" customHeight="1" thickBot="1" x14ac:dyDescent="0.3">
      <c r="B34" s="3">
        <v>31</v>
      </c>
      <c r="C34" s="7">
        <v>50</v>
      </c>
      <c r="D34" s="5">
        <v>8.8460000000000001</v>
      </c>
      <c r="F34" s="709" t="str">
        <f ca="1">IF(TODAY()&lt;45383,"2023-24",IF(AND(TODAY()&gt;=45383,TODAY()&lt;45748),"2024-25",IF(AND(TODAY()&gt;=45748,TODAY()&lt;46118),"2025-26",IF(AND(TODAY()&gt;=46113,TODAY()&lt;46478),"2026-27",))))</f>
        <v>2026-27</v>
      </c>
      <c r="H34" s="315">
        <v>50222</v>
      </c>
      <c r="I34" s="343">
        <v>9</v>
      </c>
      <c r="J34" s="711" t="s">
        <v>364</v>
      </c>
      <c r="K34" s="1125"/>
      <c r="L34" s="1123"/>
    </row>
    <row r="35" spans="2:13" ht="19.5" customHeight="1" thickBot="1" x14ac:dyDescent="0.3">
      <c r="B35" s="3">
        <v>32</v>
      </c>
      <c r="C35" s="7">
        <v>51</v>
      </c>
      <c r="D35" s="5">
        <v>8.8079999999999998</v>
      </c>
      <c r="F35" s="709"/>
      <c r="I35" s="344">
        <v>10</v>
      </c>
      <c r="J35" s="345" t="s">
        <v>365</v>
      </c>
      <c r="K35" s="342" t="s">
        <v>321</v>
      </c>
      <c r="L35" s="341" t="s">
        <v>320</v>
      </c>
    </row>
    <row r="36" spans="2:13" ht="19.5" customHeight="1" thickBot="1" x14ac:dyDescent="0.3">
      <c r="B36" s="3">
        <v>33</v>
      </c>
      <c r="C36" s="7">
        <v>52</v>
      </c>
      <c r="D36" s="5">
        <v>8.7680000000000007</v>
      </c>
      <c r="F36" s="709"/>
      <c r="I36" s="343">
        <v>11</v>
      </c>
      <c r="J36" s="711" t="s">
        <v>366</v>
      </c>
      <c r="K36" s="342" t="s">
        <v>324</v>
      </c>
      <c r="L36" s="341" t="s">
        <v>323</v>
      </c>
    </row>
    <row r="37" spans="2:13" ht="19.5" customHeight="1" thickBot="1" x14ac:dyDescent="0.3">
      <c r="B37" s="3">
        <v>34</v>
      </c>
      <c r="C37" s="7">
        <v>53</v>
      </c>
      <c r="D37" s="5">
        <v>8.7240000000000002</v>
      </c>
      <c r="I37" s="344">
        <v>12</v>
      </c>
      <c r="J37" s="345" t="s">
        <v>367</v>
      </c>
      <c r="K37" s="1124" t="s">
        <v>328</v>
      </c>
      <c r="L37" s="1122" t="s">
        <v>327</v>
      </c>
    </row>
    <row r="38" spans="2:13" ht="19.5" customHeight="1" thickBot="1" x14ac:dyDescent="0.3">
      <c r="B38" s="3">
        <v>35</v>
      </c>
      <c r="C38" s="7">
        <v>54</v>
      </c>
      <c r="D38" s="5">
        <v>8.6780000000000008</v>
      </c>
      <c r="F38" s="10">
        <v>38718</v>
      </c>
      <c r="G38" s="347">
        <f>F38</f>
        <v>38718</v>
      </c>
      <c r="I38" s="343">
        <v>13</v>
      </c>
      <c r="J38" s="711" t="s">
        <v>368</v>
      </c>
      <c r="K38" s="1125"/>
      <c r="L38" s="1123"/>
    </row>
    <row r="39" spans="2:13" ht="19.5" customHeight="1" x14ac:dyDescent="0.25">
      <c r="B39" s="3">
        <v>36</v>
      </c>
      <c r="C39" s="7">
        <v>55</v>
      </c>
      <c r="D39" s="5">
        <v>8.6270000000000007</v>
      </c>
      <c r="F39" s="12">
        <v>38899</v>
      </c>
      <c r="G39" s="348">
        <f>F39</f>
        <v>38899</v>
      </c>
    </row>
    <row r="40" spans="2:13" ht="19.5" customHeight="1" x14ac:dyDescent="0.25">
      <c r="B40" s="3">
        <v>37</v>
      </c>
      <c r="C40" s="7">
        <v>56</v>
      </c>
      <c r="D40" s="5">
        <v>8.5719999999999992</v>
      </c>
      <c r="F40" s="10">
        <v>39083</v>
      </c>
      <c r="G40" s="347">
        <f t="shared" ref="G40:G81" si="0">F40</f>
        <v>39083</v>
      </c>
      <c r="J40" s="88" t="s">
        <v>145</v>
      </c>
      <c r="K40" s="41" t="s">
        <v>15</v>
      </c>
    </row>
    <row r="41" spans="2:13" ht="19.5" customHeight="1" x14ac:dyDescent="0.25">
      <c r="B41" s="3">
        <v>38</v>
      </c>
      <c r="C41" s="7">
        <v>57</v>
      </c>
      <c r="D41" s="5">
        <v>8.5120000000000005</v>
      </c>
      <c r="F41" s="12">
        <v>39264</v>
      </c>
      <c r="G41" s="348">
        <f t="shared" si="0"/>
        <v>39264</v>
      </c>
      <c r="J41" s="88" t="s">
        <v>369</v>
      </c>
      <c r="K41" s="41" t="s">
        <v>370</v>
      </c>
      <c r="M41" s="3" t="s">
        <v>371</v>
      </c>
    </row>
    <row r="42" spans="2:13" ht="19.5" customHeight="1" x14ac:dyDescent="0.25">
      <c r="B42" s="3">
        <v>39</v>
      </c>
      <c r="C42" s="7">
        <v>58</v>
      </c>
      <c r="D42" s="5">
        <v>8.4459999999999997</v>
      </c>
      <c r="F42" s="10">
        <v>39448</v>
      </c>
      <c r="G42" s="347">
        <f t="shared" si="0"/>
        <v>39448</v>
      </c>
      <c r="J42" s="88" t="s">
        <v>372</v>
      </c>
      <c r="K42" s="41" t="s">
        <v>373</v>
      </c>
      <c r="M42" s="3" t="s">
        <v>80</v>
      </c>
    </row>
    <row r="43" spans="2:13" ht="19.5" customHeight="1" x14ac:dyDescent="0.25">
      <c r="B43" s="3">
        <v>40</v>
      </c>
      <c r="C43" s="7">
        <v>59</v>
      </c>
      <c r="D43" s="5">
        <v>8.3710000000000004</v>
      </c>
      <c r="F43" s="12">
        <v>39630</v>
      </c>
      <c r="G43" s="348">
        <f t="shared" si="0"/>
        <v>39630</v>
      </c>
      <c r="J43" s="88" t="s">
        <v>374</v>
      </c>
      <c r="K43" s="41" t="s">
        <v>28</v>
      </c>
      <c r="M43" s="3" t="s">
        <v>375</v>
      </c>
    </row>
    <row r="44" spans="2:13" ht="19.5" customHeight="1" x14ac:dyDescent="0.25">
      <c r="B44" s="3">
        <v>41</v>
      </c>
      <c r="C44" s="7">
        <v>60</v>
      </c>
      <c r="D44" s="5">
        <v>8.2870000000000008</v>
      </c>
      <c r="F44" s="10">
        <v>39814</v>
      </c>
      <c r="G44" s="347">
        <f t="shared" si="0"/>
        <v>39814</v>
      </c>
      <c r="J44" s="157" t="s">
        <v>18</v>
      </c>
      <c r="K44" s="41" t="s">
        <v>105</v>
      </c>
    </row>
    <row r="45" spans="2:13" ht="19.5" customHeight="1" x14ac:dyDescent="0.25">
      <c r="B45" s="3">
        <v>42</v>
      </c>
      <c r="C45" s="8">
        <v>61</v>
      </c>
      <c r="D45" s="6">
        <v>8.1940000000000008</v>
      </c>
      <c r="F45" s="12">
        <v>39995</v>
      </c>
      <c r="G45" s="348">
        <f t="shared" si="0"/>
        <v>39995</v>
      </c>
      <c r="J45" s="157" t="s">
        <v>222</v>
      </c>
      <c r="K45" s="41" t="s">
        <v>376</v>
      </c>
    </row>
    <row r="46" spans="2:13" ht="19.5" customHeight="1" x14ac:dyDescent="0.25">
      <c r="B46" s="3">
        <v>43</v>
      </c>
      <c r="C46" s="7">
        <v>62</v>
      </c>
      <c r="D46" s="5">
        <v>8.093</v>
      </c>
      <c r="F46" s="10">
        <v>40179</v>
      </c>
      <c r="G46" s="347">
        <f t="shared" si="0"/>
        <v>40179</v>
      </c>
      <c r="J46" s="157" t="s">
        <v>377</v>
      </c>
      <c r="K46" s="708" t="s">
        <v>378</v>
      </c>
    </row>
    <row r="47" spans="2:13" ht="19.5" customHeight="1" x14ac:dyDescent="0.25">
      <c r="B47" s="3">
        <v>44</v>
      </c>
      <c r="C47" s="7">
        <v>63</v>
      </c>
      <c r="D47" s="5">
        <v>7.9820000000000002</v>
      </c>
      <c r="F47" s="12">
        <v>40360</v>
      </c>
      <c r="G47" s="348">
        <f t="shared" si="0"/>
        <v>40360</v>
      </c>
      <c r="J47" s="157" t="s">
        <v>379</v>
      </c>
      <c r="K47" s="304" t="s">
        <v>246</v>
      </c>
    </row>
    <row r="48" spans="2:13" ht="19.5" customHeight="1" x14ac:dyDescent="0.25">
      <c r="B48" s="3">
        <v>45</v>
      </c>
      <c r="C48" s="7">
        <v>64</v>
      </c>
      <c r="D48" s="5">
        <v>7.8620000000000001</v>
      </c>
      <c r="F48" s="10">
        <v>40544</v>
      </c>
      <c r="G48" s="347">
        <f t="shared" si="0"/>
        <v>40544</v>
      </c>
      <c r="J48" s="157" t="s">
        <v>193</v>
      </c>
      <c r="K48" s="708" t="s">
        <v>380</v>
      </c>
    </row>
    <row r="49" spans="2:11" ht="19.5" customHeight="1" x14ac:dyDescent="0.25">
      <c r="B49" s="3">
        <v>46</v>
      </c>
      <c r="C49" s="7">
        <v>65</v>
      </c>
      <c r="D49" s="5">
        <v>7.7309999999999999</v>
      </c>
      <c r="F49" s="12">
        <v>40725</v>
      </c>
      <c r="G49" s="348">
        <f t="shared" si="0"/>
        <v>40725</v>
      </c>
      <c r="J49" s="157" t="s">
        <v>381</v>
      </c>
      <c r="K49" s="708" t="s">
        <v>382</v>
      </c>
    </row>
    <row r="50" spans="2:11" ht="19.5" customHeight="1" x14ac:dyDescent="0.25">
      <c r="B50" s="3">
        <v>47</v>
      </c>
      <c r="C50" s="7">
        <v>66</v>
      </c>
      <c r="D50" s="5">
        <v>7.5910000000000002</v>
      </c>
      <c r="F50" s="10">
        <v>40909</v>
      </c>
      <c r="G50" s="347">
        <f t="shared" si="0"/>
        <v>40909</v>
      </c>
      <c r="J50" s="688" t="s">
        <v>383</v>
      </c>
      <c r="K50" s="708" t="s">
        <v>384</v>
      </c>
    </row>
    <row r="51" spans="2:11" ht="19.5" customHeight="1" x14ac:dyDescent="0.25">
      <c r="B51" s="3">
        <v>48</v>
      </c>
      <c r="C51" s="7">
        <v>67</v>
      </c>
      <c r="D51" s="5">
        <v>7.431</v>
      </c>
      <c r="F51" s="12">
        <v>41091</v>
      </c>
      <c r="G51" s="348">
        <f t="shared" si="0"/>
        <v>41091</v>
      </c>
      <c r="J51" s="688" t="s">
        <v>82</v>
      </c>
      <c r="K51" s="708" t="s">
        <v>385</v>
      </c>
    </row>
    <row r="52" spans="2:11" ht="19.5" customHeight="1" x14ac:dyDescent="0.25">
      <c r="B52" s="3">
        <v>49</v>
      </c>
      <c r="C52" s="7">
        <v>68</v>
      </c>
      <c r="D52" s="5">
        <v>7.2619999999999996</v>
      </c>
      <c r="F52" s="10">
        <v>41275</v>
      </c>
      <c r="G52" s="347">
        <f t="shared" si="0"/>
        <v>41275</v>
      </c>
      <c r="K52" s="708" t="s">
        <v>386</v>
      </c>
    </row>
    <row r="53" spans="2:11" ht="19.5" customHeight="1" x14ac:dyDescent="0.25">
      <c r="B53" s="3">
        <v>50</v>
      </c>
      <c r="C53" s="7">
        <v>69</v>
      </c>
      <c r="D53" s="5">
        <v>7.0830000000000002</v>
      </c>
      <c r="F53" s="12">
        <v>41456</v>
      </c>
      <c r="G53" s="348">
        <f t="shared" si="0"/>
        <v>41456</v>
      </c>
      <c r="K53" s="3" t="s">
        <v>387</v>
      </c>
    </row>
    <row r="54" spans="2:11" ht="19.5" customHeight="1" x14ac:dyDescent="0.25">
      <c r="B54" s="3">
        <v>51</v>
      </c>
      <c r="C54" s="7">
        <v>70</v>
      </c>
      <c r="D54" s="5">
        <v>6.8970000000000002</v>
      </c>
      <c r="F54" s="10">
        <v>41640</v>
      </c>
      <c r="G54" s="347">
        <f t="shared" si="0"/>
        <v>41640</v>
      </c>
      <c r="K54" s="3" t="s">
        <v>388</v>
      </c>
    </row>
    <row r="55" spans="2:11" ht="19.5" customHeight="1" x14ac:dyDescent="0.25">
      <c r="B55" s="3">
        <v>52</v>
      </c>
      <c r="C55" s="7">
        <v>71</v>
      </c>
      <c r="D55" s="5">
        <v>6.7030000000000003</v>
      </c>
      <c r="F55" s="12">
        <v>41821</v>
      </c>
      <c r="G55" s="348">
        <f t="shared" si="0"/>
        <v>41821</v>
      </c>
      <c r="K55" s="3" t="s">
        <v>389</v>
      </c>
    </row>
    <row r="56" spans="2:11" ht="19.5" customHeight="1" x14ac:dyDescent="0.25">
      <c r="B56" s="3">
        <v>53</v>
      </c>
      <c r="C56" s="7">
        <v>72</v>
      </c>
      <c r="D56" s="5">
        <v>6.5019999999999998</v>
      </c>
      <c r="F56" s="10">
        <v>42005</v>
      </c>
      <c r="G56" s="347">
        <f t="shared" si="0"/>
        <v>42005</v>
      </c>
      <c r="K56" s="3" t="s">
        <v>390</v>
      </c>
    </row>
    <row r="57" spans="2:11" ht="19.5" customHeight="1" x14ac:dyDescent="0.25">
      <c r="B57" s="3">
        <v>54</v>
      </c>
      <c r="C57" s="7">
        <v>73</v>
      </c>
      <c r="D57" s="5">
        <v>6.2960000000000003</v>
      </c>
      <c r="F57" s="12">
        <v>42186</v>
      </c>
      <c r="G57" s="348">
        <f t="shared" si="0"/>
        <v>42186</v>
      </c>
      <c r="K57" s="3" t="s">
        <v>391</v>
      </c>
    </row>
    <row r="58" spans="2:11" ht="19.5" customHeight="1" x14ac:dyDescent="0.25">
      <c r="B58" s="3">
        <v>55</v>
      </c>
      <c r="C58" s="7">
        <v>74</v>
      </c>
      <c r="D58" s="5">
        <v>6.085</v>
      </c>
      <c r="F58" s="10">
        <v>42370</v>
      </c>
      <c r="G58" s="347">
        <f t="shared" si="0"/>
        <v>42370</v>
      </c>
      <c r="K58" s="3" t="s">
        <v>392</v>
      </c>
    </row>
    <row r="59" spans="2:11" ht="19.5" customHeight="1" x14ac:dyDescent="0.25">
      <c r="B59" s="3">
        <v>56</v>
      </c>
      <c r="C59" s="7">
        <v>75</v>
      </c>
      <c r="D59" s="5">
        <v>5.8719999999999999</v>
      </c>
      <c r="F59" s="12">
        <v>42552</v>
      </c>
      <c r="G59" s="348">
        <f t="shared" si="0"/>
        <v>42552</v>
      </c>
      <c r="K59" s="3" t="s">
        <v>393</v>
      </c>
    </row>
    <row r="60" spans="2:11" ht="29.25" customHeight="1" x14ac:dyDescent="0.25">
      <c r="B60" s="3">
        <v>57</v>
      </c>
      <c r="C60" s="7">
        <v>76</v>
      </c>
      <c r="D60" s="5">
        <v>5.657</v>
      </c>
      <c r="F60" s="10">
        <v>42736</v>
      </c>
      <c r="G60" s="347">
        <f t="shared" si="0"/>
        <v>42736</v>
      </c>
      <c r="K60" s="3" t="s">
        <v>394</v>
      </c>
    </row>
    <row r="61" spans="2:11" ht="29.25" customHeight="1" x14ac:dyDescent="0.25">
      <c r="B61" s="3">
        <v>58</v>
      </c>
      <c r="C61" s="7">
        <v>77</v>
      </c>
      <c r="D61" s="5">
        <v>5.4429999999999996</v>
      </c>
      <c r="F61" s="13">
        <v>42826</v>
      </c>
      <c r="G61" s="348">
        <f t="shared" si="0"/>
        <v>42826</v>
      </c>
      <c r="K61" s="3" t="s">
        <v>395</v>
      </c>
    </row>
    <row r="62" spans="2:11" ht="29.25" customHeight="1" x14ac:dyDescent="0.25">
      <c r="B62" s="3">
        <v>59</v>
      </c>
      <c r="C62" s="7">
        <v>78</v>
      </c>
      <c r="D62" s="5">
        <v>5.2290000000000001</v>
      </c>
      <c r="F62" s="10">
        <v>42917</v>
      </c>
      <c r="G62" s="347">
        <f t="shared" si="0"/>
        <v>42917</v>
      </c>
      <c r="K62" s="3" t="s">
        <v>396</v>
      </c>
    </row>
    <row r="63" spans="2:11" ht="29.25" customHeight="1" x14ac:dyDescent="0.25">
      <c r="B63" s="3">
        <v>60</v>
      </c>
      <c r="C63" s="7">
        <v>79</v>
      </c>
      <c r="D63" s="5">
        <v>5.0179999999999998</v>
      </c>
      <c r="F63" s="12">
        <v>43101</v>
      </c>
      <c r="G63" s="348">
        <f t="shared" si="0"/>
        <v>43101</v>
      </c>
      <c r="K63" s="3" t="s">
        <v>397</v>
      </c>
    </row>
    <row r="64" spans="2:11" ht="19.5" customHeight="1" x14ac:dyDescent="0.25">
      <c r="B64" s="3">
        <v>61</v>
      </c>
      <c r="C64" s="7">
        <v>80</v>
      </c>
      <c r="D64" s="5">
        <v>4.8120000000000003</v>
      </c>
      <c r="F64" s="10">
        <v>43282</v>
      </c>
      <c r="G64" s="347">
        <f t="shared" si="0"/>
        <v>43282</v>
      </c>
    </row>
    <row r="65" spans="2:11" ht="19.5" customHeight="1" x14ac:dyDescent="0.25">
      <c r="B65" s="3">
        <v>62</v>
      </c>
      <c r="C65" s="7">
        <v>81</v>
      </c>
      <c r="D65" s="5">
        <v>4.6109999999999998</v>
      </c>
      <c r="F65" s="11">
        <v>43374</v>
      </c>
      <c r="G65" s="348">
        <f t="shared" si="0"/>
        <v>43374</v>
      </c>
    </row>
    <row r="66" spans="2:11" ht="19.5" customHeight="1" x14ac:dyDescent="0.25">
      <c r="F66" s="12">
        <v>43466</v>
      </c>
      <c r="G66" s="347">
        <f t="shared" si="0"/>
        <v>43466</v>
      </c>
    </row>
    <row r="67" spans="2:11" ht="19.5" customHeight="1" x14ac:dyDescent="0.25">
      <c r="F67" s="10">
        <v>43647</v>
      </c>
      <c r="G67" s="348">
        <f t="shared" si="0"/>
        <v>43647</v>
      </c>
    </row>
    <row r="68" spans="2:11" ht="19.5" customHeight="1" x14ac:dyDescent="0.25">
      <c r="F68" s="12">
        <v>43831</v>
      </c>
      <c r="G68" s="347">
        <f t="shared" si="0"/>
        <v>43831</v>
      </c>
    </row>
    <row r="69" spans="2:11" ht="19.5" customHeight="1" x14ac:dyDescent="0.25">
      <c r="F69" s="10">
        <v>44013</v>
      </c>
      <c r="G69" s="348">
        <f t="shared" si="0"/>
        <v>44013</v>
      </c>
    </row>
    <row r="70" spans="2:11" ht="19.5" customHeight="1" x14ac:dyDescent="0.25">
      <c r="F70" s="12">
        <v>44197</v>
      </c>
      <c r="G70" s="347">
        <f t="shared" si="0"/>
        <v>44197</v>
      </c>
    </row>
    <row r="71" spans="2:11" ht="19.5" customHeight="1" x14ac:dyDescent="0.25">
      <c r="F71" s="10">
        <v>44378</v>
      </c>
      <c r="G71" s="348">
        <f t="shared" si="0"/>
        <v>44378</v>
      </c>
    </row>
    <row r="72" spans="2:11" ht="19.5" customHeight="1" x14ac:dyDescent="0.25">
      <c r="F72" s="12">
        <v>44562</v>
      </c>
      <c r="G72" s="347">
        <f t="shared" si="0"/>
        <v>44562</v>
      </c>
    </row>
    <row r="73" spans="2:11" ht="19.5" customHeight="1" x14ac:dyDescent="0.25">
      <c r="F73" s="10">
        <v>44743</v>
      </c>
      <c r="G73" s="348">
        <f t="shared" si="0"/>
        <v>44743</v>
      </c>
    </row>
    <row r="74" spans="2:11" x14ac:dyDescent="0.25">
      <c r="F74" s="12">
        <v>44927</v>
      </c>
      <c r="G74" s="347">
        <f t="shared" si="0"/>
        <v>44927</v>
      </c>
    </row>
    <row r="75" spans="2:11" x14ac:dyDescent="0.25">
      <c r="F75" s="10">
        <v>45108</v>
      </c>
      <c r="G75" s="348">
        <f t="shared" si="0"/>
        <v>45108</v>
      </c>
    </row>
    <row r="76" spans="2:11" x14ac:dyDescent="0.25">
      <c r="F76" s="12">
        <v>45292</v>
      </c>
      <c r="G76" s="347">
        <f t="shared" si="0"/>
        <v>45292</v>
      </c>
    </row>
    <row r="77" spans="2:11" x14ac:dyDescent="0.25">
      <c r="F77" s="10">
        <v>45474</v>
      </c>
      <c r="G77" s="348">
        <f t="shared" si="0"/>
        <v>45474</v>
      </c>
      <c r="K77" s="88"/>
    </row>
    <row r="78" spans="2:11" x14ac:dyDescent="0.25">
      <c r="F78" s="12">
        <v>45658</v>
      </c>
      <c r="G78" s="347">
        <f t="shared" si="0"/>
        <v>45658</v>
      </c>
    </row>
    <row r="79" spans="2:11" x14ac:dyDescent="0.25">
      <c r="F79" s="10">
        <v>45839</v>
      </c>
      <c r="G79" s="348">
        <f t="shared" si="0"/>
        <v>45839</v>
      </c>
    </row>
    <row r="80" spans="2:11" x14ac:dyDescent="0.25">
      <c r="F80" s="12">
        <v>46023</v>
      </c>
      <c r="G80" s="347">
        <f t="shared" si="0"/>
        <v>46023</v>
      </c>
      <c r="J80" s="3"/>
    </row>
    <row r="81" spans="3:10" x14ac:dyDescent="0.25">
      <c r="D81" s="1107" t="s">
        <v>398</v>
      </c>
      <c r="E81" s="346"/>
      <c r="F81" s="10">
        <v>46204</v>
      </c>
      <c r="G81" s="348">
        <f t="shared" si="0"/>
        <v>46204</v>
      </c>
    </row>
    <row r="82" spans="3:10" ht="15.75" thickBot="1" x14ac:dyDescent="0.3">
      <c r="D82" s="1108"/>
      <c r="E82" s="1"/>
      <c r="F82" s="1"/>
      <c r="G82" s="1"/>
    </row>
    <row r="83" spans="3:10" x14ac:dyDescent="0.25">
      <c r="C83" s="1118" t="s">
        <v>335</v>
      </c>
      <c r="D83" s="591" t="s">
        <v>335</v>
      </c>
      <c r="E83" s="1"/>
      <c r="F83" s="1"/>
      <c r="G83" s="1"/>
    </row>
    <row r="84" spans="3:10" x14ac:dyDescent="0.25">
      <c r="C84" s="1119"/>
      <c r="D84" s="592" t="s">
        <v>399</v>
      </c>
      <c r="E84" s="1"/>
      <c r="F84" s="1"/>
      <c r="G84" s="1"/>
    </row>
    <row r="85" spans="3:10" x14ac:dyDescent="0.25">
      <c r="C85" s="1119"/>
      <c r="D85" s="592" t="s">
        <v>400</v>
      </c>
      <c r="E85" s="1"/>
      <c r="F85" s="1"/>
      <c r="G85" s="1"/>
    </row>
    <row r="86" spans="3:10" x14ac:dyDescent="0.25">
      <c r="C86" s="1119"/>
      <c r="D86" s="592" t="s">
        <v>401</v>
      </c>
      <c r="E86" s="1"/>
      <c r="F86" s="1"/>
      <c r="G86" s="1"/>
      <c r="J86" s="3"/>
    </row>
    <row r="87" spans="3:10" x14ac:dyDescent="0.25">
      <c r="C87" s="1119"/>
      <c r="D87" s="592" t="s">
        <v>402</v>
      </c>
      <c r="E87" s="1"/>
      <c r="F87" s="1"/>
      <c r="G87" s="1"/>
      <c r="J87" s="3"/>
    </row>
    <row r="88" spans="3:10" x14ac:dyDescent="0.25">
      <c r="C88" s="1119"/>
      <c r="D88" s="592" t="s">
        <v>403</v>
      </c>
      <c r="E88" s="1"/>
      <c r="F88" s="1"/>
      <c r="G88" s="1"/>
      <c r="J88" s="3"/>
    </row>
    <row r="89" spans="3:10" x14ac:dyDescent="0.25">
      <c r="C89" s="1119"/>
      <c r="D89" s="592" t="s">
        <v>404</v>
      </c>
      <c r="E89" s="1"/>
      <c r="F89" s="1"/>
      <c r="G89" s="1"/>
      <c r="J89" s="3"/>
    </row>
    <row r="90" spans="3:10" x14ac:dyDescent="0.25">
      <c r="C90" s="1119"/>
      <c r="D90" s="592" t="s">
        <v>405</v>
      </c>
      <c r="E90" s="1"/>
      <c r="F90" s="1"/>
      <c r="G90" s="595"/>
      <c r="J90" s="3"/>
    </row>
    <row r="91" spans="3:10" x14ac:dyDescent="0.25">
      <c r="C91" s="1119"/>
      <c r="D91" s="592" t="s">
        <v>406</v>
      </c>
      <c r="E91" s="1"/>
      <c r="F91" s="1"/>
      <c r="G91" s="1"/>
      <c r="J91" s="3"/>
    </row>
    <row r="92" spans="3:10" ht="15.75" thickBot="1" x14ac:dyDescent="0.3">
      <c r="C92" s="1120"/>
      <c r="D92" s="593" t="s">
        <v>407</v>
      </c>
      <c r="E92" s="1"/>
      <c r="F92" s="1"/>
      <c r="G92" s="1"/>
    </row>
    <row r="93" spans="3:10" x14ac:dyDescent="0.25">
      <c r="C93" s="1118" t="s">
        <v>333</v>
      </c>
      <c r="D93" s="591" t="s">
        <v>408</v>
      </c>
      <c r="E93" s="1"/>
      <c r="F93" s="1"/>
      <c r="G93" s="1"/>
    </row>
    <row r="94" spans="3:10" x14ac:dyDescent="0.25">
      <c r="C94" s="1119"/>
      <c r="D94" s="592" t="s">
        <v>409</v>
      </c>
      <c r="E94" s="1"/>
      <c r="F94" s="1"/>
      <c r="G94" s="1"/>
    </row>
    <row r="95" spans="3:10" x14ac:dyDescent="0.25">
      <c r="C95" s="1119"/>
      <c r="D95" s="592" t="s">
        <v>410</v>
      </c>
      <c r="E95" s="1"/>
      <c r="F95" s="1"/>
      <c r="G95" s="1"/>
    </row>
    <row r="96" spans="3:10" x14ac:dyDescent="0.25">
      <c r="C96" s="1119"/>
      <c r="D96" s="592" t="s">
        <v>411</v>
      </c>
      <c r="E96" s="1"/>
      <c r="F96" s="1"/>
      <c r="G96" s="1"/>
    </row>
    <row r="97" spans="3:7" x14ac:dyDescent="0.25">
      <c r="C97" s="1119"/>
      <c r="D97" s="592" t="s">
        <v>412</v>
      </c>
      <c r="E97" s="1"/>
      <c r="F97" s="1"/>
      <c r="G97" s="1"/>
    </row>
    <row r="98" spans="3:7" x14ac:dyDescent="0.25">
      <c r="C98" s="1119"/>
      <c r="D98" s="592" t="s">
        <v>413</v>
      </c>
      <c r="E98" s="1"/>
      <c r="F98" s="1"/>
      <c r="G98" s="1"/>
    </row>
    <row r="99" spans="3:7" x14ac:dyDescent="0.25">
      <c r="C99" s="1119"/>
      <c r="D99" s="592" t="s">
        <v>414</v>
      </c>
      <c r="E99" s="1"/>
      <c r="F99" s="1"/>
      <c r="G99" s="1"/>
    </row>
    <row r="100" spans="3:7" ht="15.75" thickBot="1" x14ac:dyDescent="0.3">
      <c r="C100" s="1119"/>
      <c r="D100" s="592" t="s">
        <v>415</v>
      </c>
      <c r="E100" s="1"/>
      <c r="F100" s="1"/>
      <c r="G100" s="1"/>
    </row>
    <row r="101" spans="3:7" x14ac:dyDescent="0.25">
      <c r="C101" s="1119"/>
      <c r="D101" s="806" t="s">
        <v>2499</v>
      </c>
      <c r="E101" s="1"/>
      <c r="F101" s="1"/>
      <c r="G101" s="1"/>
    </row>
    <row r="102" spans="3:7" x14ac:dyDescent="0.25">
      <c r="C102" s="1119"/>
      <c r="D102" s="807" t="s">
        <v>2500</v>
      </c>
      <c r="E102" s="1"/>
      <c r="F102" s="1"/>
      <c r="G102" s="1"/>
    </row>
    <row r="103" spans="3:7" x14ac:dyDescent="0.25">
      <c r="C103" s="1119"/>
      <c r="D103" s="807" t="s">
        <v>2501</v>
      </c>
      <c r="E103" s="1"/>
      <c r="F103" s="1"/>
      <c r="G103" s="1"/>
    </row>
    <row r="104" spans="3:7" x14ac:dyDescent="0.25">
      <c r="C104" s="1119"/>
      <c r="D104" s="807" t="s">
        <v>2502</v>
      </c>
      <c r="E104" s="1"/>
      <c r="F104" s="1"/>
      <c r="G104" s="1"/>
    </row>
    <row r="105" spans="3:7" x14ac:dyDescent="0.25">
      <c r="C105" s="1119"/>
      <c r="D105" s="592" t="s">
        <v>416</v>
      </c>
      <c r="E105" s="1"/>
      <c r="F105" s="1"/>
      <c r="G105" s="1"/>
    </row>
    <row r="106" spans="3:7" x14ac:dyDescent="0.25">
      <c r="C106" s="1119"/>
      <c r="D106" s="592" t="s">
        <v>417</v>
      </c>
      <c r="E106" s="1"/>
      <c r="F106" s="1"/>
      <c r="G106" s="1"/>
    </row>
    <row r="107" spans="3:7" x14ac:dyDescent="0.25">
      <c r="C107" s="1119"/>
      <c r="D107" s="592" t="s">
        <v>418</v>
      </c>
      <c r="E107" s="1"/>
      <c r="F107" s="1"/>
      <c r="G107" s="1"/>
    </row>
    <row r="108" spans="3:7" x14ac:dyDescent="0.25">
      <c r="C108" s="1119"/>
      <c r="D108" s="592" t="s">
        <v>419</v>
      </c>
      <c r="E108" s="1"/>
      <c r="F108" s="1"/>
      <c r="G108" s="1"/>
    </row>
    <row r="109" spans="3:7" x14ac:dyDescent="0.25">
      <c r="C109" s="1119"/>
      <c r="D109" s="592" t="s">
        <v>420</v>
      </c>
      <c r="E109" s="1"/>
      <c r="F109" s="1"/>
      <c r="G109" s="1"/>
    </row>
    <row r="110" spans="3:7" x14ac:dyDescent="0.25">
      <c r="C110" s="1119"/>
      <c r="D110" s="592" t="s">
        <v>421</v>
      </c>
      <c r="E110" s="1"/>
      <c r="F110" s="1"/>
      <c r="G110" s="1"/>
    </row>
    <row r="111" spans="3:7" x14ac:dyDescent="0.25">
      <c r="C111" s="1119"/>
      <c r="D111" s="592" t="s">
        <v>422</v>
      </c>
      <c r="E111" s="1"/>
      <c r="F111" s="1"/>
      <c r="G111" s="1"/>
    </row>
    <row r="112" spans="3:7" x14ac:dyDescent="0.25">
      <c r="C112" s="1119"/>
      <c r="D112" s="807" t="s">
        <v>2509</v>
      </c>
      <c r="E112" s="1"/>
      <c r="F112" s="1"/>
      <c r="G112" s="1"/>
    </row>
    <row r="113" spans="3:7" x14ac:dyDescent="0.25">
      <c r="C113" s="1119"/>
      <c r="D113" s="592" t="s">
        <v>423</v>
      </c>
      <c r="E113" s="1"/>
      <c r="F113" s="1"/>
      <c r="G113" s="1"/>
    </row>
    <row r="114" spans="3:7" x14ac:dyDescent="0.25">
      <c r="C114" s="1119"/>
      <c r="D114" s="592" t="s">
        <v>424</v>
      </c>
      <c r="E114" s="1"/>
      <c r="F114" s="1"/>
      <c r="G114" s="1"/>
    </row>
    <row r="115" spans="3:7" x14ac:dyDescent="0.25">
      <c r="C115" s="1119"/>
      <c r="D115" s="592" t="s">
        <v>425</v>
      </c>
      <c r="E115" s="1"/>
      <c r="F115" s="1"/>
      <c r="G115" s="1"/>
    </row>
    <row r="116" spans="3:7" x14ac:dyDescent="0.25">
      <c r="C116" s="1119"/>
      <c r="D116" s="592" t="s">
        <v>426</v>
      </c>
      <c r="E116" s="1"/>
      <c r="F116" s="1"/>
      <c r="G116" s="1"/>
    </row>
    <row r="117" spans="3:7" ht="15.75" thickBot="1" x14ac:dyDescent="0.3">
      <c r="C117" s="1120"/>
      <c r="D117" s="593" t="s">
        <v>427</v>
      </c>
      <c r="E117" s="1"/>
      <c r="F117" s="1"/>
      <c r="G117" s="1"/>
    </row>
    <row r="118" spans="3:7" x14ac:dyDescent="0.25">
      <c r="C118" s="1118" t="s">
        <v>330</v>
      </c>
      <c r="D118" s="807" t="s">
        <v>2503</v>
      </c>
      <c r="E118" s="1"/>
      <c r="F118" s="1"/>
      <c r="G118" s="1"/>
    </row>
    <row r="119" spans="3:7" x14ac:dyDescent="0.25">
      <c r="C119" s="1121"/>
      <c r="D119" s="807" t="s">
        <v>2504</v>
      </c>
      <c r="E119" s="1"/>
      <c r="F119" s="1"/>
      <c r="G119" s="1"/>
    </row>
    <row r="120" spans="3:7" x14ac:dyDescent="0.25">
      <c r="C120" s="1121"/>
      <c r="D120" s="807" t="s">
        <v>2505</v>
      </c>
      <c r="E120" s="1"/>
      <c r="F120" s="1"/>
      <c r="G120" s="1"/>
    </row>
    <row r="121" spans="3:7" x14ac:dyDescent="0.25">
      <c r="C121" s="1121"/>
      <c r="D121" s="807" t="s">
        <v>2506</v>
      </c>
      <c r="E121" s="1"/>
      <c r="F121" s="1"/>
      <c r="G121" s="1"/>
    </row>
    <row r="122" spans="3:7" x14ac:dyDescent="0.25">
      <c r="C122" s="1119"/>
      <c r="D122" s="807" t="s">
        <v>2507</v>
      </c>
      <c r="E122" s="1"/>
      <c r="F122" s="1"/>
      <c r="G122" s="1"/>
    </row>
    <row r="123" spans="3:7" x14ac:dyDescent="0.25">
      <c r="C123" s="1119"/>
      <c r="D123" s="807" t="s">
        <v>2508</v>
      </c>
      <c r="E123" s="1"/>
      <c r="F123" s="1"/>
      <c r="G123" s="1"/>
    </row>
    <row r="124" spans="3:7" ht="15.75" thickBot="1" x14ac:dyDescent="0.3">
      <c r="C124" s="1120"/>
      <c r="D124" s="807"/>
      <c r="E124" s="1"/>
      <c r="F124" s="1"/>
      <c r="G124" s="1"/>
    </row>
    <row r="125" spans="3:7" x14ac:dyDescent="0.25">
      <c r="C125" s="1118" t="s">
        <v>326</v>
      </c>
      <c r="D125" s="591" t="s">
        <v>428</v>
      </c>
      <c r="E125" s="1"/>
      <c r="F125" s="1"/>
      <c r="G125" s="1"/>
    </row>
    <row r="126" spans="3:7" x14ac:dyDescent="0.25">
      <c r="C126" s="1119"/>
      <c r="D126" s="592" t="s">
        <v>429</v>
      </c>
      <c r="E126" s="1"/>
      <c r="F126" s="1"/>
      <c r="G126" s="1"/>
    </row>
    <row r="127" spans="3:7" x14ac:dyDescent="0.25">
      <c r="C127" s="1119"/>
      <c r="D127" s="592" t="s">
        <v>430</v>
      </c>
      <c r="E127" s="1"/>
      <c r="F127" s="1"/>
      <c r="G127" s="1"/>
    </row>
    <row r="128" spans="3:7" x14ac:dyDescent="0.25">
      <c r="C128" s="1119"/>
      <c r="D128" s="592" t="s">
        <v>431</v>
      </c>
      <c r="E128" s="1"/>
      <c r="F128" s="1"/>
      <c r="G128" s="1"/>
    </row>
    <row r="129" spans="3:14" x14ac:dyDescent="0.25">
      <c r="C129" s="1119"/>
      <c r="D129" s="592" t="s">
        <v>432</v>
      </c>
      <c r="E129" s="1"/>
      <c r="F129" s="1"/>
      <c r="G129" s="1"/>
    </row>
    <row r="130" spans="3:14" ht="15.75" thickBot="1" x14ac:dyDescent="0.3">
      <c r="C130" s="1120"/>
      <c r="D130" s="593" t="s">
        <v>433</v>
      </c>
      <c r="E130" s="1"/>
      <c r="F130" s="1"/>
      <c r="G130" s="1"/>
    </row>
    <row r="131" spans="3:14" ht="15.75" thickBot="1" x14ac:dyDescent="0.3"/>
    <row r="132" spans="3:14" ht="19.5" thickBot="1" x14ac:dyDescent="0.35">
      <c r="D132" s="1102" t="s">
        <v>434</v>
      </c>
      <c r="E132" s="1103"/>
      <c r="F132" s="1104"/>
      <c r="G132" s="1105" t="s">
        <v>11</v>
      </c>
      <c r="H132" s="1106"/>
      <c r="J132" s="1109" t="s">
        <v>435</v>
      </c>
      <c r="K132" s="1110"/>
      <c r="L132" s="417" t="s">
        <v>6</v>
      </c>
      <c r="M132" s="120" t="s">
        <v>436</v>
      </c>
      <c r="N132" s="121" t="s">
        <v>437</v>
      </c>
    </row>
    <row r="133" spans="3:14" ht="15.75" customHeight="1" thickBot="1" x14ac:dyDescent="0.3">
      <c r="D133" s="48" t="s">
        <v>438</v>
      </c>
      <c r="E133" s="49" t="s">
        <v>439</v>
      </c>
      <c r="F133" s="50" t="s">
        <v>440</v>
      </c>
      <c r="G133" s="155" t="s">
        <v>441</v>
      </c>
      <c r="H133" s="155" t="s">
        <v>442</v>
      </c>
      <c r="J133" s="415">
        <v>2600</v>
      </c>
      <c r="K133" s="410" t="s">
        <v>443</v>
      </c>
      <c r="L133" s="1140" t="s">
        <v>444</v>
      </c>
      <c r="M133" s="122" t="s">
        <v>7</v>
      </c>
      <c r="N133" s="123">
        <v>1400</v>
      </c>
    </row>
    <row r="134" spans="3:14" ht="15.75" customHeight="1" x14ac:dyDescent="0.25">
      <c r="D134" s="45">
        <v>330</v>
      </c>
      <c r="E134" s="42">
        <v>775</v>
      </c>
      <c r="F134" s="26">
        <v>2600</v>
      </c>
      <c r="G134" s="27">
        <v>1200</v>
      </c>
      <c r="H134" s="27">
        <v>1400</v>
      </c>
      <c r="J134" s="14">
        <v>2650</v>
      </c>
      <c r="K134" s="411" t="s">
        <v>445</v>
      </c>
      <c r="L134" s="1141"/>
      <c r="M134" s="124" t="s">
        <v>7</v>
      </c>
      <c r="N134" s="125">
        <v>1650</v>
      </c>
    </row>
    <row r="135" spans="3:14" ht="15.75" customHeight="1" x14ac:dyDescent="0.25">
      <c r="D135" s="46">
        <v>340</v>
      </c>
      <c r="E135" s="43">
        <v>800</v>
      </c>
      <c r="F135" s="28">
        <v>2650</v>
      </c>
      <c r="G135" s="14">
        <v>1300</v>
      </c>
      <c r="H135" s="14">
        <v>1650</v>
      </c>
      <c r="J135" s="14">
        <v>2750</v>
      </c>
      <c r="K135" s="411" t="s">
        <v>446</v>
      </c>
      <c r="L135" s="1141"/>
      <c r="M135" s="124" t="s">
        <v>7</v>
      </c>
      <c r="N135" s="125">
        <v>1800</v>
      </c>
    </row>
    <row r="136" spans="3:14" ht="15.75" customHeight="1" thickBot="1" x14ac:dyDescent="0.3">
      <c r="D136" s="46">
        <v>370</v>
      </c>
      <c r="E136" s="43">
        <v>850</v>
      </c>
      <c r="F136" s="28">
        <v>2750</v>
      </c>
      <c r="G136" s="14">
        <v>1400</v>
      </c>
      <c r="H136" s="14">
        <v>1800</v>
      </c>
      <c r="J136" s="15">
        <v>2900</v>
      </c>
      <c r="K136" s="412" t="s">
        <v>447</v>
      </c>
      <c r="L136" s="1142"/>
      <c r="M136" s="126" t="s">
        <v>7</v>
      </c>
      <c r="N136" s="127">
        <v>1900</v>
      </c>
    </row>
    <row r="137" spans="3:14" ht="15.75" customHeight="1" x14ac:dyDescent="0.25">
      <c r="D137" s="46">
        <v>400</v>
      </c>
      <c r="E137" s="43">
        <v>950</v>
      </c>
      <c r="F137" s="28">
        <v>2900</v>
      </c>
      <c r="G137" s="14">
        <v>1500</v>
      </c>
      <c r="H137" s="14">
        <v>1900</v>
      </c>
      <c r="J137" s="27">
        <v>3050</v>
      </c>
      <c r="K137" s="410" t="s">
        <v>448</v>
      </c>
      <c r="L137" s="1140" t="s">
        <v>449</v>
      </c>
      <c r="M137" s="122" t="s">
        <v>8</v>
      </c>
      <c r="N137" s="123">
        <v>2000</v>
      </c>
    </row>
    <row r="138" spans="3:14" ht="15.75" customHeight="1" x14ac:dyDescent="0.25">
      <c r="D138" s="46">
        <v>430</v>
      </c>
      <c r="E138" s="43">
        <v>970</v>
      </c>
      <c r="F138" s="28">
        <v>3050</v>
      </c>
      <c r="G138" s="14">
        <v>1600</v>
      </c>
      <c r="H138" s="14">
        <v>2000</v>
      </c>
      <c r="J138" s="14">
        <v>3200</v>
      </c>
      <c r="K138" s="411" t="s">
        <v>450</v>
      </c>
      <c r="L138" s="1141"/>
      <c r="M138" s="124" t="s">
        <v>8</v>
      </c>
      <c r="N138" s="125">
        <v>2100</v>
      </c>
    </row>
    <row r="139" spans="3:14" ht="15.75" customHeight="1" x14ac:dyDescent="0.25">
      <c r="D139" s="46">
        <v>470</v>
      </c>
      <c r="E139" s="43">
        <v>1020</v>
      </c>
      <c r="F139" s="28">
        <v>3200</v>
      </c>
      <c r="G139" s="14">
        <v>1700</v>
      </c>
      <c r="H139" s="14">
        <v>2100</v>
      </c>
      <c r="J139" s="14">
        <v>3300</v>
      </c>
      <c r="K139" s="411" t="s">
        <v>451</v>
      </c>
      <c r="L139" s="1141"/>
      <c r="M139" s="124" t="s">
        <v>8</v>
      </c>
      <c r="N139" s="125">
        <v>2200</v>
      </c>
    </row>
    <row r="140" spans="3:14" ht="15.75" customHeight="1" x14ac:dyDescent="0.25">
      <c r="D140" s="46">
        <v>590</v>
      </c>
      <c r="E140" s="43">
        <v>1250</v>
      </c>
      <c r="F140" s="28">
        <v>3300</v>
      </c>
      <c r="G140" s="14">
        <v>1800</v>
      </c>
      <c r="H140" s="14">
        <v>2200</v>
      </c>
      <c r="J140" s="14">
        <v>4000</v>
      </c>
      <c r="K140" s="411" t="s">
        <v>452</v>
      </c>
      <c r="L140" s="1141"/>
      <c r="M140" s="124" t="s">
        <v>8</v>
      </c>
      <c r="N140" s="125">
        <v>2400</v>
      </c>
    </row>
    <row r="141" spans="3:14" ht="15.75" customHeight="1" x14ac:dyDescent="0.25">
      <c r="D141" s="46">
        <v>550</v>
      </c>
      <c r="E141" s="43">
        <v>1300</v>
      </c>
      <c r="F141" s="28">
        <v>4000</v>
      </c>
      <c r="G141" s="14">
        <v>2000</v>
      </c>
      <c r="H141" s="14">
        <v>2400</v>
      </c>
      <c r="J141" s="14">
        <v>4200</v>
      </c>
      <c r="K141" s="411" t="s">
        <v>453</v>
      </c>
      <c r="L141" s="1141"/>
      <c r="M141" s="124" t="s">
        <v>8</v>
      </c>
      <c r="N141" s="125">
        <v>2800</v>
      </c>
    </row>
    <row r="142" spans="3:14" ht="15.75" customHeight="1" thickBot="1" x14ac:dyDescent="0.3">
      <c r="D142" s="46">
        <v>560</v>
      </c>
      <c r="E142" s="43">
        <v>1450</v>
      </c>
      <c r="F142" s="28">
        <v>4200</v>
      </c>
      <c r="G142" s="14">
        <v>2100</v>
      </c>
      <c r="H142" s="14">
        <v>2800</v>
      </c>
      <c r="J142" s="416">
        <v>5000</v>
      </c>
      <c r="K142" s="412" t="s">
        <v>454</v>
      </c>
      <c r="L142" s="1142"/>
      <c r="M142" s="126" t="s">
        <v>8</v>
      </c>
      <c r="N142" s="127">
        <v>4200</v>
      </c>
    </row>
    <row r="143" spans="3:14" ht="15.75" customHeight="1" x14ac:dyDescent="0.25">
      <c r="D143" s="46">
        <v>600</v>
      </c>
      <c r="E143" s="43">
        <v>1700</v>
      </c>
      <c r="F143" s="28">
        <v>5000</v>
      </c>
      <c r="G143" s="14">
        <v>2400</v>
      </c>
      <c r="H143" s="14">
        <v>4200</v>
      </c>
      <c r="J143" s="415">
        <v>5500</v>
      </c>
      <c r="K143" s="410" t="s">
        <v>455</v>
      </c>
      <c r="L143" s="1140" t="s">
        <v>456</v>
      </c>
      <c r="M143" s="122" t="s">
        <v>9</v>
      </c>
      <c r="N143" s="123">
        <v>4400</v>
      </c>
    </row>
    <row r="144" spans="3:14" ht="15.75" customHeight="1" x14ac:dyDescent="0.25">
      <c r="D144" s="46">
        <v>650</v>
      </c>
      <c r="E144" s="43">
        <v>2000</v>
      </c>
      <c r="F144" s="28">
        <v>5500</v>
      </c>
      <c r="G144" s="14">
        <v>2600</v>
      </c>
      <c r="H144" s="14">
        <v>4400</v>
      </c>
      <c r="J144" s="14">
        <v>6500</v>
      </c>
      <c r="K144" s="411" t="s">
        <v>457</v>
      </c>
      <c r="L144" s="1141"/>
      <c r="M144" s="124" t="s">
        <v>9</v>
      </c>
      <c r="N144" s="125">
        <v>4600</v>
      </c>
    </row>
    <row r="145" spans="3:14" ht="15.75" customHeight="1" thickBot="1" x14ac:dyDescent="0.3">
      <c r="D145" s="46">
        <v>750</v>
      </c>
      <c r="E145" s="43">
        <v>2100</v>
      </c>
      <c r="F145" s="28">
        <v>6500</v>
      </c>
      <c r="G145" s="14">
        <v>3100</v>
      </c>
      <c r="H145" s="14">
        <v>4600</v>
      </c>
      <c r="J145" s="15">
        <v>7450</v>
      </c>
      <c r="K145" s="412" t="s">
        <v>458</v>
      </c>
      <c r="L145" s="1142"/>
      <c r="M145" s="126" t="s">
        <v>9</v>
      </c>
      <c r="N145" s="127">
        <v>4800</v>
      </c>
    </row>
    <row r="146" spans="3:14" ht="15.75" customHeight="1" x14ac:dyDescent="0.25">
      <c r="D146" s="46">
        <v>780</v>
      </c>
      <c r="E146" s="43">
        <v>2150</v>
      </c>
      <c r="F146" s="28">
        <v>7450</v>
      </c>
      <c r="G146" s="14">
        <v>3500</v>
      </c>
      <c r="H146" s="14">
        <v>4800</v>
      </c>
      <c r="J146" s="27">
        <v>7800</v>
      </c>
      <c r="K146" s="410" t="s">
        <v>459</v>
      </c>
      <c r="L146" s="1140" t="s">
        <v>460</v>
      </c>
      <c r="M146" s="122" t="s">
        <v>10</v>
      </c>
      <c r="N146" s="123">
        <v>5400</v>
      </c>
    </row>
    <row r="147" spans="3:14" ht="15.75" customHeight="1" x14ac:dyDescent="0.25">
      <c r="D147" s="46">
        <v>800</v>
      </c>
      <c r="E147" s="43">
        <v>3000</v>
      </c>
      <c r="F147" s="28">
        <v>7800</v>
      </c>
      <c r="G147" s="14">
        <v>3700</v>
      </c>
      <c r="H147" s="14">
        <v>5400</v>
      </c>
      <c r="J147" s="14">
        <v>10000</v>
      </c>
      <c r="K147" s="411" t="s">
        <v>461</v>
      </c>
      <c r="L147" s="1141"/>
      <c r="M147" s="124" t="s">
        <v>10</v>
      </c>
      <c r="N147" s="125">
        <v>6600</v>
      </c>
    </row>
    <row r="148" spans="3:14" ht="15.75" customHeight="1" x14ac:dyDescent="0.25">
      <c r="D148" s="46">
        <v>900</v>
      </c>
      <c r="E148" s="43">
        <v>3200</v>
      </c>
      <c r="F148" s="28">
        <v>10000</v>
      </c>
      <c r="G148" s="14">
        <v>4500</v>
      </c>
      <c r="H148" s="14">
        <v>6600</v>
      </c>
      <c r="J148" s="14">
        <v>10650</v>
      </c>
      <c r="K148" s="411" t="s">
        <v>462</v>
      </c>
      <c r="L148" s="1141"/>
      <c r="M148" s="124" t="s">
        <v>10</v>
      </c>
      <c r="N148" s="125">
        <v>6800</v>
      </c>
    </row>
    <row r="149" spans="3:14" ht="15.75" customHeight="1" x14ac:dyDescent="0.25">
      <c r="D149" s="46">
        <v>1200</v>
      </c>
      <c r="E149" s="43">
        <v>3300</v>
      </c>
      <c r="F149" s="28">
        <v>10650</v>
      </c>
      <c r="G149" s="14">
        <v>4800</v>
      </c>
      <c r="H149" s="14">
        <v>6800</v>
      </c>
      <c r="J149" s="14">
        <v>11000</v>
      </c>
      <c r="K149" s="411" t="s">
        <v>463</v>
      </c>
      <c r="L149" s="1141"/>
      <c r="M149" s="124" t="s">
        <v>10</v>
      </c>
      <c r="N149" s="125">
        <v>7000</v>
      </c>
    </row>
    <row r="150" spans="3:14" ht="15.75" customHeight="1" x14ac:dyDescent="0.25">
      <c r="D150" s="46">
        <v>1600</v>
      </c>
      <c r="E150" s="43">
        <v>3500</v>
      </c>
      <c r="F150" s="28">
        <v>11000</v>
      </c>
      <c r="G150" s="14">
        <v>5000</v>
      </c>
      <c r="H150" s="14">
        <v>7000</v>
      </c>
      <c r="J150" s="14">
        <v>11150</v>
      </c>
      <c r="K150" s="411" t="s">
        <v>464</v>
      </c>
      <c r="L150" s="1141"/>
      <c r="M150" s="124" t="s">
        <v>10</v>
      </c>
      <c r="N150" s="125">
        <v>7100</v>
      </c>
    </row>
    <row r="151" spans="3:14" ht="15.75" customHeight="1" thickBot="1" x14ac:dyDescent="0.3">
      <c r="D151" s="46">
        <v>1700</v>
      </c>
      <c r="E151" s="43">
        <v>3600</v>
      </c>
      <c r="F151" s="28">
        <v>11150</v>
      </c>
      <c r="G151" s="14">
        <v>5100</v>
      </c>
      <c r="H151" s="14">
        <v>7100</v>
      </c>
      <c r="J151" s="416">
        <v>12000</v>
      </c>
      <c r="K151" s="412" t="s">
        <v>465</v>
      </c>
      <c r="L151" s="1142"/>
      <c r="M151" s="126" t="s">
        <v>10</v>
      </c>
      <c r="N151" s="127">
        <v>7600</v>
      </c>
    </row>
    <row r="152" spans="3:14" ht="15.75" customHeight="1" thickBot="1" x14ac:dyDescent="0.3">
      <c r="D152" s="46">
        <v>1800</v>
      </c>
      <c r="E152" s="43">
        <v>4000</v>
      </c>
      <c r="F152" s="28">
        <v>12000</v>
      </c>
      <c r="G152" s="14">
        <v>5600</v>
      </c>
      <c r="H152" s="14">
        <v>7600</v>
      </c>
      <c r="J152" s="36">
        <v>14150</v>
      </c>
      <c r="K152" s="413" t="s">
        <v>466</v>
      </c>
      <c r="L152" s="128" t="s">
        <v>467</v>
      </c>
      <c r="M152" s="129" t="s">
        <v>468</v>
      </c>
      <c r="N152" s="130">
        <v>8700</v>
      </c>
    </row>
    <row r="153" spans="3:14" ht="15.75" customHeight="1" thickBot="1" x14ac:dyDescent="0.3">
      <c r="D153" s="47">
        <v>2100</v>
      </c>
      <c r="E153" s="44">
        <v>5900</v>
      </c>
      <c r="F153" s="29">
        <v>14150</v>
      </c>
      <c r="G153" s="15">
        <v>6500</v>
      </c>
      <c r="H153" s="15">
        <v>8700</v>
      </c>
      <c r="J153" s="155">
        <v>18400</v>
      </c>
      <c r="K153" s="414" t="s">
        <v>469</v>
      </c>
      <c r="L153" s="131" t="s">
        <v>470</v>
      </c>
      <c r="M153" s="132" t="s">
        <v>471</v>
      </c>
      <c r="N153" s="133" t="s">
        <v>472</v>
      </c>
    </row>
    <row r="154" spans="3:14" ht="15.75" customHeight="1" thickBot="1" x14ac:dyDescent="0.3"/>
    <row r="155" spans="3:14" ht="15.75" x14ac:dyDescent="0.25">
      <c r="C155" s="1114" t="s">
        <v>473</v>
      </c>
      <c r="D155" s="1115"/>
      <c r="E155" s="1111" t="s">
        <v>474</v>
      </c>
      <c r="F155" s="1112"/>
      <c r="G155" s="1112"/>
      <c r="H155" s="1113"/>
    </row>
    <row r="156" spans="3:14" ht="16.5" thickBot="1" x14ac:dyDescent="0.3">
      <c r="C156" s="1116"/>
      <c r="D156" s="1117"/>
      <c r="E156" s="316"/>
      <c r="F156" s="317" t="s">
        <v>475</v>
      </c>
      <c r="G156" s="317" t="s">
        <v>476</v>
      </c>
      <c r="H156" s="318" t="s">
        <v>477</v>
      </c>
    </row>
    <row r="157" spans="3:14" ht="15.75" x14ac:dyDescent="0.25">
      <c r="C157" s="1096">
        <v>1</v>
      </c>
      <c r="D157" s="1134" t="s">
        <v>433</v>
      </c>
      <c r="E157" s="165" t="s">
        <v>478</v>
      </c>
      <c r="F157" s="159">
        <v>4000</v>
      </c>
      <c r="G157" s="320"/>
      <c r="H157" s="321"/>
    </row>
    <row r="158" spans="3:14" ht="15.75" x14ac:dyDescent="0.25">
      <c r="C158" s="1097"/>
      <c r="D158" s="1135"/>
      <c r="E158" s="166" t="s">
        <v>479</v>
      </c>
      <c r="F158" s="160"/>
      <c r="G158" s="322"/>
      <c r="H158" s="323"/>
    </row>
    <row r="159" spans="3:14" ht="16.5" customHeight="1" x14ac:dyDescent="0.25">
      <c r="C159" s="1097"/>
      <c r="D159" s="1135"/>
      <c r="E159" s="166" t="s">
        <v>480</v>
      </c>
      <c r="F159" s="322"/>
      <c r="G159" s="322"/>
      <c r="H159" s="323"/>
    </row>
    <row r="160" spans="3:14" ht="16.5" customHeight="1" thickBot="1" x14ac:dyDescent="0.3">
      <c r="C160" s="1098"/>
      <c r="D160" s="1136"/>
      <c r="E160" s="167" t="s">
        <v>481</v>
      </c>
      <c r="F160" s="161"/>
      <c r="G160" s="161"/>
      <c r="H160" s="162"/>
    </row>
    <row r="161" spans="3:8" ht="16.5" customHeight="1" x14ac:dyDescent="0.25">
      <c r="C161" s="1096">
        <v>2</v>
      </c>
      <c r="D161" s="1143" t="s">
        <v>482</v>
      </c>
      <c r="E161" s="165" t="s">
        <v>478</v>
      </c>
      <c r="F161" s="159">
        <v>3600</v>
      </c>
      <c r="G161" s="159">
        <v>12000</v>
      </c>
      <c r="H161" s="163">
        <v>7600</v>
      </c>
    </row>
    <row r="162" spans="3:8" ht="16.5" customHeight="1" x14ac:dyDescent="0.25">
      <c r="C162" s="1097"/>
      <c r="D162" s="1144"/>
      <c r="E162" s="166" t="s">
        <v>479</v>
      </c>
      <c r="F162" s="160"/>
      <c r="G162" s="160"/>
      <c r="H162" s="164"/>
    </row>
    <row r="163" spans="3:8" ht="29.45" customHeight="1" x14ac:dyDescent="0.25">
      <c r="C163" s="1097"/>
      <c r="D163" s="1144"/>
      <c r="E163" s="166" t="s">
        <v>480</v>
      </c>
      <c r="F163" s="160"/>
      <c r="G163" s="160"/>
      <c r="H163" s="164"/>
    </row>
    <row r="164" spans="3:8" ht="29.45" customHeight="1" thickBot="1" x14ac:dyDescent="0.3">
      <c r="C164" s="1098"/>
      <c r="D164" s="1145"/>
      <c r="E164" s="167" t="s">
        <v>481</v>
      </c>
      <c r="F164" s="161"/>
      <c r="G164" s="161"/>
      <c r="H164" s="162"/>
    </row>
    <row r="165" spans="3:8" ht="29.45" customHeight="1" x14ac:dyDescent="0.25">
      <c r="C165" s="1096">
        <v>3</v>
      </c>
      <c r="D165" s="1099" t="s">
        <v>483</v>
      </c>
      <c r="E165" s="165" t="s">
        <v>478</v>
      </c>
      <c r="F165" s="159">
        <v>3200</v>
      </c>
      <c r="G165" s="159">
        <v>10650</v>
      </c>
      <c r="H165" s="163">
        <v>6800</v>
      </c>
    </row>
    <row r="166" spans="3:8" ht="29.45" customHeight="1" x14ac:dyDescent="0.25">
      <c r="C166" s="1097"/>
      <c r="D166" s="1100"/>
      <c r="E166" s="166" t="s">
        <v>479</v>
      </c>
      <c r="F166" s="160"/>
      <c r="G166" s="160"/>
      <c r="H166" s="164"/>
    </row>
    <row r="167" spans="3:8" ht="15.75" x14ac:dyDescent="0.25">
      <c r="C167" s="1097"/>
      <c r="D167" s="1100"/>
      <c r="E167" s="166" t="s">
        <v>480</v>
      </c>
      <c r="F167" s="160"/>
      <c r="G167" s="160"/>
      <c r="H167" s="164"/>
    </row>
    <row r="168" spans="3:8" ht="16.5" thickBot="1" x14ac:dyDescent="0.3">
      <c r="C168" s="1098"/>
      <c r="D168" s="1101"/>
      <c r="E168" s="167" t="s">
        <v>481</v>
      </c>
      <c r="F168" s="161"/>
      <c r="G168" s="161"/>
      <c r="H168" s="162"/>
    </row>
    <row r="169" spans="3:8" ht="26.25" customHeight="1" x14ac:dyDescent="0.25">
      <c r="C169" s="1096">
        <v>4</v>
      </c>
      <c r="D169" s="1099" t="s">
        <v>484</v>
      </c>
      <c r="E169" s="165" t="s">
        <v>478</v>
      </c>
      <c r="F169" s="159">
        <v>3000</v>
      </c>
      <c r="G169" s="159">
        <v>10000</v>
      </c>
      <c r="H169" s="163">
        <v>6600</v>
      </c>
    </row>
    <row r="170" spans="3:8" ht="26.25" customHeight="1" x14ac:dyDescent="0.25">
      <c r="C170" s="1097"/>
      <c r="D170" s="1100"/>
      <c r="E170" s="166" t="s">
        <v>479</v>
      </c>
      <c r="F170" s="160"/>
      <c r="G170" s="160"/>
      <c r="H170" s="164"/>
    </row>
    <row r="171" spans="3:8" ht="26.25" customHeight="1" x14ac:dyDescent="0.25">
      <c r="C171" s="1097"/>
      <c r="D171" s="1100"/>
      <c r="E171" s="166" t="s">
        <v>480</v>
      </c>
      <c r="F171" s="160"/>
      <c r="G171" s="160"/>
      <c r="H171" s="164"/>
    </row>
    <row r="172" spans="3:8" ht="26.25" customHeight="1" thickBot="1" x14ac:dyDescent="0.3">
      <c r="C172" s="1098"/>
      <c r="D172" s="1101"/>
      <c r="E172" s="167" t="s">
        <v>481</v>
      </c>
      <c r="F172" s="161"/>
      <c r="G172" s="161"/>
      <c r="H172" s="162"/>
    </row>
    <row r="173" spans="3:8" ht="15.75" x14ac:dyDescent="0.25">
      <c r="C173" s="1096">
        <v>5</v>
      </c>
      <c r="D173" s="1093" t="s">
        <v>485</v>
      </c>
      <c r="E173" s="165" t="s">
        <v>478</v>
      </c>
      <c r="F173" s="159">
        <v>3000</v>
      </c>
      <c r="G173" s="159">
        <v>10000</v>
      </c>
      <c r="H173" s="163">
        <v>6600</v>
      </c>
    </row>
    <row r="174" spans="3:8" ht="15.75" x14ac:dyDescent="0.25">
      <c r="C174" s="1097"/>
      <c r="D174" s="1094"/>
      <c r="E174" s="166" t="s">
        <v>479</v>
      </c>
      <c r="F174" s="160" t="s">
        <v>486</v>
      </c>
      <c r="G174" s="160" t="s">
        <v>486</v>
      </c>
      <c r="H174" s="164">
        <v>6800</v>
      </c>
    </row>
    <row r="175" spans="3:8" ht="15.75" x14ac:dyDescent="0.25">
      <c r="C175" s="1097"/>
      <c r="D175" s="1094"/>
      <c r="E175" s="166" t="s">
        <v>480</v>
      </c>
      <c r="F175" s="160" t="s">
        <v>486</v>
      </c>
      <c r="G175" s="160" t="s">
        <v>486</v>
      </c>
      <c r="H175" s="164">
        <v>7000</v>
      </c>
    </row>
    <row r="176" spans="3:8" ht="16.5" thickBot="1" x14ac:dyDescent="0.3">
      <c r="C176" s="1098"/>
      <c r="D176" s="1095"/>
      <c r="E176" s="167" t="s">
        <v>481</v>
      </c>
      <c r="F176" s="161" t="s">
        <v>486</v>
      </c>
      <c r="G176" s="161" t="s">
        <v>486</v>
      </c>
      <c r="H176" s="162">
        <v>7100</v>
      </c>
    </row>
    <row r="177" spans="2:8" ht="22.5" customHeight="1" x14ac:dyDescent="0.25">
      <c r="C177" s="1096">
        <v>6</v>
      </c>
      <c r="D177" s="1099" t="s">
        <v>487</v>
      </c>
      <c r="E177" s="165" t="s">
        <v>478</v>
      </c>
      <c r="F177" s="159">
        <v>2145</v>
      </c>
      <c r="G177" s="159">
        <v>7450</v>
      </c>
      <c r="H177" s="163">
        <v>4800</v>
      </c>
    </row>
    <row r="178" spans="2:8" ht="22.5" customHeight="1" x14ac:dyDescent="0.25">
      <c r="C178" s="1097"/>
      <c r="D178" s="1100"/>
      <c r="E178" s="166" t="s">
        <v>479</v>
      </c>
      <c r="F178" s="160"/>
      <c r="G178" s="160"/>
      <c r="H178" s="164"/>
    </row>
    <row r="179" spans="2:8" ht="22.5" customHeight="1" x14ac:dyDescent="0.25">
      <c r="C179" s="1097"/>
      <c r="D179" s="1100"/>
      <c r="E179" s="166" t="s">
        <v>480</v>
      </c>
      <c r="F179" s="160"/>
      <c r="G179" s="160"/>
      <c r="H179" s="164"/>
    </row>
    <row r="180" spans="2:8" ht="22.5" customHeight="1" thickBot="1" x14ac:dyDescent="0.3">
      <c r="C180" s="1098"/>
      <c r="D180" s="1101"/>
      <c r="E180" s="167" t="s">
        <v>481</v>
      </c>
      <c r="F180" s="161"/>
      <c r="G180" s="161"/>
      <c r="H180" s="162"/>
    </row>
    <row r="181" spans="2:8" ht="15.75" x14ac:dyDescent="0.25">
      <c r="B181" s="1137" t="s">
        <v>488</v>
      </c>
      <c r="C181" s="1096">
        <v>7</v>
      </c>
      <c r="D181" s="1132" t="s">
        <v>489</v>
      </c>
      <c r="E181" s="170" t="s">
        <v>478</v>
      </c>
      <c r="F181" s="286">
        <v>2145</v>
      </c>
      <c r="G181" s="286">
        <v>7450</v>
      </c>
      <c r="H181" s="287">
        <v>4800</v>
      </c>
    </row>
    <row r="182" spans="2:8" ht="15.75" x14ac:dyDescent="0.25">
      <c r="B182" s="1138"/>
      <c r="C182" s="1097"/>
      <c r="D182" s="1133"/>
      <c r="E182" s="166" t="s">
        <v>479</v>
      </c>
      <c r="F182" s="160"/>
      <c r="G182" s="160">
        <v>10000</v>
      </c>
      <c r="H182" s="164">
        <v>5400</v>
      </c>
    </row>
    <row r="183" spans="2:8" ht="15.75" x14ac:dyDescent="0.25">
      <c r="B183" s="1138"/>
      <c r="C183" s="1097"/>
      <c r="D183" s="290" t="s">
        <v>490</v>
      </c>
      <c r="E183" s="166" t="s">
        <v>480</v>
      </c>
      <c r="F183" s="160">
        <v>2150</v>
      </c>
      <c r="G183" s="160">
        <v>10000</v>
      </c>
      <c r="H183" s="164">
        <v>6600</v>
      </c>
    </row>
    <row r="184" spans="2:8" ht="16.5" thickBot="1" x14ac:dyDescent="0.3">
      <c r="B184" s="1138"/>
      <c r="C184" s="1098"/>
      <c r="D184" s="291"/>
      <c r="E184" s="171" t="s">
        <v>481</v>
      </c>
      <c r="F184" s="288"/>
      <c r="G184" s="288" t="s">
        <v>491</v>
      </c>
      <c r="H184" s="289">
        <v>6800</v>
      </c>
    </row>
    <row r="185" spans="2:8" ht="15.75" x14ac:dyDescent="0.25">
      <c r="B185" s="1138"/>
      <c r="C185" s="1096">
        <v>8</v>
      </c>
      <c r="D185" s="292" t="s">
        <v>492</v>
      </c>
      <c r="E185" s="285" t="s">
        <v>478</v>
      </c>
      <c r="F185" s="168">
        <v>1450</v>
      </c>
      <c r="G185" s="168">
        <v>5000</v>
      </c>
      <c r="H185" s="169">
        <v>4200</v>
      </c>
    </row>
    <row r="186" spans="2:8" ht="15.75" x14ac:dyDescent="0.25">
      <c r="B186" s="1138"/>
      <c r="C186" s="1097"/>
      <c r="D186" s="290" t="s">
        <v>493</v>
      </c>
      <c r="E186" s="166" t="s">
        <v>479</v>
      </c>
      <c r="F186" s="160">
        <v>2145</v>
      </c>
      <c r="G186" s="160">
        <v>7450</v>
      </c>
      <c r="H186" s="164">
        <v>4400</v>
      </c>
    </row>
    <row r="187" spans="2:8" ht="15.75" x14ac:dyDescent="0.25">
      <c r="B187" s="1138"/>
      <c r="C187" s="1097"/>
      <c r="D187" s="290" t="s">
        <v>494</v>
      </c>
      <c r="E187" s="166" t="s">
        <v>480</v>
      </c>
      <c r="F187" s="160">
        <v>2150</v>
      </c>
      <c r="G187" s="160">
        <v>10000</v>
      </c>
      <c r="H187" s="164">
        <v>4600</v>
      </c>
    </row>
    <row r="188" spans="2:8" ht="16.5" thickBot="1" x14ac:dyDescent="0.3">
      <c r="B188" s="1139"/>
      <c r="C188" s="1098"/>
      <c r="D188" s="291"/>
      <c r="E188" s="171" t="s">
        <v>481</v>
      </c>
      <c r="F188" s="288"/>
      <c r="G188" s="288"/>
      <c r="H188" s="289">
        <v>4800</v>
      </c>
    </row>
    <row r="189" spans="2:8" ht="28.5" x14ac:dyDescent="0.25">
      <c r="C189" s="1096">
        <v>9</v>
      </c>
      <c r="D189" s="292" t="s">
        <v>495</v>
      </c>
      <c r="E189" s="285" t="s">
        <v>478</v>
      </c>
      <c r="F189" s="168">
        <v>1450</v>
      </c>
      <c r="G189" s="168">
        <v>5000</v>
      </c>
      <c r="H189" s="169">
        <v>4200</v>
      </c>
    </row>
    <row r="190" spans="2:8" ht="15.75" x14ac:dyDescent="0.25">
      <c r="C190" s="1097"/>
      <c r="D190" s="290" t="s">
        <v>496</v>
      </c>
      <c r="E190" s="166" t="s">
        <v>479</v>
      </c>
      <c r="F190" s="160">
        <v>2000</v>
      </c>
      <c r="G190" s="160">
        <v>7450</v>
      </c>
      <c r="H190" s="164">
        <v>4800</v>
      </c>
    </row>
    <row r="191" spans="2:8" ht="15.75" x14ac:dyDescent="0.25">
      <c r="C191" s="1097"/>
      <c r="D191" s="290" t="s">
        <v>497</v>
      </c>
      <c r="E191" s="166" t="s">
        <v>480</v>
      </c>
      <c r="F191" s="160">
        <v>3000</v>
      </c>
      <c r="G191" s="160">
        <v>7800</v>
      </c>
      <c r="H191" s="164">
        <v>5400</v>
      </c>
    </row>
    <row r="192" spans="2:8" ht="16.5" thickBot="1" x14ac:dyDescent="0.3">
      <c r="C192" s="1098"/>
      <c r="D192" s="291"/>
      <c r="E192" s="171" t="s">
        <v>481</v>
      </c>
      <c r="F192" s="288"/>
      <c r="G192" s="288"/>
      <c r="H192" s="289">
        <v>6600</v>
      </c>
    </row>
    <row r="193" spans="3:8" ht="15.75" x14ac:dyDescent="0.25">
      <c r="C193" s="1096">
        <v>10</v>
      </c>
      <c r="D193" s="1099" t="s">
        <v>498</v>
      </c>
      <c r="E193" s="165" t="s">
        <v>478</v>
      </c>
      <c r="F193" s="159">
        <v>1700</v>
      </c>
      <c r="G193" s="159">
        <v>5500</v>
      </c>
      <c r="H193" s="163">
        <v>4400</v>
      </c>
    </row>
    <row r="194" spans="3:8" ht="15.75" x14ac:dyDescent="0.25">
      <c r="C194" s="1097"/>
      <c r="D194" s="1100"/>
      <c r="E194" s="166" t="s">
        <v>479</v>
      </c>
      <c r="F194" s="160"/>
      <c r="G194" s="160"/>
      <c r="H194" s="164">
        <v>4600</v>
      </c>
    </row>
    <row r="195" spans="3:8" ht="15.75" x14ac:dyDescent="0.25">
      <c r="C195" s="1097"/>
      <c r="D195" s="1100"/>
      <c r="E195" s="166" t="s">
        <v>480</v>
      </c>
      <c r="F195" s="160"/>
      <c r="G195" s="160"/>
      <c r="H195" s="164">
        <v>4800</v>
      </c>
    </row>
    <row r="196" spans="3:8" ht="16.5" thickBot="1" x14ac:dyDescent="0.3">
      <c r="C196" s="1098"/>
      <c r="D196" s="1101"/>
      <c r="E196" s="167" t="s">
        <v>481</v>
      </c>
      <c r="F196" s="161"/>
      <c r="G196" s="161"/>
      <c r="H196" s="162">
        <v>5400</v>
      </c>
    </row>
    <row r="197" spans="3:8" ht="15.75" x14ac:dyDescent="0.25">
      <c r="C197" s="1096">
        <v>11</v>
      </c>
      <c r="D197" s="1099" t="s">
        <v>499</v>
      </c>
      <c r="E197" s="165" t="s">
        <v>478</v>
      </c>
      <c r="F197" s="159">
        <v>1450</v>
      </c>
      <c r="G197" s="159">
        <v>5000</v>
      </c>
      <c r="H197" s="163">
        <v>4200</v>
      </c>
    </row>
    <row r="198" spans="3:8" ht="15.75" x14ac:dyDescent="0.25">
      <c r="C198" s="1097"/>
      <c r="D198" s="1100"/>
      <c r="E198" s="166" t="s">
        <v>479</v>
      </c>
      <c r="F198" s="160">
        <v>1700</v>
      </c>
      <c r="G198" s="160">
        <v>5500</v>
      </c>
      <c r="H198" s="164">
        <v>4400</v>
      </c>
    </row>
    <row r="199" spans="3:8" ht="15.75" x14ac:dyDescent="0.25">
      <c r="C199" s="1097"/>
      <c r="D199" s="1100"/>
      <c r="E199" s="166" t="s">
        <v>480</v>
      </c>
      <c r="F199" s="160"/>
      <c r="G199" s="160"/>
      <c r="H199" s="164">
        <v>4600</v>
      </c>
    </row>
    <row r="200" spans="3:8" ht="16.5" thickBot="1" x14ac:dyDescent="0.3">
      <c r="C200" s="1098"/>
      <c r="D200" s="1101"/>
      <c r="E200" s="167" t="s">
        <v>481</v>
      </c>
      <c r="F200" s="161"/>
      <c r="G200" s="161"/>
      <c r="H200" s="162">
        <v>4800</v>
      </c>
    </row>
    <row r="201" spans="3:8" ht="15.75" x14ac:dyDescent="0.25">
      <c r="C201" s="1096">
        <v>12</v>
      </c>
      <c r="D201" s="1099" t="s">
        <v>500</v>
      </c>
      <c r="E201" s="165" t="s">
        <v>478</v>
      </c>
      <c r="F201" s="159">
        <v>1300</v>
      </c>
      <c r="G201" s="159">
        <v>4200</v>
      </c>
      <c r="H201" s="163">
        <v>2800</v>
      </c>
    </row>
    <row r="202" spans="3:8" ht="15.75" x14ac:dyDescent="0.25">
      <c r="C202" s="1097"/>
      <c r="D202" s="1100"/>
      <c r="E202" s="166" t="s">
        <v>479</v>
      </c>
      <c r="F202" s="160"/>
      <c r="G202" s="160"/>
      <c r="H202" s="164">
        <v>4200</v>
      </c>
    </row>
    <row r="203" spans="3:8" ht="15.75" x14ac:dyDescent="0.25">
      <c r="C203" s="1097"/>
      <c r="D203" s="1100"/>
      <c r="E203" s="166" t="s">
        <v>480</v>
      </c>
      <c r="F203" s="160"/>
      <c r="G203" s="160"/>
      <c r="H203" s="164">
        <v>4400</v>
      </c>
    </row>
    <row r="204" spans="3:8" ht="16.5" thickBot="1" x14ac:dyDescent="0.3">
      <c r="C204" s="1098"/>
      <c r="D204" s="1101"/>
      <c r="E204" s="167" t="s">
        <v>481</v>
      </c>
      <c r="F204" s="161"/>
      <c r="G204" s="161"/>
      <c r="H204" s="162">
        <v>4600</v>
      </c>
    </row>
    <row r="205" spans="3:8" ht="15.75" x14ac:dyDescent="0.25">
      <c r="C205" s="1096">
        <v>13</v>
      </c>
      <c r="D205" s="1093" t="s">
        <v>422</v>
      </c>
      <c r="E205" s="165" t="s">
        <v>478</v>
      </c>
      <c r="F205" s="168">
        <v>1250</v>
      </c>
      <c r="G205" s="168">
        <v>4200</v>
      </c>
      <c r="H205" s="169">
        <v>2800</v>
      </c>
    </row>
    <row r="206" spans="3:8" ht="15.75" x14ac:dyDescent="0.25">
      <c r="C206" s="1097"/>
      <c r="D206" s="1094"/>
      <c r="E206" s="166" t="s">
        <v>479</v>
      </c>
      <c r="F206" s="160">
        <v>1300</v>
      </c>
      <c r="G206" s="160">
        <v>5000</v>
      </c>
      <c r="H206" s="164">
        <v>4200</v>
      </c>
    </row>
    <row r="207" spans="3:8" ht="15.75" x14ac:dyDescent="0.25">
      <c r="C207" s="1097"/>
      <c r="D207" s="1094"/>
      <c r="E207" s="166" t="s">
        <v>480</v>
      </c>
      <c r="F207" s="160"/>
      <c r="G207" s="160"/>
      <c r="H207" s="164">
        <v>4400</v>
      </c>
    </row>
    <row r="208" spans="3:8" ht="16.5" thickBot="1" x14ac:dyDescent="0.3">
      <c r="C208" s="1098"/>
      <c r="D208" s="1095"/>
      <c r="E208" s="167" t="s">
        <v>481</v>
      </c>
      <c r="F208" s="168"/>
      <c r="G208" s="168"/>
      <c r="H208" s="169"/>
    </row>
    <row r="209" spans="3:8" ht="15.75" x14ac:dyDescent="0.25">
      <c r="C209" s="1096">
        <v>14</v>
      </c>
      <c r="D209" s="1099" t="s">
        <v>501</v>
      </c>
      <c r="E209" s="165" t="s">
        <v>478</v>
      </c>
      <c r="F209" s="159">
        <v>1250</v>
      </c>
      <c r="G209" s="159">
        <v>4000</v>
      </c>
      <c r="H209" s="163">
        <v>2400</v>
      </c>
    </row>
    <row r="210" spans="3:8" ht="15.75" x14ac:dyDescent="0.25">
      <c r="C210" s="1097"/>
      <c r="D210" s="1100"/>
      <c r="E210" s="166" t="s">
        <v>479</v>
      </c>
      <c r="F210" s="160"/>
      <c r="G210" s="160"/>
      <c r="H210" s="164">
        <v>2800</v>
      </c>
    </row>
    <row r="211" spans="3:8" ht="15.75" x14ac:dyDescent="0.25">
      <c r="C211" s="1097"/>
      <c r="D211" s="1100"/>
      <c r="E211" s="166" t="s">
        <v>480</v>
      </c>
      <c r="F211" s="160"/>
      <c r="G211" s="160"/>
      <c r="H211" s="164">
        <v>4200</v>
      </c>
    </row>
    <row r="212" spans="3:8" ht="16.5" thickBot="1" x14ac:dyDescent="0.3">
      <c r="C212" s="1098"/>
      <c r="D212" s="1101"/>
      <c r="E212" s="167" t="s">
        <v>481</v>
      </c>
      <c r="F212" s="161"/>
      <c r="G212" s="161"/>
      <c r="H212" s="162">
        <v>4400</v>
      </c>
    </row>
    <row r="213" spans="3:8" ht="15.75" x14ac:dyDescent="0.25">
      <c r="C213" s="1096">
        <v>15</v>
      </c>
      <c r="D213" s="1099" t="s">
        <v>502</v>
      </c>
      <c r="E213" s="165" t="s">
        <v>478</v>
      </c>
      <c r="F213" s="159">
        <v>1020</v>
      </c>
      <c r="G213" s="159">
        <v>3300</v>
      </c>
      <c r="H213" s="163">
        <v>2200</v>
      </c>
    </row>
    <row r="214" spans="3:8" ht="15.75" x14ac:dyDescent="0.25">
      <c r="C214" s="1097"/>
      <c r="D214" s="1100"/>
      <c r="E214" s="166" t="s">
        <v>479</v>
      </c>
      <c r="F214" s="160"/>
      <c r="G214" s="160"/>
      <c r="H214" s="164">
        <v>2400</v>
      </c>
    </row>
    <row r="215" spans="3:8" ht="15.75" x14ac:dyDescent="0.25">
      <c r="C215" s="1097"/>
      <c r="D215" s="1100"/>
      <c r="E215" s="166" t="s">
        <v>480</v>
      </c>
      <c r="F215" s="160"/>
      <c r="G215" s="160"/>
      <c r="H215" s="164">
        <v>2800</v>
      </c>
    </row>
    <row r="216" spans="3:8" ht="16.5" thickBot="1" x14ac:dyDescent="0.3">
      <c r="C216" s="1098"/>
      <c r="D216" s="1101"/>
      <c r="E216" s="167" t="s">
        <v>481</v>
      </c>
      <c r="F216" s="161"/>
      <c r="G216" s="161"/>
      <c r="H216" s="162">
        <v>4200</v>
      </c>
    </row>
    <row r="217" spans="3:8" ht="27" customHeight="1" x14ac:dyDescent="0.25">
      <c r="C217" s="1096">
        <v>16</v>
      </c>
      <c r="D217" s="1099" t="s">
        <v>503</v>
      </c>
      <c r="E217" s="165" t="s">
        <v>478</v>
      </c>
      <c r="F217" s="159">
        <v>970</v>
      </c>
      <c r="G217" s="159">
        <v>3300</v>
      </c>
      <c r="H217" s="163">
        <v>2200</v>
      </c>
    </row>
    <row r="218" spans="3:8" ht="27" customHeight="1" x14ac:dyDescent="0.25">
      <c r="C218" s="1097"/>
      <c r="D218" s="1100"/>
      <c r="E218" s="166" t="s">
        <v>479</v>
      </c>
      <c r="F218" s="160">
        <v>1020</v>
      </c>
      <c r="G218" s="160">
        <v>4000</v>
      </c>
      <c r="H218" s="164">
        <v>2400</v>
      </c>
    </row>
    <row r="219" spans="3:8" ht="27" customHeight="1" x14ac:dyDescent="0.25">
      <c r="C219" s="1097"/>
      <c r="D219" s="1100"/>
      <c r="E219" s="166" t="s">
        <v>480</v>
      </c>
      <c r="F219" s="160">
        <v>1250</v>
      </c>
      <c r="G219" s="160">
        <v>4200</v>
      </c>
      <c r="H219" s="164">
        <v>2800</v>
      </c>
    </row>
    <row r="220" spans="3:8" ht="27" customHeight="1" thickBot="1" x14ac:dyDescent="0.3">
      <c r="C220" s="1098"/>
      <c r="D220" s="1101"/>
      <c r="E220" s="167" t="s">
        <v>481</v>
      </c>
      <c r="F220" s="161"/>
      <c r="G220" s="161"/>
      <c r="H220" s="162">
        <v>4200</v>
      </c>
    </row>
    <row r="221" spans="3:8" ht="15.75" customHeight="1" x14ac:dyDescent="0.25">
      <c r="C221" s="1096">
        <v>17</v>
      </c>
      <c r="D221" s="1093" t="s">
        <v>421</v>
      </c>
      <c r="E221" s="165" t="s">
        <v>478</v>
      </c>
      <c r="F221" s="159">
        <v>970</v>
      </c>
      <c r="G221" s="159">
        <v>3300</v>
      </c>
      <c r="H221" s="163">
        <v>2200</v>
      </c>
    </row>
    <row r="222" spans="3:8" ht="15.75" customHeight="1" x14ac:dyDescent="0.25">
      <c r="C222" s="1097"/>
      <c r="D222" s="1094"/>
      <c r="E222" s="166" t="s">
        <v>479</v>
      </c>
      <c r="F222" s="426">
        <v>1250</v>
      </c>
      <c r="G222" s="426">
        <v>4200</v>
      </c>
      <c r="H222" s="427">
        <v>2400</v>
      </c>
    </row>
    <row r="223" spans="3:8" ht="15.75" customHeight="1" x14ac:dyDescent="0.25">
      <c r="C223" s="1097"/>
      <c r="D223" s="1094"/>
      <c r="E223" s="166" t="s">
        <v>480</v>
      </c>
      <c r="F223" s="426">
        <v>1300</v>
      </c>
      <c r="G223" s="426">
        <v>5000</v>
      </c>
      <c r="H223" s="427">
        <v>2800</v>
      </c>
    </row>
    <row r="224" spans="3:8" ht="15.75" customHeight="1" thickBot="1" x14ac:dyDescent="0.3">
      <c r="C224" s="1098"/>
      <c r="D224" s="1095"/>
      <c r="E224" s="167" t="s">
        <v>481</v>
      </c>
      <c r="F224" s="288"/>
      <c r="G224" s="288"/>
      <c r="H224" s="289">
        <v>4200</v>
      </c>
    </row>
    <row r="225" spans="3:8" ht="15.75" customHeight="1" x14ac:dyDescent="0.25">
      <c r="C225" s="1096">
        <v>18</v>
      </c>
      <c r="D225" s="1093" t="s">
        <v>504</v>
      </c>
      <c r="E225" s="165" t="s">
        <v>478</v>
      </c>
      <c r="F225" s="159">
        <v>970</v>
      </c>
      <c r="G225" s="159">
        <v>3200</v>
      </c>
      <c r="H225" s="163">
        <v>2200</v>
      </c>
    </row>
    <row r="226" spans="3:8" ht="15.75" customHeight="1" x14ac:dyDescent="0.25">
      <c r="C226" s="1097"/>
      <c r="D226" s="1094"/>
      <c r="E226" s="166" t="s">
        <v>479</v>
      </c>
      <c r="F226" s="426">
        <v>1250</v>
      </c>
      <c r="G226" s="426">
        <v>4000</v>
      </c>
      <c r="H226" s="427">
        <v>2400</v>
      </c>
    </row>
    <row r="227" spans="3:8" ht="15.75" customHeight="1" x14ac:dyDescent="0.25">
      <c r="C227" s="1097"/>
      <c r="D227" s="1094"/>
      <c r="E227" s="166" t="s">
        <v>480</v>
      </c>
      <c r="F227" s="426">
        <v>1300</v>
      </c>
      <c r="G227" s="426">
        <v>4200</v>
      </c>
      <c r="H227" s="427">
        <v>2800</v>
      </c>
    </row>
    <row r="228" spans="3:8" ht="15.75" customHeight="1" thickBot="1" x14ac:dyDescent="0.3">
      <c r="C228" s="1098"/>
      <c r="D228" s="1095"/>
      <c r="E228" s="167" t="s">
        <v>481</v>
      </c>
      <c r="F228" s="288"/>
      <c r="G228" s="288">
        <v>5000</v>
      </c>
      <c r="H228" s="289">
        <v>4200</v>
      </c>
    </row>
    <row r="229" spans="3:8" ht="15.75" customHeight="1" x14ac:dyDescent="0.25">
      <c r="C229" s="1096">
        <v>19</v>
      </c>
      <c r="D229" s="1093" t="s">
        <v>505</v>
      </c>
      <c r="E229" s="594" t="s">
        <v>478</v>
      </c>
      <c r="F229" s="426">
        <v>970</v>
      </c>
      <c r="G229" s="426">
        <v>3200</v>
      </c>
      <c r="H229" s="427">
        <v>2100</v>
      </c>
    </row>
    <row r="230" spans="3:8" ht="15.75" customHeight="1" x14ac:dyDescent="0.25">
      <c r="C230" s="1097"/>
      <c r="D230" s="1094"/>
      <c r="E230" s="166" t="s">
        <v>479</v>
      </c>
      <c r="F230" s="426">
        <v>1250</v>
      </c>
      <c r="G230" s="426">
        <v>4000</v>
      </c>
      <c r="H230" s="427">
        <v>2200</v>
      </c>
    </row>
    <row r="231" spans="3:8" ht="15.75" customHeight="1" x14ac:dyDescent="0.25">
      <c r="C231" s="1097"/>
      <c r="D231" s="1094"/>
      <c r="E231" s="166" t="s">
        <v>480</v>
      </c>
      <c r="F231" s="426">
        <v>1300</v>
      </c>
      <c r="G231" s="426">
        <v>4200</v>
      </c>
      <c r="H231" s="427">
        <v>2400</v>
      </c>
    </row>
    <row r="232" spans="3:8" ht="15.75" customHeight="1" thickBot="1" x14ac:dyDescent="0.3">
      <c r="C232" s="1098"/>
      <c r="D232" s="1095"/>
      <c r="E232" s="167" t="s">
        <v>481</v>
      </c>
      <c r="F232" s="168"/>
      <c r="G232" s="168"/>
      <c r="H232" s="169">
        <v>2800</v>
      </c>
    </row>
    <row r="233" spans="3:8" ht="15.75" x14ac:dyDescent="0.25">
      <c r="C233" s="1096">
        <v>20</v>
      </c>
      <c r="D233" s="1099" t="s">
        <v>409</v>
      </c>
      <c r="E233" s="165" t="s">
        <v>478</v>
      </c>
      <c r="F233" s="159">
        <v>950</v>
      </c>
      <c r="G233" s="159">
        <v>3300</v>
      </c>
      <c r="H233" s="163">
        <v>2200</v>
      </c>
    </row>
    <row r="234" spans="3:8" ht="15.75" x14ac:dyDescent="0.25">
      <c r="C234" s="1097"/>
      <c r="D234" s="1100"/>
      <c r="E234" s="166" t="s">
        <v>479</v>
      </c>
      <c r="F234" s="160"/>
      <c r="G234" s="160">
        <v>4000</v>
      </c>
      <c r="H234" s="164">
        <v>2400</v>
      </c>
    </row>
    <row r="235" spans="3:8" ht="15.75" x14ac:dyDescent="0.25">
      <c r="C235" s="1097"/>
      <c r="D235" s="1100"/>
      <c r="E235" s="166" t="s">
        <v>480</v>
      </c>
      <c r="F235" s="160"/>
      <c r="G235" s="160">
        <v>4200</v>
      </c>
      <c r="H235" s="164">
        <v>2800</v>
      </c>
    </row>
    <row r="236" spans="3:8" ht="16.5" thickBot="1" x14ac:dyDescent="0.3">
      <c r="C236" s="1098"/>
      <c r="D236" s="1101"/>
      <c r="E236" s="167" t="s">
        <v>481</v>
      </c>
      <c r="F236" s="161"/>
      <c r="G236" s="161"/>
      <c r="H236" s="162">
        <v>4200</v>
      </c>
    </row>
    <row r="237" spans="3:8" ht="15.75" x14ac:dyDescent="0.25">
      <c r="C237" s="1096">
        <v>21</v>
      </c>
      <c r="D237" s="1099" t="s">
        <v>506</v>
      </c>
      <c r="E237" s="165" t="s">
        <v>478</v>
      </c>
      <c r="F237" s="159">
        <v>850</v>
      </c>
      <c r="G237" s="159">
        <v>2750</v>
      </c>
      <c r="H237" s="163">
        <v>1800</v>
      </c>
    </row>
    <row r="238" spans="3:8" ht="15.75" x14ac:dyDescent="0.25">
      <c r="C238" s="1097"/>
      <c r="D238" s="1100"/>
      <c r="E238" s="166" t="s">
        <v>479</v>
      </c>
      <c r="F238" s="160">
        <v>950</v>
      </c>
      <c r="G238" s="160">
        <v>2900</v>
      </c>
      <c r="H238" s="164">
        <v>1900</v>
      </c>
    </row>
    <row r="239" spans="3:8" ht="15.75" x14ac:dyDescent="0.25">
      <c r="C239" s="1097"/>
      <c r="D239" s="1100"/>
      <c r="E239" s="166" t="s">
        <v>480</v>
      </c>
      <c r="F239" s="160"/>
      <c r="G239" s="160">
        <v>2900</v>
      </c>
      <c r="H239" s="164">
        <v>1900</v>
      </c>
    </row>
    <row r="240" spans="3:8" ht="16.5" thickBot="1" x14ac:dyDescent="0.3">
      <c r="C240" s="1098"/>
      <c r="D240" s="1101"/>
      <c r="E240" s="167" t="s">
        <v>481</v>
      </c>
      <c r="F240" s="161"/>
      <c r="G240" s="161">
        <v>2900</v>
      </c>
      <c r="H240" s="162">
        <v>1900</v>
      </c>
    </row>
    <row r="241" spans="3:8" ht="15.75" x14ac:dyDescent="0.25">
      <c r="C241" s="1096">
        <v>22</v>
      </c>
      <c r="D241" s="1099" t="s">
        <v>507</v>
      </c>
      <c r="E241" s="165" t="s">
        <v>478</v>
      </c>
      <c r="F241" s="159">
        <v>800</v>
      </c>
      <c r="G241" s="159">
        <v>2650</v>
      </c>
      <c r="H241" s="163">
        <v>1650</v>
      </c>
    </row>
    <row r="242" spans="3:8" ht="15.75" x14ac:dyDescent="0.25">
      <c r="C242" s="1097"/>
      <c r="D242" s="1100"/>
      <c r="E242" s="166" t="s">
        <v>479</v>
      </c>
      <c r="F242" s="160">
        <v>850</v>
      </c>
      <c r="G242" s="160">
        <v>2750</v>
      </c>
      <c r="H242" s="164">
        <v>1800</v>
      </c>
    </row>
    <row r="243" spans="3:8" ht="15.75" x14ac:dyDescent="0.25">
      <c r="C243" s="1097"/>
      <c r="D243" s="1100"/>
      <c r="E243" s="166" t="s">
        <v>480</v>
      </c>
      <c r="F243" s="160">
        <v>950</v>
      </c>
      <c r="G243" s="160">
        <v>2900</v>
      </c>
      <c r="H243" s="164">
        <v>1900</v>
      </c>
    </row>
    <row r="244" spans="3:8" ht="16.5" thickBot="1" x14ac:dyDescent="0.3">
      <c r="C244" s="1098"/>
      <c r="D244" s="1101"/>
      <c r="E244" s="167" t="s">
        <v>481</v>
      </c>
      <c r="F244" s="161"/>
      <c r="G244" s="161">
        <v>2900</v>
      </c>
      <c r="H244" s="162">
        <v>1900</v>
      </c>
    </row>
    <row r="245" spans="3:8" ht="15.75" x14ac:dyDescent="0.25">
      <c r="C245" s="1096">
        <v>23</v>
      </c>
      <c r="D245" s="1099" t="s">
        <v>508</v>
      </c>
      <c r="E245" s="165" t="s">
        <v>478</v>
      </c>
      <c r="F245" s="159">
        <v>775</v>
      </c>
      <c r="G245" s="159">
        <v>2600</v>
      </c>
      <c r="H245" s="163">
        <v>1400</v>
      </c>
    </row>
    <row r="246" spans="3:8" ht="15.75" x14ac:dyDescent="0.25">
      <c r="C246" s="1097"/>
      <c r="D246" s="1100"/>
      <c r="E246" s="166" t="s">
        <v>479</v>
      </c>
      <c r="F246" s="160">
        <v>800</v>
      </c>
      <c r="G246" s="160">
        <v>2650</v>
      </c>
      <c r="H246" s="164">
        <v>1650</v>
      </c>
    </row>
    <row r="247" spans="3:8" ht="15.75" x14ac:dyDescent="0.25">
      <c r="C247" s="1097"/>
      <c r="D247" s="1100"/>
      <c r="E247" s="166" t="s">
        <v>480</v>
      </c>
      <c r="F247" s="160">
        <v>850</v>
      </c>
      <c r="G247" s="160">
        <v>2750</v>
      </c>
      <c r="H247" s="164">
        <v>1800</v>
      </c>
    </row>
    <row r="248" spans="3:8" ht="16.5" thickBot="1" x14ac:dyDescent="0.3">
      <c r="C248" s="1098"/>
      <c r="D248" s="1101"/>
      <c r="E248" s="167" t="s">
        <v>481</v>
      </c>
      <c r="F248" s="161">
        <v>950</v>
      </c>
      <c r="G248" s="161">
        <v>2900</v>
      </c>
      <c r="H248" s="162">
        <v>1900</v>
      </c>
    </row>
    <row r="270" spans="4:7" ht="15.75" x14ac:dyDescent="0.25">
      <c r="D270" s="697"/>
      <c r="E270" s="105"/>
      <c r="F270" s="1"/>
      <c r="G270" s="105"/>
    </row>
  </sheetData>
  <mergeCells count="70">
    <mergeCell ref="C2:C3"/>
    <mergeCell ref="D225:D228"/>
    <mergeCell ref="C225:C228"/>
    <mergeCell ref="D2:D3"/>
    <mergeCell ref="C245:C248"/>
    <mergeCell ref="C241:C244"/>
    <mergeCell ref="C237:C240"/>
    <mergeCell ref="C233:C236"/>
    <mergeCell ref="D217:D220"/>
    <mergeCell ref="C217:C220"/>
    <mergeCell ref="D245:D248"/>
    <mergeCell ref="D241:D244"/>
    <mergeCell ref="D237:D240"/>
    <mergeCell ref="D233:D236"/>
    <mergeCell ref="C229:C232"/>
    <mergeCell ref="D229:D232"/>
    <mergeCell ref="B181:B188"/>
    <mergeCell ref="L133:L136"/>
    <mergeCell ref="L137:L142"/>
    <mergeCell ref="D177:D180"/>
    <mergeCell ref="C177:C180"/>
    <mergeCell ref="L143:L145"/>
    <mergeCell ref="D161:D164"/>
    <mergeCell ref="C161:C164"/>
    <mergeCell ref="D173:D176"/>
    <mergeCell ref="L146:L151"/>
    <mergeCell ref="D169:D172"/>
    <mergeCell ref="C169:C172"/>
    <mergeCell ref="D165:D168"/>
    <mergeCell ref="C165:C168"/>
    <mergeCell ref="I25:J25"/>
    <mergeCell ref="L29:L31"/>
    <mergeCell ref="K29:K31"/>
    <mergeCell ref="C201:C204"/>
    <mergeCell ref="D197:D200"/>
    <mergeCell ref="C197:C200"/>
    <mergeCell ref="C185:C188"/>
    <mergeCell ref="C181:C184"/>
    <mergeCell ref="D193:D196"/>
    <mergeCell ref="C193:C196"/>
    <mergeCell ref="D181:D182"/>
    <mergeCell ref="C189:C192"/>
    <mergeCell ref="D201:D204"/>
    <mergeCell ref="C173:C176"/>
    <mergeCell ref="C157:C160"/>
    <mergeCell ref="D157:D160"/>
    <mergeCell ref="L33:L34"/>
    <mergeCell ref="K33:K34"/>
    <mergeCell ref="L37:L38"/>
    <mergeCell ref="K37:K38"/>
    <mergeCell ref="K26:K27"/>
    <mergeCell ref="L26:L27"/>
    <mergeCell ref="D132:F132"/>
    <mergeCell ref="G132:H132"/>
    <mergeCell ref="D81:D82"/>
    <mergeCell ref="J132:K132"/>
    <mergeCell ref="E155:H155"/>
    <mergeCell ref="C155:D156"/>
    <mergeCell ref="C125:C130"/>
    <mergeCell ref="C118:C124"/>
    <mergeCell ref="C93:C117"/>
    <mergeCell ref="C83:C92"/>
    <mergeCell ref="D221:D224"/>
    <mergeCell ref="C221:C224"/>
    <mergeCell ref="C205:C208"/>
    <mergeCell ref="D205:D208"/>
    <mergeCell ref="D213:D216"/>
    <mergeCell ref="C213:C216"/>
    <mergeCell ref="D209:D212"/>
    <mergeCell ref="C209:C212"/>
  </mergeCells>
  <phoneticPr fontId="27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8" tint="-0.249977111117893"/>
  </sheetPr>
  <dimension ref="A1:XFD1272"/>
  <sheetViews>
    <sheetView workbookViewId="0">
      <selection activeCell="G606" sqref="G606"/>
    </sheetView>
  </sheetViews>
  <sheetFormatPr defaultColWidth="9.140625" defaultRowHeight="17.25" x14ac:dyDescent="0.25"/>
  <cols>
    <col min="1" max="1" width="13.140625" style="713" bestFit="1" customWidth="1"/>
    <col min="2" max="2" width="102.140625" style="736" bestFit="1" customWidth="1"/>
    <col min="3" max="3" width="15.5703125" style="713" bestFit="1" customWidth="1"/>
    <col min="4" max="4" width="43.140625" style="712" bestFit="1" customWidth="1"/>
    <col min="5" max="5" width="3.140625" style="712" customWidth="1"/>
    <col min="6" max="6" width="6.42578125" style="713" bestFit="1" customWidth="1"/>
    <col min="7" max="7" width="77.140625" style="712" bestFit="1" customWidth="1"/>
    <col min="8" max="16384" width="9.140625" style="712"/>
  </cols>
  <sheetData>
    <row r="1" spans="1:7" x14ac:dyDescent="0.25">
      <c r="A1" s="778" t="s">
        <v>509</v>
      </c>
      <c r="B1" s="778" t="s">
        <v>510</v>
      </c>
      <c r="C1" s="778" t="s">
        <v>511</v>
      </c>
      <c r="D1" s="778" t="s">
        <v>512</v>
      </c>
    </row>
    <row r="2" spans="1:7" x14ac:dyDescent="0.3">
      <c r="A2" s="714">
        <v>1004</v>
      </c>
      <c r="B2" s="715" t="s">
        <v>1154</v>
      </c>
      <c r="C2" s="714">
        <v>9436168490</v>
      </c>
      <c r="D2" s="716"/>
    </row>
    <row r="3" spans="1:7" x14ac:dyDescent="0.3">
      <c r="A3" s="783">
        <v>1007</v>
      </c>
      <c r="B3" s="780" t="s">
        <v>1617</v>
      </c>
      <c r="C3" s="784">
        <v>8132995107</v>
      </c>
      <c r="D3" s="779"/>
    </row>
    <row r="4" spans="1:7" x14ac:dyDescent="0.3">
      <c r="A4" s="783">
        <v>1008</v>
      </c>
      <c r="B4" s="780" t="s">
        <v>1618</v>
      </c>
      <c r="C4" s="784">
        <v>9612020209</v>
      </c>
      <c r="D4" s="779"/>
    </row>
    <row r="5" spans="1:7" ht="18" thickBot="1" x14ac:dyDescent="0.35">
      <c r="A5" s="783">
        <v>1009</v>
      </c>
      <c r="B5" s="780" t="s">
        <v>1619</v>
      </c>
      <c r="C5" s="784">
        <v>9612020209</v>
      </c>
      <c r="D5" s="779"/>
    </row>
    <row r="6" spans="1:7" x14ac:dyDescent="0.3">
      <c r="A6" s="783">
        <v>1010</v>
      </c>
      <c r="B6" s="780" t="s">
        <v>1620</v>
      </c>
      <c r="C6" s="784">
        <v>9436475099</v>
      </c>
      <c r="D6" s="779"/>
      <c r="F6" s="1149" t="s">
        <v>515</v>
      </c>
      <c r="G6" s="1150"/>
    </row>
    <row r="7" spans="1:7" x14ac:dyDescent="0.3">
      <c r="A7" s="783">
        <v>1011</v>
      </c>
      <c r="B7" s="780" t="s">
        <v>1621</v>
      </c>
      <c r="C7" s="784">
        <v>9402159966</v>
      </c>
      <c r="D7" s="779"/>
      <c r="F7" s="1151">
        <v>9144</v>
      </c>
      <c r="G7" s="719" t="str">
        <f>VLOOKUP(F7,A2:D1272,2,0)</f>
        <v xml:space="preserve">Director (Finance) &amp; C.S., TSECL, Banamalipur, Agartala                                         </v>
      </c>
    </row>
    <row r="8" spans="1:7" x14ac:dyDescent="0.3">
      <c r="A8" s="783">
        <v>1013</v>
      </c>
      <c r="B8" s="780" t="s">
        <v>1622</v>
      </c>
      <c r="C8" s="784">
        <v>9862778099</v>
      </c>
      <c r="D8" s="779"/>
      <c r="F8" s="1151"/>
      <c r="G8" s="719">
        <f>VLOOKUP(F7,A2:D1272,3,0)</f>
        <v>3812320896</v>
      </c>
    </row>
    <row r="9" spans="1:7" ht="18" thickBot="1" x14ac:dyDescent="0.35">
      <c r="A9" s="783">
        <v>1023</v>
      </c>
      <c r="B9" s="780" t="s">
        <v>1623</v>
      </c>
      <c r="C9" s="784">
        <v>9402164091</v>
      </c>
      <c r="D9" s="779"/>
      <c r="F9" s="1152"/>
      <c r="G9" s="723" t="str">
        <f>VLOOKUP(F7,A2:D1272,4,0)</f>
        <v>finance.tsecl@gmail.com</v>
      </c>
    </row>
    <row r="10" spans="1:7" x14ac:dyDescent="0.3">
      <c r="A10" s="783">
        <v>1024</v>
      </c>
      <c r="B10" s="780" t="s">
        <v>1624</v>
      </c>
      <c r="C10" s="784">
        <v>9612831960</v>
      </c>
      <c r="D10" s="779"/>
    </row>
    <row r="11" spans="1:7" x14ac:dyDescent="0.3">
      <c r="A11" s="783">
        <v>1025</v>
      </c>
      <c r="B11" s="780" t="s">
        <v>1625</v>
      </c>
      <c r="C11" s="784">
        <v>9402314091</v>
      </c>
      <c r="D11" s="779"/>
    </row>
    <row r="12" spans="1:7" x14ac:dyDescent="0.3">
      <c r="A12" s="783">
        <v>1034</v>
      </c>
      <c r="B12" s="780" t="s">
        <v>1626</v>
      </c>
      <c r="C12" s="784">
        <v>811985184</v>
      </c>
      <c r="D12" s="779" t="s">
        <v>1627</v>
      </c>
    </row>
    <row r="13" spans="1:7" x14ac:dyDescent="0.3">
      <c r="A13" s="783">
        <v>1100</v>
      </c>
      <c r="B13" s="780" t="s">
        <v>1628</v>
      </c>
      <c r="C13" s="784">
        <v>8974687331</v>
      </c>
      <c r="D13" s="779"/>
    </row>
    <row r="14" spans="1:7" x14ac:dyDescent="0.3">
      <c r="A14" s="783">
        <v>1102</v>
      </c>
      <c r="B14" s="780" t="s">
        <v>1629</v>
      </c>
      <c r="C14" s="784">
        <v>9436167298</v>
      </c>
      <c r="D14" s="779"/>
    </row>
    <row r="15" spans="1:7" x14ac:dyDescent="0.3">
      <c r="A15" s="783">
        <v>1103</v>
      </c>
      <c r="B15" s="780" t="s">
        <v>1630</v>
      </c>
      <c r="C15" s="784">
        <v>9612491179</v>
      </c>
      <c r="D15" s="779" t="s">
        <v>1631</v>
      </c>
    </row>
    <row r="16" spans="1:7" x14ac:dyDescent="0.3">
      <c r="A16" s="783">
        <v>2003</v>
      </c>
      <c r="B16" s="780" t="s">
        <v>1632</v>
      </c>
      <c r="C16" s="784">
        <v>3822222038</v>
      </c>
      <c r="D16" s="779" t="s">
        <v>1633</v>
      </c>
    </row>
    <row r="17" spans="1:4" x14ac:dyDescent="0.3">
      <c r="A17" s="783">
        <v>2021</v>
      </c>
      <c r="B17" s="780" t="s">
        <v>1634</v>
      </c>
      <c r="C17" s="784">
        <v>9436478315</v>
      </c>
      <c r="D17" s="779"/>
    </row>
    <row r="18" spans="1:4" x14ac:dyDescent="0.3">
      <c r="A18" s="783">
        <v>2022</v>
      </c>
      <c r="B18" s="780" t="s">
        <v>1635</v>
      </c>
      <c r="C18" s="784">
        <v>9436476551</v>
      </c>
      <c r="D18" s="779"/>
    </row>
    <row r="19" spans="1:4" x14ac:dyDescent="0.3">
      <c r="A19" s="783">
        <v>2024</v>
      </c>
      <c r="B19" s="780" t="s">
        <v>1636</v>
      </c>
      <c r="C19" s="784">
        <v>3822220246</v>
      </c>
      <c r="D19" s="779" t="s">
        <v>1637</v>
      </c>
    </row>
    <row r="20" spans="1:4" x14ac:dyDescent="0.3">
      <c r="A20" s="783">
        <v>2025</v>
      </c>
      <c r="B20" s="780" t="s">
        <v>1638</v>
      </c>
      <c r="C20" s="784">
        <v>9436132519</v>
      </c>
      <c r="D20" s="779"/>
    </row>
    <row r="21" spans="1:4" x14ac:dyDescent="0.3">
      <c r="A21" s="783">
        <v>2026</v>
      </c>
      <c r="B21" s="780" t="s">
        <v>1639</v>
      </c>
      <c r="C21" s="784">
        <v>3822220498</v>
      </c>
      <c r="D21" s="779"/>
    </row>
    <row r="22" spans="1:4" x14ac:dyDescent="0.3">
      <c r="A22" s="783">
        <v>2027</v>
      </c>
      <c r="B22" s="780" t="s">
        <v>1640</v>
      </c>
      <c r="C22" s="784">
        <v>9862949082</v>
      </c>
      <c r="D22" s="779"/>
    </row>
    <row r="23" spans="1:4" x14ac:dyDescent="0.3">
      <c r="A23" s="783">
        <v>2029</v>
      </c>
      <c r="B23" s="780" t="s">
        <v>1641</v>
      </c>
      <c r="C23" s="784">
        <v>9436475783</v>
      </c>
      <c r="D23" s="779" t="s">
        <v>1642</v>
      </c>
    </row>
    <row r="24" spans="1:4" x14ac:dyDescent="0.3">
      <c r="A24" s="783">
        <v>2030</v>
      </c>
      <c r="B24" s="780" t="s">
        <v>1643</v>
      </c>
      <c r="C24" s="784">
        <v>8413989221</v>
      </c>
      <c r="D24" s="779"/>
    </row>
    <row r="25" spans="1:4" x14ac:dyDescent="0.3">
      <c r="A25" s="783">
        <v>2031</v>
      </c>
      <c r="B25" s="780" t="s">
        <v>1644</v>
      </c>
      <c r="C25" s="784">
        <v>9862124780</v>
      </c>
      <c r="D25" s="779"/>
    </row>
    <row r="26" spans="1:4" x14ac:dyDescent="0.3">
      <c r="A26" s="783">
        <v>2032</v>
      </c>
      <c r="B26" s="780" t="s">
        <v>1645</v>
      </c>
      <c r="C26" s="784">
        <v>3822263238</v>
      </c>
      <c r="D26" s="779"/>
    </row>
    <row r="27" spans="1:4" x14ac:dyDescent="0.3">
      <c r="A27" s="783">
        <v>2033</v>
      </c>
      <c r="B27" s="780" t="s">
        <v>1646</v>
      </c>
      <c r="C27" s="784">
        <v>9862619384</v>
      </c>
      <c r="D27" s="779"/>
    </row>
    <row r="28" spans="1:4" x14ac:dyDescent="0.3">
      <c r="A28" s="783">
        <v>2034</v>
      </c>
      <c r="B28" s="780" t="s">
        <v>1647</v>
      </c>
      <c r="C28" s="784">
        <v>9436576247</v>
      </c>
      <c r="D28" s="779"/>
    </row>
    <row r="29" spans="1:4" x14ac:dyDescent="0.3">
      <c r="A29" s="783">
        <v>2035</v>
      </c>
      <c r="B29" s="780" t="s">
        <v>1648</v>
      </c>
      <c r="C29" s="784">
        <v>9862124780</v>
      </c>
      <c r="D29" s="779"/>
    </row>
    <row r="30" spans="1:4" x14ac:dyDescent="0.3">
      <c r="A30" s="783">
        <v>2036</v>
      </c>
      <c r="B30" s="780" t="s">
        <v>1649</v>
      </c>
      <c r="C30" s="784">
        <v>3822220375</v>
      </c>
      <c r="D30" s="779"/>
    </row>
    <row r="31" spans="1:4" x14ac:dyDescent="0.3">
      <c r="A31" s="783">
        <v>2039</v>
      </c>
      <c r="B31" s="780" t="s">
        <v>1650</v>
      </c>
      <c r="C31" s="784">
        <v>9862513375</v>
      </c>
      <c r="D31" s="779"/>
    </row>
    <row r="32" spans="1:4" x14ac:dyDescent="0.3">
      <c r="A32" s="783">
        <v>2040</v>
      </c>
      <c r="B32" s="780" t="s">
        <v>1651</v>
      </c>
      <c r="C32" s="784">
        <v>9436476050</v>
      </c>
      <c r="D32" s="779"/>
    </row>
    <row r="33" spans="1:4" x14ac:dyDescent="0.3">
      <c r="A33" s="783">
        <v>2041</v>
      </c>
      <c r="B33" s="780" t="s">
        <v>1652</v>
      </c>
      <c r="C33" s="784">
        <v>9436189463</v>
      </c>
      <c r="D33" s="779"/>
    </row>
    <row r="34" spans="1:4" x14ac:dyDescent="0.3">
      <c r="A34" s="783">
        <v>2042</v>
      </c>
      <c r="B34" s="780" t="s">
        <v>1653</v>
      </c>
      <c r="C34" s="784">
        <v>9436475032</v>
      </c>
      <c r="D34" s="779" t="s">
        <v>1654</v>
      </c>
    </row>
    <row r="35" spans="1:4" x14ac:dyDescent="0.3">
      <c r="A35" s="783">
        <v>2043</v>
      </c>
      <c r="B35" s="780" t="s">
        <v>1655</v>
      </c>
      <c r="C35" s="784">
        <v>9436475016</v>
      </c>
      <c r="D35" s="779"/>
    </row>
    <row r="36" spans="1:4" x14ac:dyDescent="0.3">
      <c r="A36" s="783">
        <v>2044</v>
      </c>
      <c r="B36" s="780" t="s">
        <v>1656</v>
      </c>
      <c r="C36" s="784">
        <v>9436134139</v>
      </c>
      <c r="D36" s="779" t="s">
        <v>1657</v>
      </c>
    </row>
    <row r="37" spans="1:4" x14ac:dyDescent="0.3">
      <c r="A37" s="783">
        <v>2046</v>
      </c>
      <c r="B37" s="780" t="s">
        <v>1658</v>
      </c>
      <c r="C37" s="784">
        <v>3822220336</v>
      </c>
      <c r="D37" s="779"/>
    </row>
    <row r="38" spans="1:4" x14ac:dyDescent="0.3">
      <c r="A38" s="783">
        <v>2048</v>
      </c>
      <c r="B38" s="780" t="s">
        <v>1659</v>
      </c>
      <c r="C38" s="784">
        <v>3822220387</v>
      </c>
      <c r="D38" s="779"/>
    </row>
    <row r="39" spans="1:4" x14ac:dyDescent="0.3">
      <c r="A39" s="783">
        <v>2059</v>
      </c>
      <c r="B39" s="780" t="s">
        <v>1660</v>
      </c>
      <c r="C39" s="784">
        <v>9436479010</v>
      </c>
      <c r="D39" s="779"/>
    </row>
    <row r="40" spans="1:4" x14ac:dyDescent="0.3">
      <c r="A40" s="783">
        <v>2069</v>
      </c>
      <c r="B40" s="780" t="s">
        <v>1661</v>
      </c>
      <c r="C40" s="784">
        <v>9436513017</v>
      </c>
      <c r="D40" s="779"/>
    </row>
    <row r="41" spans="1:4" x14ac:dyDescent="0.3">
      <c r="A41" s="783">
        <v>2071</v>
      </c>
      <c r="B41" s="780" t="s">
        <v>1662</v>
      </c>
      <c r="C41" s="784">
        <v>9862618581</v>
      </c>
      <c r="D41" s="779"/>
    </row>
    <row r="42" spans="1:4" x14ac:dyDescent="0.3">
      <c r="A42" s="783">
        <v>2072</v>
      </c>
      <c r="B42" s="780" t="s">
        <v>1663</v>
      </c>
      <c r="C42" s="784">
        <v>9862472234</v>
      </c>
      <c r="D42" s="779"/>
    </row>
    <row r="43" spans="1:4" x14ac:dyDescent="0.3">
      <c r="A43" s="783">
        <v>2078</v>
      </c>
      <c r="B43" s="780" t="s">
        <v>1664</v>
      </c>
      <c r="C43" s="784">
        <v>8974511809</v>
      </c>
      <c r="D43" s="779"/>
    </row>
    <row r="44" spans="1:4" x14ac:dyDescent="0.3">
      <c r="A44" s="783">
        <v>2092</v>
      </c>
      <c r="B44" s="780" t="s">
        <v>1665</v>
      </c>
      <c r="C44" s="784">
        <v>3822234185</v>
      </c>
      <c r="D44" s="779"/>
    </row>
    <row r="45" spans="1:4" x14ac:dyDescent="0.3">
      <c r="A45" s="783">
        <v>2095</v>
      </c>
      <c r="B45" s="780" t="s">
        <v>1666</v>
      </c>
      <c r="C45" s="784">
        <v>9774295727</v>
      </c>
      <c r="D45" s="779"/>
    </row>
    <row r="46" spans="1:4" x14ac:dyDescent="0.3">
      <c r="A46" s="783">
        <v>2100</v>
      </c>
      <c r="B46" s="780" t="s">
        <v>1667</v>
      </c>
      <c r="C46" s="784">
        <v>9436540705</v>
      </c>
      <c r="D46" s="779" t="s">
        <v>554</v>
      </c>
    </row>
    <row r="47" spans="1:4" x14ac:dyDescent="0.3">
      <c r="A47" s="783">
        <v>3012</v>
      </c>
      <c r="B47" s="780" t="s">
        <v>1668</v>
      </c>
      <c r="C47" s="784">
        <v>9436918158</v>
      </c>
      <c r="D47" s="779"/>
    </row>
    <row r="48" spans="1:4" x14ac:dyDescent="0.3">
      <c r="A48" s="783">
        <v>3013</v>
      </c>
      <c r="B48" s="780" t="s">
        <v>1669</v>
      </c>
      <c r="C48" s="784">
        <v>9436465835</v>
      </c>
      <c r="D48" s="779" t="s">
        <v>1670</v>
      </c>
    </row>
    <row r="49" spans="1:4" x14ac:dyDescent="0.3">
      <c r="A49" s="783">
        <v>3033</v>
      </c>
      <c r="B49" s="780" t="s">
        <v>1671</v>
      </c>
      <c r="C49" s="784">
        <v>9436469878</v>
      </c>
      <c r="D49" s="779"/>
    </row>
    <row r="50" spans="1:4" x14ac:dyDescent="0.3">
      <c r="A50" s="783">
        <v>3035</v>
      </c>
      <c r="B50" s="780" t="s">
        <v>1672</v>
      </c>
      <c r="C50" s="784">
        <v>9774884527</v>
      </c>
      <c r="D50" s="779"/>
    </row>
    <row r="51" spans="1:4" x14ac:dyDescent="0.3">
      <c r="A51" s="783">
        <v>3037</v>
      </c>
      <c r="B51" s="780" t="s">
        <v>1673</v>
      </c>
      <c r="C51" s="784">
        <v>9436478863</v>
      </c>
      <c r="D51" s="779"/>
    </row>
    <row r="52" spans="1:4" x14ac:dyDescent="0.3">
      <c r="A52" s="783">
        <v>3039</v>
      </c>
      <c r="B52" s="780" t="s">
        <v>1674</v>
      </c>
      <c r="C52" s="784">
        <v>9436477454</v>
      </c>
      <c r="D52" s="779" t="s">
        <v>1675</v>
      </c>
    </row>
    <row r="53" spans="1:4" x14ac:dyDescent="0.3">
      <c r="A53" s="783">
        <v>3040</v>
      </c>
      <c r="B53" s="780" t="s">
        <v>1676</v>
      </c>
      <c r="C53" s="784">
        <v>9436508968</v>
      </c>
      <c r="D53" s="779"/>
    </row>
    <row r="54" spans="1:4" x14ac:dyDescent="0.3">
      <c r="A54" s="783">
        <v>3041</v>
      </c>
      <c r="B54" s="780" t="s">
        <v>1677</v>
      </c>
      <c r="C54" s="784">
        <v>9436523328</v>
      </c>
      <c r="D54" s="779"/>
    </row>
    <row r="55" spans="1:4" x14ac:dyDescent="0.3">
      <c r="A55" s="783">
        <v>3043</v>
      </c>
      <c r="B55" s="780" t="s">
        <v>1678</v>
      </c>
      <c r="C55" s="784">
        <v>9436926802</v>
      </c>
      <c r="D55" s="779" t="s">
        <v>1679</v>
      </c>
    </row>
    <row r="56" spans="1:4" x14ac:dyDescent="0.3">
      <c r="A56" s="783">
        <v>3045</v>
      </c>
      <c r="B56" s="780" t="s">
        <v>1680</v>
      </c>
      <c r="C56" s="784">
        <v>7085528258</v>
      </c>
      <c r="D56" s="779" t="s">
        <v>1681</v>
      </c>
    </row>
    <row r="57" spans="1:4" x14ac:dyDescent="0.3">
      <c r="A57" s="783">
        <v>3046</v>
      </c>
      <c r="B57" s="780" t="s">
        <v>1682</v>
      </c>
      <c r="C57" s="784">
        <v>9436907530</v>
      </c>
      <c r="D57" s="779"/>
    </row>
    <row r="58" spans="1:4" x14ac:dyDescent="0.3">
      <c r="A58" s="783">
        <v>3048</v>
      </c>
      <c r="B58" s="780" t="s">
        <v>1683</v>
      </c>
      <c r="C58" s="784">
        <v>9402362086</v>
      </c>
      <c r="D58" s="779"/>
    </row>
    <row r="59" spans="1:4" x14ac:dyDescent="0.3">
      <c r="A59" s="783">
        <v>3049</v>
      </c>
      <c r="B59" s="780" t="s">
        <v>1684</v>
      </c>
      <c r="C59" s="784">
        <v>9774063310</v>
      </c>
      <c r="D59" s="779"/>
    </row>
    <row r="60" spans="1:4" x14ac:dyDescent="0.3">
      <c r="A60" s="783">
        <v>3050</v>
      </c>
      <c r="B60" s="780" t="s">
        <v>1685</v>
      </c>
      <c r="C60" s="784">
        <v>9436503612</v>
      </c>
      <c r="D60" s="779"/>
    </row>
    <row r="61" spans="1:4" x14ac:dyDescent="0.3">
      <c r="A61" s="783">
        <v>3051</v>
      </c>
      <c r="B61" s="780" t="s">
        <v>1686</v>
      </c>
      <c r="C61" s="784">
        <v>8794458377</v>
      </c>
      <c r="D61" s="779"/>
    </row>
    <row r="62" spans="1:4" x14ac:dyDescent="0.3">
      <c r="A62" s="783">
        <v>3054</v>
      </c>
      <c r="B62" s="780" t="s">
        <v>1687</v>
      </c>
      <c r="C62" s="784">
        <v>9436188567</v>
      </c>
      <c r="D62" s="779"/>
    </row>
    <row r="63" spans="1:4" x14ac:dyDescent="0.3">
      <c r="A63" s="783">
        <v>3059</v>
      </c>
      <c r="B63" s="780" t="s">
        <v>1688</v>
      </c>
      <c r="C63" s="784">
        <v>9436583594</v>
      </c>
      <c r="D63" s="779"/>
    </row>
    <row r="64" spans="1:4" x14ac:dyDescent="0.3">
      <c r="A64" s="783">
        <v>3079</v>
      </c>
      <c r="B64" s="780" t="s">
        <v>1689</v>
      </c>
      <c r="C64" s="784">
        <v>9436184247</v>
      </c>
      <c r="D64" s="779"/>
    </row>
    <row r="65" spans="1:4" x14ac:dyDescent="0.3">
      <c r="A65" s="783">
        <v>3085</v>
      </c>
      <c r="B65" s="780" t="s">
        <v>1690</v>
      </c>
      <c r="C65" s="784">
        <v>9612119156</v>
      </c>
      <c r="D65" s="781" t="s">
        <v>575</v>
      </c>
    </row>
    <row r="66" spans="1:4" x14ac:dyDescent="0.3">
      <c r="A66" s="783">
        <v>3087</v>
      </c>
      <c r="B66" s="780" t="s">
        <v>1691</v>
      </c>
      <c r="C66" s="784">
        <v>9436188567</v>
      </c>
      <c r="D66" s="779"/>
    </row>
    <row r="67" spans="1:4" x14ac:dyDescent="0.3">
      <c r="A67" s="783">
        <v>3099</v>
      </c>
      <c r="B67" s="780" t="s">
        <v>1692</v>
      </c>
      <c r="C67" s="784">
        <v>9415881793</v>
      </c>
      <c r="D67" s="779"/>
    </row>
    <row r="68" spans="1:4" x14ac:dyDescent="0.3">
      <c r="A68" s="783">
        <v>3106</v>
      </c>
      <c r="B68" s="780" t="s">
        <v>1693</v>
      </c>
      <c r="C68" s="784">
        <v>7005707905</v>
      </c>
      <c r="D68" s="779"/>
    </row>
    <row r="69" spans="1:4" x14ac:dyDescent="0.3">
      <c r="A69" s="783">
        <v>3107</v>
      </c>
      <c r="B69" s="780" t="s">
        <v>1694</v>
      </c>
      <c r="C69" s="784">
        <v>9862777613</v>
      </c>
      <c r="D69" s="779"/>
    </row>
    <row r="70" spans="1:4" x14ac:dyDescent="0.3">
      <c r="A70" s="783">
        <v>4008</v>
      </c>
      <c r="B70" s="780" t="s">
        <v>1695</v>
      </c>
      <c r="C70" s="784">
        <v>9436474703</v>
      </c>
      <c r="D70" s="779" t="s">
        <v>1696</v>
      </c>
    </row>
    <row r="71" spans="1:4" x14ac:dyDescent="0.3">
      <c r="A71" s="783">
        <v>4009</v>
      </c>
      <c r="B71" s="780" t="s">
        <v>1697</v>
      </c>
      <c r="C71" s="784">
        <v>9862251754</v>
      </c>
      <c r="D71" s="779" t="s">
        <v>1698</v>
      </c>
    </row>
    <row r="72" spans="1:4" x14ac:dyDescent="0.3">
      <c r="A72" s="783">
        <v>4010</v>
      </c>
      <c r="B72" s="780" t="s">
        <v>1699</v>
      </c>
      <c r="C72" s="784">
        <v>8416074018</v>
      </c>
      <c r="D72" s="779" t="s">
        <v>1700</v>
      </c>
    </row>
    <row r="73" spans="1:4" x14ac:dyDescent="0.3">
      <c r="A73" s="783">
        <v>4011</v>
      </c>
      <c r="B73" s="780" t="s">
        <v>1701</v>
      </c>
      <c r="C73" s="784">
        <v>9436134788</v>
      </c>
      <c r="D73" s="779" t="s">
        <v>1702</v>
      </c>
    </row>
    <row r="74" spans="1:4" x14ac:dyDescent="0.3">
      <c r="A74" s="783">
        <v>4012</v>
      </c>
      <c r="B74" s="780" t="s">
        <v>1703</v>
      </c>
      <c r="C74" s="784">
        <v>9612815836</v>
      </c>
      <c r="D74" s="779" t="s">
        <v>1704</v>
      </c>
    </row>
    <row r="75" spans="1:4" x14ac:dyDescent="0.3">
      <c r="A75" s="783">
        <v>4013</v>
      </c>
      <c r="B75" s="780" t="s">
        <v>1705</v>
      </c>
      <c r="C75" s="784">
        <v>9402365104</v>
      </c>
      <c r="D75" s="779" t="s">
        <v>1706</v>
      </c>
    </row>
    <row r="76" spans="1:4" x14ac:dyDescent="0.3">
      <c r="A76" s="783">
        <v>4014</v>
      </c>
      <c r="B76" s="780" t="s">
        <v>1707</v>
      </c>
      <c r="C76" s="784">
        <v>8794758960</v>
      </c>
      <c r="D76" s="779" t="s">
        <v>1708</v>
      </c>
    </row>
    <row r="77" spans="1:4" x14ac:dyDescent="0.3">
      <c r="A77" s="783">
        <v>4022</v>
      </c>
      <c r="B77" s="780" t="s">
        <v>1709</v>
      </c>
      <c r="C77" s="784">
        <v>9436511594</v>
      </c>
      <c r="D77" s="779" t="s">
        <v>1710</v>
      </c>
    </row>
    <row r="78" spans="1:4" x14ac:dyDescent="0.3">
      <c r="A78" s="783">
        <v>4023</v>
      </c>
      <c r="B78" s="780" t="s">
        <v>1711</v>
      </c>
      <c r="C78" s="784">
        <v>8837375037</v>
      </c>
      <c r="D78" s="779" t="s">
        <v>1712</v>
      </c>
    </row>
    <row r="79" spans="1:4" x14ac:dyDescent="0.3">
      <c r="A79" s="783">
        <v>4027</v>
      </c>
      <c r="B79" s="780" t="s">
        <v>1713</v>
      </c>
      <c r="C79" s="784">
        <v>9436976708</v>
      </c>
      <c r="D79" s="779" t="s">
        <v>1714</v>
      </c>
    </row>
    <row r="80" spans="1:4" x14ac:dyDescent="0.3">
      <c r="A80" s="783">
        <v>4030</v>
      </c>
      <c r="B80" s="780" t="s">
        <v>1715</v>
      </c>
      <c r="C80" s="784">
        <v>9436464639</v>
      </c>
      <c r="D80" s="779" t="s">
        <v>1716</v>
      </c>
    </row>
    <row r="81" spans="1:4" x14ac:dyDescent="0.3">
      <c r="A81" s="783">
        <v>4036</v>
      </c>
      <c r="B81" s="780" t="s">
        <v>1717</v>
      </c>
      <c r="C81" s="784">
        <v>9612244221</v>
      </c>
      <c r="D81" s="779" t="s">
        <v>1718</v>
      </c>
    </row>
    <row r="82" spans="1:4" x14ac:dyDescent="0.3">
      <c r="A82" s="783">
        <v>4041</v>
      </c>
      <c r="B82" s="780" t="s">
        <v>1719</v>
      </c>
      <c r="C82" s="784">
        <v>9612172460</v>
      </c>
      <c r="D82" s="779" t="s">
        <v>1720</v>
      </c>
    </row>
    <row r="83" spans="1:4" x14ac:dyDescent="0.3">
      <c r="A83" s="783">
        <v>4099</v>
      </c>
      <c r="B83" s="780" t="s">
        <v>1721</v>
      </c>
      <c r="C83" s="784">
        <v>9774553220</v>
      </c>
      <c r="D83" s="779" t="s">
        <v>597</v>
      </c>
    </row>
    <row r="84" spans="1:4" x14ac:dyDescent="0.3">
      <c r="A84" s="783">
        <v>5014</v>
      </c>
      <c r="B84" s="780" t="s">
        <v>1722</v>
      </c>
      <c r="C84" s="784">
        <v>8837040616</v>
      </c>
      <c r="D84" s="779" t="s">
        <v>1723</v>
      </c>
    </row>
    <row r="85" spans="1:4" x14ac:dyDescent="0.3">
      <c r="A85" s="783">
        <v>5028</v>
      </c>
      <c r="B85" s="780" t="s">
        <v>1724</v>
      </c>
      <c r="C85" s="784">
        <v>9436304389</v>
      </c>
      <c r="D85" s="779" t="s">
        <v>1725</v>
      </c>
    </row>
    <row r="86" spans="1:4" x14ac:dyDescent="0.3">
      <c r="A86" s="783">
        <v>5029</v>
      </c>
      <c r="B86" s="780" t="s">
        <v>1726</v>
      </c>
      <c r="C86" s="784">
        <v>9436145791</v>
      </c>
      <c r="D86" s="779" t="s">
        <v>1727</v>
      </c>
    </row>
    <row r="87" spans="1:4" x14ac:dyDescent="0.3">
      <c r="A87" s="783">
        <v>5031</v>
      </c>
      <c r="B87" s="780" t="s">
        <v>1728</v>
      </c>
      <c r="C87" s="784">
        <v>9436145791</v>
      </c>
      <c r="D87" s="779" t="s">
        <v>1727</v>
      </c>
    </row>
    <row r="88" spans="1:4" x14ac:dyDescent="0.3">
      <c r="A88" s="783">
        <v>5033</v>
      </c>
      <c r="B88" s="780" t="s">
        <v>1729</v>
      </c>
      <c r="C88" s="784">
        <v>9436499964</v>
      </c>
      <c r="D88" s="779" t="s">
        <v>1730</v>
      </c>
    </row>
    <row r="89" spans="1:4" x14ac:dyDescent="0.3">
      <c r="A89" s="783">
        <v>5034</v>
      </c>
      <c r="B89" s="780" t="s">
        <v>1731</v>
      </c>
      <c r="C89" s="784">
        <v>9436467269</v>
      </c>
      <c r="D89" s="779" t="s">
        <v>1732</v>
      </c>
    </row>
    <row r="90" spans="1:4" x14ac:dyDescent="0.3">
      <c r="A90" s="783">
        <v>5035</v>
      </c>
      <c r="B90" s="780" t="s">
        <v>1733</v>
      </c>
      <c r="C90" s="784">
        <v>9612454635</v>
      </c>
      <c r="D90" s="779" t="s">
        <v>1734</v>
      </c>
    </row>
    <row r="91" spans="1:4" x14ac:dyDescent="0.3">
      <c r="A91" s="783">
        <v>5050</v>
      </c>
      <c r="B91" s="780" t="s">
        <v>1735</v>
      </c>
      <c r="C91" s="784">
        <v>9862650288</v>
      </c>
      <c r="D91" s="779" t="s">
        <v>623</v>
      </c>
    </row>
    <row r="92" spans="1:4" x14ac:dyDescent="0.3">
      <c r="A92" s="783">
        <v>5052</v>
      </c>
      <c r="B92" s="780" t="s">
        <v>1736</v>
      </c>
      <c r="C92" s="784">
        <v>9436328843</v>
      </c>
      <c r="D92" s="779"/>
    </row>
    <row r="93" spans="1:4" x14ac:dyDescent="0.3">
      <c r="A93" s="783">
        <v>5067</v>
      </c>
      <c r="B93" s="780" t="s">
        <v>1737</v>
      </c>
      <c r="C93" s="784">
        <v>9436136117</v>
      </c>
      <c r="D93" s="779" t="s">
        <v>1738</v>
      </c>
    </row>
    <row r="94" spans="1:4" x14ac:dyDescent="0.3">
      <c r="A94" s="783">
        <v>5072</v>
      </c>
      <c r="B94" s="780" t="s">
        <v>1739</v>
      </c>
      <c r="C94" s="784">
        <v>9862034589</v>
      </c>
      <c r="D94" s="779" t="s">
        <v>1740</v>
      </c>
    </row>
    <row r="95" spans="1:4" x14ac:dyDescent="0.3">
      <c r="A95" s="783">
        <v>5083</v>
      </c>
      <c r="B95" s="780" t="s">
        <v>1741</v>
      </c>
      <c r="C95" s="784">
        <v>9402340459</v>
      </c>
      <c r="D95" s="779"/>
    </row>
    <row r="96" spans="1:4" x14ac:dyDescent="0.3">
      <c r="A96" s="783">
        <v>5084</v>
      </c>
      <c r="B96" s="780" t="s">
        <v>1742</v>
      </c>
      <c r="C96" s="784">
        <v>9436136117</v>
      </c>
      <c r="D96" s="779" t="s">
        <v>1743</v>
      </c>
    </row>
    <row r="97" spans="1:4" x14ac:dyDescent="0.3">
      <c r="A97" s="783">
        <v>6003</v>
      </c>
      <c r="B97" s="780" t="s">
        <v>1744</v>
      </c>
      <c r="C97" s="784">
        <v>3826262224</v>
      </c>
      <c r="D97" s="779"/>
    </row>
    <row r="98" spans="1:4" x14ac:dyDescent="0.3">
      <c r="A98" s="783">
        <v>6009</v>
      </c>
      <c r="B98" s="780" t="s">
        <v>1745</v>
      </c>
      <c r="C98" s="784">
        <v>8415954070</v>
      </c>
      <c r="D98" s="779"/>
    </row>
    <row r="99" spans="1:4" x14ac:dyDescent="0.3">
      <c r="A99" s="783">
        <v>6010</v>
      </c>
      <c r="B99" s="780" t="s">
        <v>1746</v>
      </c>
      <c r="C99" s="784">
        <v>8014374115</v>
      </c>
      <c r="D99" s="779" t="s">
        <v>1747</v>
      </c>
    </row>
    <row r="100" spans="1:4" x14ac:dyDescent="0.3">
      <c r="A100" s="783">
        <v>6011</v>
      </c>
      <c r="B100" s="780" t="s">
        <v>1748</v>
      </c>
      <c r="C100" s="784">
        <v>9436348031</v>
      </c>
      <c r="D100" s="779" t="s">
        <v>1749</v>
      </c>
    </row>
    <row r="101" spans="1:4" x14ac:dyDescent="0.3">
      <c r="A101" s="783">
        <v>6012</v>
      </c>
      <c r="B101" s="780" t="s">
        <v>1750</v>
      </c>
      <c r="C101" s="784">
        <v>9436461312</v>
      </c>
      <c r="D101" s="779" t="s">
        <v>1751</v>
      </c>
    </row>
    <row r="102" spans="1:4" x14ac:dyDescent="0.3">
      <c r="A102" s="783">
        <v>6013</v>
      </c>
      <c r="B102" s="780" t="s">
        <v>1752</v>
      </c>
      <c r="C102" s="784">
        <v>9615551658</v>
      </c>
      <c r="D102" s="779"/>
    </row>
    <row r="103" spans="1:4" x14ac:dyDescent="0.3">
      <c r="A103" s="783">
        <v>6014</v>
      </c>
      <c r="B103" s="780" t="s">
        <v>1753</v>
      </c>
      <c r="C103" s="784">
        <v>9436462451</v>
      </c>
      <c r="D103" s="779"/>
    </row>
    <row r="104" spans="1:4" x14ac:dyDescent="0.3">
      <c r="A104" s="783">
        <v>6015</v>
      </c>
      <c r="B104" s="780" t="s">
        <v>1754</v>
      </c>
      <c r="C104" s="784">
        <v>3826261227</v>
      </c>
      <c r="D104" s="779"/>
    </row>
    <row r="105" spans="1:4" x14ac:dyDescent="0.3">
      <c r="A105" s="783">
        <v>6016</v>
      </c>
      <c r="B105" s="780" t="s">
        <v>1755</v>
      </c>
      <c r="C105" s="784">
        <v>9436461312</v>
      </c>
      <c r="D105" s="779" t="s">
        <v>1756</v>
      </c>
    </row>
    <row r="106" spans="1:4" x14ac:dyDescent="0.3">
      <c r="A106" s="783">
        <v>6017</v>
      </c>
      <c r="B106" s="780" t="s">
        <v>1757</v>
      </c>
      <c r="C106" s="784">
        <v>3826272110</v>
      </c>
      <c r="D106" s="779" t="s">
        <v>1758</v>
      </c>
    </row>
    <row r="107" spans="1:4" x14ac:dyDescent="0.3">
      <c r="A107" s="783">
        <v>6018</v>
      </c>
      <c r="B107" s="780" t="s">
        <v>1759</v>
      </c>
      <c r="C107" s="784">
        <v>9436543187</v>
      </c>
      <c r="D107" s="779" t="s">
        <v>1760</v>
      </c>
    </row>
    <row r="108" spans="1:4" x14ac:dyDescent="0.3">
      <c r="A108" s="783">
        <v>6019</v>
      </c>
      <c r="B108" s="780" t="s">
        <v>1761</v>
      </c>
      <c r="C108" s="784">
        <v>3826262254</v>
      </c>
      <c r="D108" s="779" t="s">
        <v>1762</v>
      </c>
    </row>
    <row r="109" spans="1:4" x14ac:dyDescent="0.3">
      <c r="A109" s="783">
        <v>6020</v>
      </c>
      <c r="B109" s="780" t="s">
        <v>1763</v>
      </c>
      <c r="C109" s="784">
        <v>9436462451</v>
      </c>
      <c r="D109" s="779"/>
    </row>
    <row r="110" spans="1:4" x14ac:dyDescent="0.3">
      <c r="A110" s="783">
        <v>6021</v>
      </c>
      <c r="B110" s="780" t="s">
        <v>1764</v>
      </c>
      <c r="C110" s="784">
        <v>9436501389</v>
      </c>
      <c r="D110" s="779"/>
    </row>
    <row r="111" spans="1:4" x14ac:dyDescent="0.3">
      <c r="A111" s="783">
        <v>6022</v>
      </c>
      <c r="B111" s="780" t="s">
        <v>1765</v>
      </c>
      <c r="C111" s="784">
        <v>9612285922</v>
      </c>
      <c r="D111" s="779" t="s">
        <v>1766</v>
      </c>
    </row>
    <row r="112" spans="1:4" x14ac:dyDescent="0.3">
      <c r="A112" s="783">
        <v>6023</v>
      </c>
      <c r="B112" s="780" t="s">
        <v>1767</v>
      </c>
      <c r="C112" s="784">
        <v>3826263227</v>
      </c>
      <c r="D112" s="779" t="s">
        <v>1768</v>
      </c>
    </row>
    <row r="113" spans="1:4" x14ac:dyDescent="0.3">
      <c r="A113" s="783">
        <v>6024</v>
      </c>
      <c r="B113" s="780" t="s">
        <v>1769</v>
      </c>
      <c r="C113" s="784">
        <v>9436136093</v>
      </c>
      <c r="D113" s="779"/>
    </row>
    <row r="114" spans="1:4" x14ac:dyDescent="0.3">
      <c r="A114" s="783">
        <v>6025</v>
      </c>
      <c r="B114" s="780" t="s">
        <v>1770</v>
      </c>
      <c r="C114" s="784">
        <v>3826262235</v>
      </c>
      <c r="D114" s="779" t="s">
        <v>1771</v>
      </c>
    </row>
    <row r="115" spans="1:4" x14ac:dyDescent="0.3">
      <c r="A115" s="783">
        <v>6026</v>
      </c>
      <c r="B115" s="780" t="s">
        <v>1772</v>
      </c>
      <c r="C115" s="784">
        <v>3826262215</v>
      </c>
      <c r="D115" s="779" t="s">
        <v>1773</v>
      </c>
    </row>
    <row r="116" spans="1:4" x14ac:dyDescent="0.3">
      <c r="A116" s="783">
        <v>6038</v>
      </c>
      <c r="B116" s="780" t="s">
        <v>1774</v>
      </c>
      <c r="C116" s="784">
        <v>3826262283</v>
      </c>
      <c r="D116" s="779"/>
    </row>
    <row r="117" spans="1:4" x14ac:dyDescent="0.3">
      <c r="A117" s="783">
        <v>6043</v>
      </c>
      <c r="B117" s="780" t="s">
        <v>1775</v>
      </c>
      <c r="C117" s="784">
        <v>9485064250</v>
      </c>
      <c r="D117" s="779" t="s">
        <v>1776</v>
      </c>
    </row>
    <row r="118" spans="1:4" x14ac:dyDescent="0.3">
      <c r="A118" s="783">
        <v>6044</v>
      </c>
      <c r="B118" s="780" t="s">
        <v>1777</v>
      </c>
      <c r="C118" s="784">
        <v>9436488472</v>
      </c>
      <c r="D118" s="779" t="s">
        <v>1778</v>
      </c>
    </row>
    <row r="119" spans="1:4" x14ac:dyDescent="0.3">
      <c r="A119" s="783">
        <v>6045</v>
      </c>
      <c r="B119" s="780" t="s">
        <v>1779</v>
      </c>
      <c r="C119" s="784">
        <v>9862377806</v>
      </c>
      <c r="D119" s="779"/>
    </row>
    <row r="120" spans="1:4" x14ac:dyDescent="0.3">
      <c r="A120" s="783">
        <v>6049</v>
      </c>
      <c r="B120" s="780" t="s">
        <v>1780</v>
      </c>
      <c r="C120" s="784">
        <v>9402153722</v>
      </c>
      <c r="D120" s="779" t="s">
        <v>652</v>
      </c>
    </row>
    <row r="121" spans="1:4" x14ac:dyDescent="0.3">
      <c r="A121" s="783">
        <v>6999</v>
      </c>
      <c r="B121" s="780" t="s">
        <v>1781</v>
      </c>
      <c r="C121" s="784">
        <v>3826262802</v>
      </c>
      <c r="D121" s="779"/>
    </row>
    <row r="122" spans="1:4" x14ac:dyDescent="0.3">
      <c r="A122" s="783">
        <v>7005</v>
      </c>
      <c r="B122" s="780" t="s">
        <v>1782</v>
      </c>
      <c r="C122" s="784">
        <v>9402152391</v>
      </c>
      <c r="D122" s="779" t="s">
        <v>1783</v>
      </c>
    </row>
    <row r="123" spans="1:4" x14ac:dyDescent="0.3">
      <c r="A123" s="783">
        <v>7023</v>
      </c>
      <c r="B123" s="780" t="s">
        <v>1784</v>
      </c>
      <c r="C123" s="784">
        <v>9436537415</v>
      </c>
      <c r="D123" s="779" t="s">
        <v>1785</v>
      </c>
    </row>
    <row r="124" spans="1:4" x14ac:dyDescent="0.3">
      <c r="A124" s="783">
        <v>7024</v>
      </c>
      <c r="B124" s="780" t="s">
        <v>1786</v>
      </c>
      <c r="C124" s="784">
        <v>9402351128</v>
      </c>
      <c r="D124" s="779" t="s">
        <v>1787</v>
      </c>
    </row>
    <row r="125" spans="1:4" x14ac:dyDescent="0.3">
      <c r="A125" s="783">
        <v>7025</v>
      </c>
      <c r="B125" s="780" t="s">
        <v>1788</v>
      </c>
      <c r="C125" s="784">
        <v>7085811869</v>
      </c>
      <c r="D125" s="779" t="s">
        <v>1789</v>
      </c>
    </row>
    <row r="126" spans="1:4" x14ac:dyDescent="0.3">
      <c r="A126" s="783">
        <v>7026</v>
      </c>
      <c r="B126" s="780" t="s">
        <v>1790</v>
      </c>
      <c r="C126" s="784">
        <v>8257879408</v>
      </c>
      <c r="D126" s="779" t="s">
        <v>1791</v>
      </c>
    </row>
    <row r="127" spans="1:4" x14ac:dyDescent="0.3">
      <c r="A127" s="783">
        <v>7028</v>
      </c>
      <c r="B127" s="780" t="s">
        <v>1792</v>
      </c>
      <c r="C127" s="784">
        <v>9615932499</v>
      </c>
      <c r="D127" s="779" t="s">
        <v>1793</v>
      </c>
    </row>
    <row r="128" spans="1:4" x14ac:dyDescent="0.3">
      <c r="A128" s="783">
        <v>7029</v>
      </c>
      <c r="B128" s="780" t="s">
        <v>1794</v>
      </c>
      <c r="C128" s="784">
        <v>9436137919</v>
      </c>
      <c r="D128" s="779" t="s">
        <v>1795</v>
      </c>
    </row>
    <row r="129" spans="1:4" x14ac:dyDescent="0.3">
      <c r="A129" s="783">
        <v>7030</v>
      </c>
      <c r="B129" s="780" t="s">
        <v>1796</v>
      </c>
      <c r="C129" s="784">
        <v>9436919339</v>
      </c>
      <c r="D129" s="779" t="s">
        <v>1797</v>
      </c>
    </row>
    <row r="130" spans="1:4" x14ac:dyDescent="0.3">
      <c r="A130" s="783">
        <v>7031</v>
      </c>
      <c r="B130" s="780" t="s">
        <v>1798</v>
      </c>
      <c r="C130" s="784">
        <v>9436513072</v>
      </c>
      <c r="D130" s="779" t="s">
        <v>1799</v>
      </c>
    </row>
    <row r="131" spans="1:4" x14ac:dyDescent="0.3">
      <c r="A131" s="783">
        <v>7032</v>
      </c>
      <c r="B131" s="780" t="s">
        <v>1800</v>
      </c>
      <c r="C131" s="784">
        <v>9436531625</v>
      </c>
      <c r="D131" s="779" t="s">
        <v>1801</v>
      </c>
    </row>
    <row r="132" spans="1:4" x14ac:dyDescent="0.3">
      <c r="A132" s="783">
        <v>7033</v>
      </c>
      <c r="B132" s="780" t="s">
        <v>1802</v>
      </c>
      <c r="C132" s="784">
        <v>9436792337</v>
      </c>
      <c r="D132" s="779" t="s">
        <v>1803</v>
      </c>
    </row>
    <row r="133" spans="1:4" x14ac:dyDescent="0.3">
      <c r="A133" s="783">
        <v>7035</v>
      </c>
      <c r="B133" s="780" t="s">
        <v>1804</v>
      </c>
      <c r="C133" s="784">
        <v>9436502855</v>
      </c>
      <c r="D133" s="779" t="s">
        <v>1805</v>
      </c>
    </row>
    <row r="134" spans="1:4" x14ac:dyDescent="0.3">
      <c r="A134" s="783">
        <v>7036</v>
      </c>
      <c r="B134" s="780" t="s">
        <v>1806</v>
      </c>
      <c r="C134" s="784">
        <v>9612270351</v>
      </c>
      <c r="D134" s="779" t="s">
        <v>1807</v>
      </c>
    </row>
    <row r="135" spans="1:4" x14ac:dyDescent="0.3">
      <c r="A135" s="783">
        <v>7039</v>
      </c>
      <c r="B135" s="780" t="s">
        <v>1808</v>
      </c>
      <c r="C135" s="784">
        <v>9402117159</v>
      </c>
      <c r="D135" s="779" t="s">
        <v>1809</v>
      </c>
    </row>
    <row r="136" spans="1:4" x14ac:dyDescent="0.3">
      <c r="A136" s="783">
        <v>7043</v>
      </c>
      <c r="B136" s="780" t="s">
        <v>1810</v>
      </c>
      <c r="C136" s="784">
        <v>8413093435</v>
      </c>
      <c r="D136" s="779" t="s">
        <v>1811</v>
      </c>
    </row>
    <row r="137" spans="1:4" x14ac:dyDescent="0.3">
      <c r="A137" s="783">
        <v>7044</v>
      </c>
      <c r="B137" s="780" t="s">
        <v>1812</v>
      </c>
      <c r="C137" s="784">
        <v>9436132380</v>
      </c>
      <c r="D137" s="779" t="s">
        <v>1813</v>
      </c>
    </row>
    <row r="138" spans="1:4" x14ac:dyDescent="0.3">
      <c r="A138" s="783">
        <v>7046</v>
      </c>
      <c r="B138" s="780" t="s">
        <v>1814</v>
      </c>
      <c r="C138" s="784">
        <v>9436129483</v>
      </c>
      <c r="D138" s="779" t="s">
        <v>1815</v>
      </c>
    </row>
    <row r="139" spans="1:4" x14ac:dyDescent="0.3">
      <c r="A139" s="783">
        <v>7050</v>
      </c>
      <c r="B139" s="780" t="s">
        <v>1816</v>
      </c>
      <c r="C139" s="784">
        <v>9436181820</v>
      </c>
      <c r="D139" s="779" t="s">
        <v>1817</v>
      </c>
    </row>
    <row r="140" spans="1:4" x14ac:dyDescent="0.3">
      <c r="A140" s="783">
        <v>7052</v>
      </c>
      <c r="B140" s="780" t="s">
        <v>1818</v>
      </c>
      <c r="C140" s="784">
        <v>9436569160</v>
      </c>
      <c r="D140" s="779" t="s">
        <v>1819</v>
      </c>
    </row>
    <row r="141" spans="1:4" x14ac:dyDescent="0.3">
      <c r="A141" s="783">
        <v>7053</v>
      </c>
      <c r="B141" s="780" t="s">
        <v>1820</v>
      </c>
      <c r="C141" s="784">
        <v>9436458113</v>
      </c>
      <c r="D141" s="779" t="s">
        <v>1821</v>
      </c>
    </row>
    <row r="142" spans="1:4" x14ac:dyDescent="0.3">
      <c r="A142" s="783">
        <v>7055</v>
      </c>
      <c r="B142" s="780" t="s">
        <v>1822</v>
      </c>
      <c r="C142" s="784">
        <v>9436377760</v>
      </c>
      <c r="D142" s="779" t="s">
        <v>1823</v>
      </c>
    </row>
    <row r="143" spans="1:4" x14ac:dyDescent="0.3">
      <c r="A143" s="783">
        <v>7056</v>
      </c>
      <c r="B143" s="780" t="s">
        <v>1824</v>
      </c>
      <c r="C143" s="784">
        <v>9436513787</v>
      </c>
      <c r="D143" s="779" t="s">
        <v>1825</v>
      </c>
    </row>
    <row r="144" spans="1:4" x14ac:dyDescent="0.3">
      <c r="A144" s="783">
        <v>7057</v>
      </c>
      <c r="B144" s="780" t="s">
        <v>1826</v>
      </c>
      <c r="C144" s="784">
        <v>9436942832</v>
      </c>
      <c r="D144" s="779" t="s">
        <v>1827</v>
      </c>
    </row>
    <row r="145" spans="1:4" x14ac:dyDescent="0.3">
      <c r="A145" s="783">
        <v>7060</v>
      </c>
      <c r="B145" s="780" t="s">
        <v>1828</v>
      </c>
      <c r="C145" s="784">
        <v>9436320662</v>
      </c>
      <c r="D145" s="779" t="s">
        <v>1829</v>
      </c>
    </row>
    <row r="146" spans="1:4" x14ac:dyDescent="0.3">
      <c r="A146" s="783">
        <v>7062</v>
      </c>
      <c r="B146" s="780" t="s">
        <v>1830</v>
      </c>
      <c r="C146" s="784">
        <v>9436552329</v>
      </c>
      <c r="D146" s="779" t="s">
        <v>1831</v>
      </c>
    </row>
    <row r="147" spans="1:4" x14ac:dyDescent="0.3">
      <c r="A147" s="783">
        <v>7063</v>
      </c>
      <c r="B147" s="780" t="s">
        <v>1832</v>
      </c>
      <c r="C147" s="784">
        <v>9436942832</v>
      </c>
      <c r="D147" s="779" t="s">
        <v>1827</v>
      </c>
    </row>
    <row r="148" spans="1:4" x14ac:dyDescent="0.3">
      <c r="A148" s="783">
        <v>7067</v>
      </c>
      <c r="B148" s="780" t="s">
        <v>1833</v>
      </c>
      <c r="C148" s="784">
        <v>9436454201</v>
      </c>
      <c r="D148" s="779" t="s">
        <v>1834</v>
      </c>
    </row>
    <row r="149" spans="1:4" x14ac:dyDescent="0.3">
      <c r="A149" s="783">
        <v>7075</v>
      </c>
      <c r="B149" s="780" t="s">
        <v>1835</v>
      </c>
      <c r="C149" s="784">
        <v>9402344505</v>
      </c>
      <c r="D149" s="779" t="s">
        <v>1836</v>
      </c>
    </row>
    <row r="150" spans="1:4" x14ac:dyDescent="0.3">
      <c r="A150" s="783">
        <v>7084</v>
      </c>
      <c r="B150" s="780" t="s">
        <v>1837</v>
      </c>
      <c r="C150" s="784">
        <v>9862649770</v>
      </c>
      <c r="D150" s="779" t="s">
        <v>1838</v>
      </c>
    </row>
    <row r="151" spans="1:4" x14ac:dyDescent="0.3">
      <c r="A151" s="783">
        <v>7085</v>
      </c>
      <c r="B151" s="780" t="s">
        <v>1839</v>
      </c>
      <c r="C151" s="784">
        <v>9436495646</v>
      </c>
      <c r="D151" s="779" t="s">
        <v>668</v>
      </c>
    </row>
    <row r="152" spans="1:4" x14ac:dyDescent="0.3">
      <c r="A152" s="783">
        <v>7086</v>
      </c>
      <c r="B152" s="780" t="s">
        <v>1840</v>
      </c>
      <c r="C152" s="784">
        <v>8974765012</v>
      </c>
      <c r="D152" s="779" t="s">
        <v>1841</v>
      </c>
    </row>
    <row r="153" spans="1:4" x14ac:dyDescent="0.3">
      <c r="A153" s="783">
        <v>7087</v>
      </c>
      <c r="B153" s="780" t="s">
        <v>1842</v>
      </c>
      <c r="C153" s="784">
        <v>9612118515</v>
      </c>
      <c r="D153" s="779" t="s">
        <v>1843</v>
      </c>
    </row>
    <row r="154" spans="1:4" x14ac:dyDescent="0.3">
      <c r="A154" s="783">
        <v>7089</v>
      </c>
      <c r="B154" s="780" t="s">
        <v>1844</v>
      </c>
      <c r="C154" s="784">
        <v>8119055394</v>
      </c>
      <c r="D154" s="779" t="s">
        <v>1845</v>
      </c>
    </row>
    <row r="155" spans="1:4" x14ac:dyDescent="0.3">
      <c r="A155" s="783">
        <v>7103</v>
      </c>
      <c r="B155" s="780" t="s">
        <v>1846</v>
      </c>
      <c r="C155" s="784">
        <v>8413024766</v>
      </c>
      <c r="D155" s="779" t="s">
        <v>1847</v>
      </c>
    </row>
    <row r="156" spans="1:4" x14ac:dyDescent="0.3">
      <c r="A156" s="783">
        <v>7120</v>
      </c>
      <c r="B156" s="780" t="s">
        <v>1848</v>
      </c>
      <c r="C156" s="784">
        <v>9436902849</v>
      </c>
      <c r="D156" s="779" t="s">
        <v>1849</v>
      </c>
    </row>
    <row r="157" spans="1:4" x14ac:dyDescent="0.3">
      <c r="A157" s="783">
        <v>8011</v>
      </c>
      <c r="B157" s="780" t="s">
        <v>1850</v>
      </c>
      <c r="C157" s="784">
        <v>3812370204</v>
      </c>
      <c r="D157" s="779"/>
    </row>
    <row r="158" spans="1:4" x14ac:dyDescent="0.3">
      <c r="A158" s="783">
        <v>8012</v>
      </c>
      <c r="B158" s="780" t="s">
        <v>1851</v>
      </c>
      <c r="C158" s="784">
        <v>3812324334</v>
      </c>
      <c r="D158" s="779"/>
    </row>
    <row r="159" spans="1:4" x14ac:dyDescent="0.3">
      <c r="A159" s="783">
        <v>8015</v>
      </c>
      <c r="B159" s="780" t="s">
        <v>1852</v>
      </c>
      <c r="C159" s="784">
        <v>9436456014</v>
      </c>
      <c r="D159" s="779"/>
    </row>
    <row r="160" spans="1:4" x14ac:dyDescent="0.3">
      <c r="A160" s="783">
        <v>8016</v>
      </c>
      <c r="B160" s="780" t="s">
        <v>1853</v>
      </c>
      <c r="C160" s="784">
        <v>3812326525</v>
      </c>
      <c r="D160" s="779"/>
    </row>
    <row r="161" spans="1:4" x14ac:dyDescent="0.3">
      <c r="A161" s="783">
        <v>8017</v>
      </c>
      <c r="B161" s="780" t="s">
        <v>1854</v>
      </c>
      <c r="C161" s="784">
        <v>9436593243</v>
      </c>
      <c r="D161" s="779"/>
    </row>
    <row r="162" spans="1:4" x14ac:dyDescent="0.3">
      <c r="A162" s="783">
        <v>8018</v>
      </c>
      <c r="B162" s="780" t="s">
        <v>1855</v>
      </c>
      <c r="C162" s="784">
        <v>3812375237</v>
      </c>
      <c r="D162" s="779"/>
    </row>
    <row r="163" spans="1:4" x14ac:dyDescent="0.3">
      <c r="A163" s="783">
        <v>8019</v>
      </c>
      <c r="B163" s="780" t="s">
        <v>1856</v>
      </c>
      <c r="C163" s="784">
        <v>9774443485</v>
      </c>
      <c r="D163" s="779"/>
    </row>
    <row r="164" spans="1:4" x14ac:dyDescent="0.3">
      <c r="A164" s="783">
        <v>8050</v>
      </c>
      <c r="B164" s="780" t="s">
        <v>1857</v>
      </c>
      <c r="C164" s="784">
        <v>8014925385</v>
      </c>
      <c r="D164" s="779"/>
    </row>
    <row r="165" spans="1:4" x14ac:dyDescent="0.3">
      <c r="A165" s="783">
        <v>8054</v>
      </c>
      <c r="B165" s="780" t="s">
        <v>1858</v>
      </c>
      <c r="C165" s="784">
        <v>9856241730</v>
      </c>
      <c r="D165" s="779"/>
    </row>
    <row r="166" spans="1:4" x14ac:dyDescent="0.3">
      <c r="A166" s="783">
        <v>8055</v>
      </c>
      <c r="B166" s="780" t="s">
        <v>1859</v>
      </c>
      <c r="C166" s="784">
        <v>9856417838</v>
      </c>
      <c r="D166" s="779"/>
    </row>
    <row r="167" spans="1:4" x14ac:dyDescent="0.3">
      <c r="A167" s="783">
        <v>8057</v>
      </c>
      <c r="B167" s="780" t="s">
        <v>1860</v>
      </c>
      <c r="C167" s="784">
        <v>9436454135</v>
      </c>
      <c r="D167" s="779"/>
    </row>
    <row r="168" spans="1:4" x14ac:dyDescent="0.3">
      <c r="A168" s="783">
        <v>8058</v>
      </c>
      <c r="B168" s="780" t="s">
        <v>1861</v>
      </c>
      <c r="C168" s="784">
        <v>3812320635</v>
      </c>
      <c r="D168" s="779"/>
    </row>
    <row r="169" spans="1:4" x14ac:dyDescent="0.3">
      <c r="A169" s="783">
        <v>8060</v>
      </c>
      <c r="B169" s="780" t="s">
        <v>1862</v>
      </c>
      <c r="C169" s="784"/>
      <c r="D169" s="779"/>
    </row>
    <row r="170" spans="1:4" x14ac:dyDescent="0.3">
      <c r="A170" s="783">
        <v>8061</v>
      </c>
      <c r="B170" s="780" t="s">
        <v>1863</v>
      </c>
      <c r="C170" s="784"/>
      <c r="D170" s="779"/>
    </row>
    <row r="171" spans="1:4" x14ac:dyDescent="0.3">
      <c r="A171" s="783">
        <v>8063</v>
      </c>
      <c r="B171" s="780" t="s">
        <v>1864</v>
      </c>
      <c r="C171" s="784">
        <v>8259829502</v>
      </c>
      <c r="D171" s="779"/>
    </row>
    <row r="172" spans="1:4" x14ac:dyDescent="0.3">
      <c r="A172" s="783">
        <v>8064</v>
      </c>
      <c r="B172" s="780" t="s">
        <v>1865</v>
      </c>
      <c r="C172" s="784">
        <v>3812327749</v>
      </c>
      <c r="D172" s="779"/>
    </row>
    <row r="173" spans="1:4" x14ac:dyDescent="0.3">
      <c r="A173" s="783">
        <v>8065</v>
      </c>
      <c r="B173" s="780" t="s">
        <v>1866</v>
      </c>
      <c r="C173" s="784">
        <v>3812383825</v>
      </c>
      <c r="D173" s="779"/>
    </row>
    <row r="174" spans="1:4" x14ac:dyDescent="0.3">
      <c r="A174" s="783">
        <v>8066</v>
      </c>
      <c r="B174" s="780" t="s">
        <v>1867</v>
      </c>
      <c r="C174" s="784">
        <v>3812386482</v>
      </c>
      <c r="D174" s="779"/>
    </row>
    <row r="175" spans="1:4" x14ac:dyDescent="0.3">
      <c r="A175" s="783">
        <v>8068</v>
      </c>
      <c r="B175" s="780" t="s">
        <v>1868</v>
      </c>
      <c r="C175" s="784">
        <v>3812396340</v>
      </c>
      <c r="D175" s="779"/>
    </row>
    <row r="176" spans="1:4" x14ac:dyDescent="0.3">
      <c r="A176" s="783">
        <v>8069</v>
      </c>
      <c r="B176" s="780" t="s">
        <v>1869</v>
      </c>
      <c r="C176" s="784"/>
      <c r="D176" s="779"/>
    </row>
    <row r="177" spans="1:4" x14ac:dyDescent="0.3">
      <c r="A177" s="783">
        <v>8079</v>
      </c>
      <c r="B177" s="780" t="s">
        <v>1870</v>
      </c>
      <c r="C177" s="784">
        <v>3812353762</v>
      </c>
      <c r="D177" s="779" t="s">
        <v>1871</v>
      </c>
    </row>
    <row r="178" spans="1:4" x14ac:dyDescent="0.3">
      <c r="A178" s="783">
        <v>8087</v>
      </c>
      <c r="B178" s="780" t="s">
        <v>1872</v>
      </c>
      <c r="C178" s="784">
        <v>9612360882</v>
      </c>
      <c r="D178" s="779" t="s">
        <v>1873</v>
      </c>
    </row>
    <row r="179" spans="1:4" x14ac:dyDescent="0.3">
      <c r="A179" s="783">
        <v>8092</v>
      </c>
      <c r="B179" s="780" t="s">
        <v>1874</v>
      </c>
      <c r="C179" s="784">
        <v>3812908959</v>
      </c>
      <c r="D179" s="779"/>
    </row>
    <row r="180" spans="1:4" x14ac:dyDescent="0.3">
      <c r="A180" s="783">
        <v>8095</v>
      </c>
      <c r="B180" s="780" t="s">
        <v>1875</v>
      </c>
      <c r="C180" s="784">
        <v>9774279135</v>
      </c>
      <c r="D180" s="779"/>
    </row>
    <row r="181" spans="1:4" x14ac:dyDescent="0.3">
      <c r="A181" s="783">
        <v>8096</v>
      </c>
      <c r="B181" s="780" t="s">
        <v>1876</v>
      </c>
      <c r="C181" s="784">
        <v>9436127892</v>
      </c>
      <c r="D181" s="779"/>
    </row>
    <row r="182" spans="1:4" x14ac:dyDescent="0.3">
      <c r="A182" s="783">
        <v>8101</v>
      </c>
      <c r="B182" s="780" t="s">
        <v>1877</v>
      </c>
      <c r="C182" s="784">
        <v>3812323916</v>
      </c>
      <c r="D182" s="779"/>
    </row>
    <row r="183" spans="1:4" x14ac:dyDescent="0.3">
      <c r="A183" s="783">
        <v>8105</v>
      </c>
      <c r="B183" s="780" t="s">
        <v>1878</v>
      </c>
      <c r="C183" s="784">
        <v>9862575884</v>
      </c>
      <c r="D183" s="779" t="s">
        <v>1879</v>
      </c>
    </row>
    <row r="184" spans="1:4" x14ac:dyDescent="0.3">
      <c r="A184" s="783">
        <v>8106</v>
      </c>
      <c r="B184" s="780" t="s">
        <v>1880</v>
      </c>
      <c r="C184" s="784">
        <v>8014221646</v>
      </c>
      <c r="D184" s="779" t="s">
        <v>1881</v>
      </c>
    </row>
    <row r="185" spans="1:4" x14ac:dyDescent="0.3">
      <c r="A185" s="783">
        <v>8112</v>
      </c>
      <c r="B185" s="780" t="s">
        <v>1882</v>
      </c>
      <c r="C185" s="784">
        <v>3812510501</v>
      </c>
      <c r="D185" s="779" t="s">
        <v>1883</v>
      </c>
    </row>
    <row r="186" spans="1:4" x14ac:dyDescent="0.3">
      <c r="A186" s="783">
        <v>8119</v>
      </c>
      <c r="B186" s="780" t="s">
        <v>1884</v>
      </c>
      <c r="C186" s="784">
        <v>3812329936</v>
      </c>
      <c r="D186" s="779" t="s">
        <v>1885</v>
      </c>
    </row>
    <row r="187" spans="1:4" x14ac:dyDescent="0.3">
      <c r="A187" s="783">
        <v>8122</v>
      </c>
      <c r="B187" s="780" t="s">
        <v>1886</v>
      </c>
      <c r="C187" s="784">
        <v>9436481455</v>
      </c>
      <c r="D187" s="779" t="s">
        <v>1887</v>
      </c>
    </row>
    <row r="188" spans="1:4" x14ac:dyDescent="0.3">
      <c r="A188" s="783">
        <v>8129</v>
      </c>
      <c r="B188" s="780" t="s">
        <v>1888</v>
      </c>
      <c r="C188" s="784">
        <v>9436541512</v>
      </c>
      <c r="D188" s="779"/>
    </row>
    <row r="189" spans="1:4" x14ac:dyDescent="0.3">
      <c r="A189" s="783">
        <v>8131</v>
      </c>
      <c r="B189" s="780" t="s">
        <v>1889</v>
      </c>
      <c r="C189" s="784">
        <v>9436453237</v>
      </c>
      <c r="D189" s="779"/>
    </row>
    <row r="190" spans="1:4" x14ac:dyDescent="0.3">
      <c r="A190" s="783">
        <v>8141</v>
      </c>
      <c r="B190" s="780" t="s">
        <v>1890</v>
      </c>
      <c r="C190" s="784">
        <v>9436557961</v>
      </c>
      <c r="D190" s="779"/>
    </row>
    <row r="191" spans="1:4" x14ac:dyDescent="0.3">
      <c r="A191" s="783">
        <v>8148</v>
      </c>
      <c r="B191" s="780" t="s">
        <v>1891</v>
      </c>
      <c r="C191" s="784">
        <v>7005271445</v>
      </c>
      <c r="D191" s="779" t="s">
        <v>1892</v>
      </c>
    </row>
    <row r="192" spans="1:4" x14ac:dyDescent="0.3">
      <c r="A192" s="783">
        <v>8151</v>
      </c>
      <c r="B192" s="780" t="s">
        <v>1893</v>
      </c>
      <c r="C192" s="784">
        <v>9436122079</v>
      </c>
      <c r="D192" s="779"/>
    </row>
    <row r="193" spans="1:4" x14ac:dyDescent="0.3">
      <c r="A193" s="783">
        <v>8154</v>
      </c>
      <c r="B193" s="780" t="s">
        <v>1894</v>
      </c>
      <c r="C193" s="784">
        <v>9436768546</v>
      </c>
      <c r="D193" s="779"/>
    </row>
    <row r="194" spans="1:4" x14ac:dyDescent="0.3">
      <c r="A194" s="783">
        <v>8156</v>
      </c>
      <c r="B194" s="780" t="s">
        <v>1895</v>
      </c>
      <c r="C194" s="784">
        <v>9862265852</v>
      </c>
      <c r="D194" s="779"/>
    </row>
    <row r="195" spans="1:4" x14ac:dyDescent="0.3">
      <c r="A195" s="783">
        <v>8160</v>
      </c>
      <c r="B195" s="780" t="s">
        <v>1896</v>
      </c>
      <c r="C195" s="784">
        <v>3812396519</v>
      </c>
      <c r="D195" s="779"/>
    </row>
    <row r="196" spans="1:4" x14ac:dyDescent="0.3">
      <c r="A196" s="783">
        <v>8168</v>
      </c>
      <c r="B196" s="780" t="s">
        <v>1897</v>
      </c>
      <c r="C196" s="784">
        <v>9436595755</v>
      </c>
      <c r="D196" s="779" t="s">
        <v>1898</v>
      </c>
    </row>
    <row r="197" spans="1:4" x14ac:dyDescent="0.3">
      <c r="A197" s="783">
        <v>8169</v>
      </c>
      <c r="B197" s="780" t="s">
        <v>1899</v>
      </c>
      <c r="C197" s="784">
        <v>9436566352</v>
      </c>
      <c r="D197" s="779"/>
    </row>
    <row r="198" spans="1:4" x14ac:dyDescent="0.3">
      <c r="A198" s="783">
        <v>8176</v>
      </c>
      <c r="B198" s="780" t="s">
        <v>1900</v>
      </c>
      <c r="C198" s="784">
        <v>9774840270</v>
      </c>
      <c r="D198" s="779"/>
    </row>
    <row r="199" spans="1:4" x14ac:dyDescent="0.3">
      <c r="A199" s="783">
        <v>8192</v>
      </c>
      <c r="B199" s="780" t="s">
        <v>1901</v>
      </c>
      <c r="C199" s="784">
        <v>9436453556</v>
      </c>
      <c r="D199" s="779" t="s">
        <v>1902</v>
      </c>
    </row>
    <row r="200" spans="1:4" x14ac:dyDescent="0.3">
      <c r="A200" s="783">
        <v>8193</v>
      </c>
      <c r="B200" s="780" t="s">
        <v>1903</v>
      </c>
      <c r="C200" s="784">
        <v>9436541782</v>
      </c>
      <c r="D200" s="779"/>
    </row>
    <row r="201" spans="1:4" x14ac:dyDescent="0.3">
      <c r="A201" s="783">
        <v>8194</v>
      </c>
      <c r="B201" s="780" t="s">
        <v>1904</v>
      </c>
      <c r="C201" s="784">
        <v>3812333763</v>
      </c>
      <c r="D201" s="779"/>
    </row>
    <row r="202" spans="1:4" x14ac:dyDescent="0.3">
      <c r="A202" s="783">
        <v>8195</v>
      </c>
      <c r="B202" s="780" t="s">
        <v>1905</v>
      </c>
      <c r="C202" s="784">
        <v>3812383124</v>
      </c>
      <c r="D202" s="779" t="s">
        <v>1906</v>
      </c>
    </row>
    <row r="203" spans="1:4" x14ac:dyDescent="0.3">
      <c r="A203" s="783">
        <v>8196</v>
      </c>
      <c r="B203" s="780" t="s">
        <v>1907</v>
      </c>
      <c r="C203" s="784"/>
      <c r="D203" s="781" t="s">
        <v>1908</v>
      </c>
    </row>
    <row r="204" spans="1:4" x14ac:dyDescent="0.3">
      <c r="A204" s="783">
        <v>8197</v>
      </c>
      <c r="B204" s="780" t="s">
        <v>1909</v>
      </c>
      <c r="C204" s="784">
        <v>9436120559</v>
      </c>
      <c r="D204" s="779"/>
    </row>
    <row r="205" spans="1:4" x14ac:dyDescent="0.3">
      <c r="A205" s="783">
        <v>8198</v>
      </c>
      <c r="B205" s="780" t="s">
        <v>1910</v>
      </c>
      <c r="C205" s="784">
        <v>3812328901</v>
      </c>
      <c r="D205" s="779" t="s">
        <v>1911</v>
      </c>
    </row>
    <row r="206" spans="1:4" x14ac:dyDescent="0.3">
      <c r="A206" s="783">
        <v>8207</v>
      </c>
      <c r="B206" s="780" t="s">
        <v>1912</v>
      </c>
      <c r="C206" s="784">
        <v>3812353581</v>
      </c>
      <c r="D206" s="779" t="s">
        <v>1913</v>
      </c>
    </row>
    <row r="207" spans="1:4" x14ac:dyDescent="0.3">
      <c r="A207" s="783">
        <v>8225</v>
      </c>
      <c r="B207" s="780" t="s">
        <v>1914</v>
      </c>
      <c r="C207" s="784">
        <v>3812516437</v>
      </c>
      <c r="D207" s="779"/>
    </row>
    <row r="208" spans="1:4" x14ac:dyDescent="0.3">
      <c r="A208" s="783">
        <v>8227</v>
      </c>
      <c r="B208" s="780" t="s">
        <v>1915</v>
      </c>
      <c r="C208" s="784">
        <v>9774554660</v>
      </c>
      <c r="D208" s="779" t="s">
        <v>701</v>
      </c>
    </row>
    <row r="209" spans="1:4" x14ac:dyDescent="0.3">
      <c r="A209" s="783">
        <v>8228</v>
      </c>
      <c r="B209" s="780" t="s">
        <v>1916</v>
      </c>
      <c r="C209" s="784">
        <v>9436183270</v>
      </c>
      <c r="D209" s="779"/>
    </row>
    <row r="210" spans="1:4" x14ac:dyDescent="0.3">
      <c r="A210" s="783">
        <v>8229</v>
      </c>
      <c r="B210" s="780" t="s">
        <v>1917</v>
      </c>
      <c r="C210" s="784"/>
      <c r="D210" s="779"/>
    </row>
    <row r="211" spans="1:4" x14ac:dyDescent="0.3">
      <c r="A211" s="783">
        <v>8230</v>
      </c>
      <c r="B211" s="780" t="s">
        <v>1918</v>
      </c>
      <c r="C211" s="784">
        <v>3812411011</v>
      </c>
      <c r="D211" s="779"/>
    </row>
    <row r="212" spans="1:4" x14ac:dyDescent="0.3">
      <c r="A212" s="783">
        <v>8234</v>
      </c>
      <c r="B212" s="780" t="s">
        <v>1919</v>
      </c>
      <c r="C212" s="784">
        <v>8787757372</v>
      </c>
      <c r="D212" s="779" t="s">
        <v>1920</v>
      </c>
    </row>
    <row r="213" spans="1:4" x14ac:dyDescent="0.3">
      <c r="A213" s="783">
        <v>8237</v>
      </c>
      <c r="B213" s="780" t="s">
        <v>1921</v>
      </c>
      <c r="C213" s="784">
        <v>3812354867</v>
      </c>
      <c r="D213" s="779" t="s">
        <v>707</v>
      </c>
    </row>
    <row r="214" spans="1:4" x14ac:dyDescent="0.3">
      <c r="A214" s="783">
        <v>8240</v>
      </c>
      <c r="B214" s="780" t="s">
        <v>1922</v>
      </c>
      <c r="C214" s="784">
        <v>3812516625</v>
      </c>
      <c r="D214" s="779"/>
    </row>
    <row r="215" spans="1:4" x14ac:dyDescent="0.3">
      <c r="A215" s="783">
        <v>8241</v>
      </c>
      <c r="B215" s="780" t="s">
        <v>1923</v>
      </c>
      <c r="C215" s="784">
        <v>3812326020</v>
      </c>
      <c r="D215" s="779"/>
    </row>
    <row r="216" spans="1:4" x14ac:dyDescent="0.3">
      <c r="A216" s="783">
        <v>8244</v>
      </c>
      <c r="B216" s="780" t="s">
        <v>1924</v>
      </c>
      <c r="C216" s="784">
        <v>9436486282</v>
      </c>
      <c r="D216" s="779"/>
    </row>
    <row r="217" spans="1:4" x14ac:dyDescent="0.3">
      <c r="A217" s="783">
        <v>8252</v>
      </c>
      <c r="B217" s="780" t="s">
        <v>1925</v>
      </c>
      <c r="C217" s="784">
        <v>3812326645</v>
      </c>
      <c r="D217" s="779"/>
    </row>
    <row r="218" spans="1:4" x14ac:dyDescent="0.3">
      <c r="A218" s="783">
        <v>8290</v>
      </c>
      <c r="B218" s="780" t="s">
        <v>1926</v>
      </c>
      <c r="C218" s="784">
        <v>3812325574</v>
      </c>
      <c r="D218" s="779" t="s">
        <v>712</v>
      </c>
    </row>
    <row r="219" spans="1:4" x14ac:dyDescent="0.3">
      <c r="A219" s="783">
        <v>8313</v>
      </c>
      <c r="B219" s="780" t="s">
        <v>1927</v>
      </c>
      <c r="C219" s="784">
        <v>9436128319</v>
      </c>
      <c r="D219" s="779" t="s">
        <v>1928</v>
      </c>
    </row>
    <row r="220" spans="1:4" x14ac:dyDescent="0.3">
      <c r="A220" s="783">
        <v>8342</v>
      </c>
      <c r="B220" s="780" t="s">
        <v>1929</v>
      </c>
      <c r="C220" s="784">
        <v>9436451966</v>
      </c>
      <c r="D220" s="779" t="s">
        <v>1930</v>
      </c>
    </row>
    <row r="221" spans="1:4" x14ac:dyDescent="0.3">
      <c r="A221" s="783">
        <v>8390</v>
      </c>
      <c r="B221" s="780" t="s">
        <v>1931</v>
      </c>
      <c r="C221" s="784">
        <v>3812370295</v>
      </c>
      <c r="D221" s="779" t="s">
        <v>1932</v>
      </c>
    </row>
    <row r="222" spans="1:4" x14ac:dyDescent="0.3">
      <c r="A222" s="783">
        <v>9021</v>
      </c>
      <c r="B222" s="780" t="s">
        <v>1933</v>
      </c>
      <c r="C222" s="784">
        <v>2327857</v>
      </c>
      <c r="D222" s="779" t="s">
        <v>1934</v>
      </c>
    </row>
    <row r="223" spans="1:4" x14ac:dyDescent="0.3">
      <c r="A223" s="783">
        <v>9034</v>
      </c>
      <c r="B223" s="780" t="s">
        <v>1935</v>
      </c>
      <c r="C223" s="784">
        <v>9436501244</v>
      </c>
      <c r="D223" s="779" t="s">
        <v>1936</v>
      </c>
    </row>
    <row r="224" spans="1:4" x14ac:dyDescent="0.3">
      <c r="A224" s="783">
        <v>9161</v>
      </c>
      <c r="B224" s="780" t="s">
        <v>1937</v>
      </c>
      <c r="C224" s="784">
        <v>2325734</v>
      </c>
      <c r="D224" s="779"/>
    </row>
    <row r="225" spans="1:4" x14ac:dyDescent="0.3">
      <c r="A225" s="783">
        <v>9195</v>
      </c>
      <c r="B225" s="780" t="s">
        <v>1938</v>
      </c>
      <c r="C225" s="784"/>
      <c r="D225" s="779"/>
    </row>
    <row r="226" spans="1:4" x14ac:dyDescent="0.3">
      <c r="A226" s="783">
        <v>9198</v>
      </c>
      <c r="B226" s="780" t="s">
        <v>1939</v>
      </c>
      <c r="C226" s="784">
        <v>9436581875</v>
      </c>
      <c r="D226" s="779"/>
    </row>
    <row r="227" spans="1:4" x14ac:dyDescent="0.3">
      <c r="A227" s="783">
        <v>9199</v>
      </c>
      <c r="B227" s="780" t="s">
        <v>1940</v>
      </c>
      <c r="C227" s="784">
        <v>9436928226</v>
      </c>
      <c r="D227" s="779" t="s">
        <v>1941</v>
      </c>
    </row>
    <row r="228" spans="1:4" x14ac:dyDescent="0.3">
      <c r="A228" s="783">
        <v>9200</v>
      </c>
      <c r="B228" s="780" t="s">
        <v>1942</v>
      </c>
      <c r="C228" s="784">
        <v>9774516275</v>
      </c>
      <c r="D228" s="779"/>
    </row>
    <row r="229" spans="1:4" x14ac:dyDescent="0.3">
      <c r="A229" s="783">
        <v>9201</v>
      </c>
      <c r="B229" s="780" t="s">
        <v>1943</v>
      </c>
      <c r="C229" s="784">
        <v>9436138434</v>
      </c>
      <c r="D229" s="779" t="s">
        <v>1944</v>
      </c>
    </row>
    <row r="230" spans="1:4" x14ac:dyDescent="0.3">
      <c r="A230" s="783">
        <v>9202</v>
      </c>
      <c r="B230" s="780" t="s">
        <v>1945</v>
      </c>
      <c r="C230" s="784">
        <v>9436592820</v>
      </c>
      <c r="D230" s="779"/>
    </row>
    <row r="231" spans="1:4" x14ac:dyDescent="0.3">
      <c r="A231" s="783">
        <v>9203</v>
      </c>
      <c r="B231" s="780" t="s">
        <v>1946</v>
      </c>
      <c r="C231" s="784">
        <v>9856033475</v>
      </c>
      <c r="D231" s="779"/>
    </row>
    <row r="232" spans="1:4" x14ac:dyDescent="0.3">
      <c r="A232" s="783">
        <v>9204</v>
      </c>
      <c r="B232" s="780" t="s">
        <v>1947</v>
      </c>
      <c r="C232" s="784">
        <v>8974840528</v>
      </c>
      <c r="D232" s="779" t="s">
        <v>1948</v>
      </c>
    </row>
    <row r="233" spans="1:4" x14ac:dyDescent="0.3">
      <c r="A233" s="783">
        <v>9205</v>
      </c>
      <c r="B233" s="780" t="s">
        <v>1949</v>
      </c>
      <c r="C233" s="784">
        <v>9436457790</v>
      </c>
      <c r="D233" s="779" t="s">
        <v>1950</v>
      </c>
    </row>
    <row r="234" spans="1:4" x14ac:dyDescent="0.3">
      <c r="A234" s="783">
        <v>9206</v>
      </c>
      <c r="B234" s="780" t="s">
        <v>1951</v>
      </c>
      <c r="C234" s="784">
        <v>9436556212</v>
      </c>
      <c r="D234" s="779"/>
    </row>
    <row r="235" spans="1:4" x14ac:dyDescent="0.3">
      <c r="A235" s="783">
        <v>9207</v>
      </c>
      <c r="B235" s="780" t="s">
        <v>1952</v>
      </c>
      <c r="C235" s="784">
        <v>9436546748</v>
      </c>
      <c r="D235" s="779"/>
    </row>
    <row r="236" spans="1:4" x14ac:dyDescent="0.3">
      <c r="A236" s="783">
        <v>9208</v>
      </c>
      <c r="B236" s="780" t="s">
        <v>1953</v>
      </c>
      <c r="C236" s="784">
        <v>9436458294</v>
      </c>
      <c r="D236" s="779"/>
    </row>
    <row r="237" spans="1:4" x14ac:dyDescent="0.3">
      <c r="A237" s="783">
        <v>9209</v>
      </c>
      <c r="B237" s="780" t="s">
        <v>1954</v>
      </c>
      <c r="C237" s="784">
        <v>9774014209</v>
      </c>
      <c r="D237" s="779"/>
    </row>
    <row r="238" spans="1:4" x14ac:dyDescent="0.3">
      <c r="A238" s="783">
        <v>9210</v>
      </c>
      <c r="B238" s="780" t="s">
        <v>1955</v>
      </c>
      <c r="C238" s="784">
        <v>9436129900</v>
      </c>
      <c r="D238" s="779" t="s">
        <v>1956</v>
      </c>
    </row>
    <row r="239" spans="1:4" x14ac:dyDescent="0.3">
      <c r="A239" s="783">
        <v>9211</v>
      </c>
      <c r="B239" s="780" t="s">
        <v>1957</v>
      </c>
      <c r="C239" s="784">
        <v>9436454333</v>
      </c>
      <c r="D239" s="779"/>
    </row>
    <row r="240" spans="1:4" x14ac:dyDescent="0.3">
      <c r="A240" s="783">
        <v>9212</v>
      </c>
      <c r="B240" s="780" t="s">
        <v>1958</v>
      </c>
      <c r="C240" s="784">
        <v>9856241730</v>
      </c>
      <c r="D240" s="779"/>
    </row>
    <row r="241" spans="1:4" x14ac:dyDescent="0.3">
      <c r="A241" s="783">
        <v>9213</v>
      </c>
      <c r="B241" s="780" t="s">
        <v>1959</v>
      </c>
      <c r="C241" s="784">
        <v>9436538639</v>
      </c>
      <c r="D241" s="779" t="s">
        <v>1960</v>
      </c>
    </row>
    <row r="242" spans="1:4" x14ac:dyDescent="0.3">
      <c r="A242" s="783">
        <v>9214</v>
      </c>
      <c r="B242" s="780" t="s">
        <v>1961</v>
      </c>
      <c r="C242" s="784">
        <v>9436127202</v>
      </c>
      <c r="D242" s="779"/>
    </row>
    <row r="243" spans="1:4" x14ac:dyDescent="0.3">
      <c r="A243" s="783">
        <v>9215</v>
      </c>
      <c r="B243" s="780" t="s">
        <v>1962</v>
      </c>
      <c r="C243" s="784">
        <v>9436127327</v>
      </c>
      <c r="D243" s="779" t="s">
        <v>1963</v>
      </c>
    </row>
    <row r="244" spans="1:4" x14ac:dyDescent="0.3">
      <c r="A244" s="783">
        <v>9216</v>
      </c>
      <c r="B244" s="780" t="s">
        <v>1964</v>
      </c>
      <c r="C244" s="784">
        <v>9436451257</v>
      </c>
      <c r="D244" s="779" t="s">
        <v>1965</v>
      </c>
    </row>
    <row r="245" spans="1:4" x14ac:dyDescent="0.3">
      <c r="A245" s="783">
        <v>9217</v>
      </c>
      <c r="B245" s="780" t="s">
        <v>1966</v>
      </c>
      <c r="C245" s="784">
        <v>9856241730</v>
      </c>
      <c r="D245" s="779"/>
    </row>
    <row r="246" spans="1:4" x14ac:dyDescent="0.3">
      <c r="A246" s="783">
        <v>9218</v>
      </c>
      <c r="B246" s="780" t="s">
        <v>1967</v>
      </c>
      <c r="C246" s="784">
        <v>9402140140</v>
      </c>
      <c r="D246" s="779"/>
    </row>
    <row r="247" spans="1:4" x14ac:dyDescent="0.3">
      <c r="A247" s="783">
        <v>9219</v>
      </c>
      <c r="B247" s="780" t="s">
        <v>1968</v>
      </c>
      <c r="C247" s="784">
        <v>9436581463</v>
      </c>
      <c r="D247" s="779"/>
    </row>
    <row r="248" spans="1:4" x14ac:dyDescent="0.3">
      <c r="A248" s="783">
        <v>9220</v>
      </c>
      <c r="B248" s="780" t="s">
        <v>1969</v>
      </c>
      <c r="C248" s="784">
        <v>9436133433</v>
      </c>
      <c r="D248" s="779" t="s">
        <v>1970</v>
      </c>
    </row>
    <row r="249" spans="1:4" x14ac:dyDescent="0.3">
      <c r="A249" s="783">
        <v>9221</v>
      </c>
      <c r="B249" s="780" t="s">
        <v>1971</v>
      </c>
      <c r="C249" s="784">
        <v>9436188406</v>
      </c>
      <c r="D249" s="779" t="s">
        <v>1972</v>
      </c>
    </row>
    <row r="250" spans="1:4" x14ac:dyDescent="0.3">
      <c r="A250" s="783">
        <v>9222</v>
      </c>
      <c r="B250" s="780" t="s">
        <v>1973</v>
      </c>
      <c r="C250" s="784">
        <v>9436595755</v>
      </c>
      <c r="D250" s="779" t="s">
        <v>1974</v>
      </c>
    </row>
    <row r="251" spans="1:4" x14ac:dyDescent="0.3">
      <c r="A251" s="783">
        <v>9223</v>
      </c>
      <c r="B251" s="780" t="s">
        <v>1975</v>
      </c>
      <c r="C251" s="784">
        <v>9436541512</v>
      </c>
      <c r="D251" s="779"/>
    </row>
    <row r="252" spans="1:4" x14ac:dyDescent="0.3">
      <c r="A252" s="783">
        <v>9224</v>
      </c>
      <c r="B252" s="780" t="s">
        <v>1976</v>
      </c>
      <c r="C252" s="784">
        <v>9862470608</v>
      </c>
      <c r="D252" s="779" t="s">
        <v>1977</v>
      </c>
    </row>
    <row r="253" spans="1:4" x14ac:dyDescent="0.3">
      <c r="A253" s="783">
        <v>9225</v>
      </c>
      <c r="B253" s="780" t="s">
        <v>1978</v>
      </c>
      <c r="C253" s="784">
        <v>9436926396</v>
      </c>
      <c r="D253" s="779"/>
    </row>
    <row r="254" spans="1:4" x14ac:dyDescent="0.3">
      <c r="A254" s="783">
        <v>10009</v>
      </c>
      <c r="B254" s="780" t="s">
        <v>1979</v>
      </c>
      <c r="C254" s="784">
        <v>9436481203</v>
      </c>
      <c r="D254" s="779"/>
    </row>
    <row r="255" spans="1:4" x14ac:dyDescent="0.3">
      <c r="A255" s="783">
        <v>10010</v>
      </c>
      <c r="B255" s="780" t="s">
        <v>1980</v>
      </c>
      <c r="C255" s="784">
        <v>9856552250</v>
      </c>
      <c r="D255" s="779"/>
    </row>
    <row r="256" spans="1:4" x14ac:dyDescent="0.3">
      <c r="A256" s="783">
        <v>10011</v>
      </c>
      <c r="B256" s="780" t="s">
        <v>1981</v>
      </c>
      <c r="C256" s="784">
        <v>3812750237</v>
      </c>
      <c r="D256" s="779"/>
    </row>
    <row r="257" spans="1:4" x14ac:dyDescent="0.3">
      <c r="A257" s="783">
        <v>10013</v>
      </c>
      <c r="B257" s="780" t="s">
        <v>1982</v>
      </c>
      <c r="C257" s="784">
        <v>9856590578</v>
      </c>
      <c r="D257" s="779"/>
    </row>
    <row r="258" spans="1:4" x14ac:dyDescent="0.3">
      <c r="A258" s="783">
        <v>10014</v>
      </c>
      <c r="B258" s="780" t="s">
        <v>1983</v>
      </c>
      <c r="C258" s="784">
        <v>8119851874</v>
      </c>
      <c r="D258" s="779"/>
    </row>
    <row r="259" spans="1:4" x14ac:dyDescent="0.3">
      <c r="A259" s="783">
        <v>10015</v>
      </c>
      <c r="B259" s="780" t="s">
        <v>1984</v>
      </c>
      <c r="C259" s="784">
        <v>8131035378</v>
      </c>
      <c r="D259" s="779"/>
    </row>
    <row r="260" spans="1:4" x14ac:dyDescent="0.3">
      <c r="A260" s="783">
        <v>10016</v>
      </c>
      <c r="B260" s="780" t="s">
        <v>1985</v>
      </c>
      <c r="C260" s="784">
        <v>8575104991</v>
      </c>
      <c r="D260" s="779"/>
    </row>
    <row r="261" spans="1:4" x14ac:dyDescent="0.3">
      <c r="A261" s="783">
        <v>10017</v>
      </c>
      <c r="B261" s="780" t="s">
        <v>1986</v>
      </c>
      <c r="C261" s="784">
        <v>9436490603</v>
      </c>
      <c r="D261" s="779" t="s">
        <v>1987</v>
      </c>
    </row>
    <row r="262" spans="1:4" x14ac:dyDescent="0.3">
      <c r="A262" s="783">
        <v>10018</v>
      </c>
      <c r="B262" s="780" t="s">
        <v>1988</v>
      </c>
      <c r="C262" s="784">
        <v>9436503206</v>
      </c>
      <c r="D262" s="779"/>
    </row>
    <row r="263" spans="1:4" x14ac:dyDescent="0.3">
      <c r="A263" s="783">
        <v>10019</v>
      </c>
      <c r="B263" s="780" t="s">
        <v>1989</v>
      </c>
      <c r="C263" s="784">
        <v>9856918148</v>
      </c>
      <c r="D263" s="779"/>
    </row>
    <row r="264" spans="1:4" x14ac:dyDescent="0.3">
      <c r="A264" s="783">
        <v>10020</v>
      </c>
      <c r="B264" s="780" t="s">
        <v>1990</v>
      </c>
      <c r="C264" s="784">
        <v>8414009249</v>
      </c>
      <c r="D264" s="779"/>
    </row>
    <row r="265" spans="1:4" x14ac:dyDescent="0.3">
      <c r="A265" s="783">
        <v>10021</v>
      </c>
      <c r="B265" s="780" t="s">
        <v>1991</v>
      </c>
      <c r="C265" s="784">
        <v>9615073146</v>
      </c>
      <c r="D265" s="779"/>
    </row>
    <row r="266" spans="1:4" x14ac:dyDescent="0.3">
      <c r="A266" s="783">
        <v>10022</v>
      </c>
      <c r="B266" s="780" t="s">
        <v>1992</v>
      </c>
      <c r="C266" s="784">
        <v>9862777379</v>
      </c>
      <c r="D266" s="779"/>
    </row>
    <row r="267" spans="1:4" x14ac:dyDescent="0.3">
      <c r="A267" s="783">
        <v>10023</v>
      </c>
      <c r="B267" s="780" t="s">
        <v>1993</v>
      </c>
      <c r="C267" s="784">
        <v>9436462302</v>
      </c>
      <c r="D267" s="779" t="s">
        <v>1994</v>
      </c>
    </row>
    <row r="268" spans="1:4" x14ac:dyDescent="0.3">
      <c r="A268" s="783">
        <v>10024</v>
      </c>
      <c r="B268" s="780" t="s">
        <v>1995</v>
      </c>
      <c r="C268" s="784"/>
      <c r="D268" s="781" t="s">
        <v>1996</v>
      </c>
    </row>
    <row r="269" spans="1:4" x14ac:dyDescent="0.3">
      <c r="A269" s="783">
        <v>10025</v>
      </c>
      <c r="B269" s="780" t="s">
        <v>1997</v>
      </c>
      <c r="C269" s="784">
        <v>9862299129</v>
      </c>
      <c r="D269" s="779"/>
    </row>
    <row r="270" spans="1:4" x14ac:dyDescent="0.3">
      <c r="A270" s="783">
        <v>10026</v>
      </c>
      <c r="B270" s="780" t="s">
        <v>1998</v>
      </c>
      <c r="C270" s="784">
        <v>9436503206</v>
      </c>
      <c r="D270" s="781" t="s">
        <v>1999</v>
      </c>
    </row>
    <row r="271" spans="1:4" x14ac:dyDescent="0.3">
      <c r="A271" s="783">
        <v>10027</v>
      </c>
      <c r="B271" s="780" t="s">
        <v>2000</v>
      </c>
      <c r="C271" s="784">
        <v>9774567344</v>
      </c>
      <c r="D271" s="779"/>
    </row>
    <row r="272" spans="1:4" x14ac:dyDescent="0.3">
      <c r="A272" s="783">
        <v>10028</v>
      </c>
      <c r="B272" s="780" t="s">
        <v>2001</v>
      </c>
      <c r="C272" s="784">
        <v>9436505500</v>
      </c>
      <c r="D272" s="779"/>
    </row>
    <row r="273" spans="1:4" x14ac:dyDescent="0.3">
      <c r="A273" s="783">
        <v>10029</v>
      </c>
      <c r="B273" s="780" t="s">
        <v>2002</v>
      </c>
      <c r="C273" s="784">
        <v>9774502793</v>
      </c>
      <c r="D273" s="779"/>
    </row>
    <row r="274" spans="1:4" x14ac:dyDescent="0.3">
      <c r="A274" s="783">
        <v>10030</v>
      </c>
      <c r="B274" s="780" t="s">
        <v>2003</v>
      </c>
      <c r="C274" s="784">
        <v>9436127321</v>
      </c>
      <c r="D274" s="779" t="s">
        <v>2004</v>
      </c>
    </row>
    <row r="275" spans="1:4" x14ac:dyDescent="0.3">
      <c r="A275" s="783">
        <v>10031</v>
      </c>
      <c r="B275" s="780" t="s">
        <v>2005</v>
      </c>
      <c r="C275" s="784">
        <v>9436486347</v>
      </c>
      <c r="D275" s="779" t="s">
        <v>2006</v>
      </c>
    </row>
    <row r="276" spans="1:4" x14ac:dyDescent="0.3">
      <c r="A276" s="783">
        <v>10032</v>
      </c>
      <c r="B276" s="780" t="s">
        <v>2007</v>
      </c>
      <c r="C276" s="784">
        <v>9436471929</v>
      </c>
      <c r="D276" s="779"/>
    </row>
    <row r="277" spans="1:4" x14ac:dyDescent="0.3">
      <c r="A277" s="783">
        <v>10033</v>
      </c>
      <c r="B277" s="780" t="s">
        <v>2008</v>
      </c>
      <c r="C277" s="784">
        <v>8414956319</v>
      </c>
      <c r="D277" s="779"/>
    </row>
    <row r="278" spans="1:4" x14ac:dyDescent="0.3">
      <c r="A278" s="783">
        <v>10034</v>
      </c>
      <c r="B278" s="780" t="s">
        <v>2009</v>
      </c>
      <c r="C278" s="784">
        <v>9862135814</v>
      </c>
      <c r="D278" s="779" t="s">
        <v>2010</v>
      </c>
    </row>
    <row r="279" spans="1:4" x14ac:dyDescent="0.3">
      <c r="A279" s="783">
        <v>10035</v>
      </c>
      <c r="B279" s="780" t="s">
        <v>2011</v>
      </c>
      <c r="C279" s="784">
        <v>3812750237</v>
      </c>
      <c r="D279" s="779" t="s">
        <v>2012</v>
      </c>
    </row>
    <row r="280" spans="1:4" x14ac:dyDescent="0.3">
      <c r="A280" s="783">
        <v>10037</v>
      </c>
      <c r="B280" s="780" t="s">
        <v>2013</v>
      </c>
      <c r="C280" s="784">
        <v>9436794946</v>
      </c>
      <c r="D280" s="779"/>
    </row>
    <row r="281" spans="1:4" x14ac:dyDescent="0.3">
      <c r="A281" s="783">
        <v>10046</v>
      </c>
      <c r="B281" s="780" t="s">
        <v>2014</v>
      </c>
      <c r="C281" s="784">
        <v>3812750237</v>
      </c>
      <c r="D281" s="779"/>
    </row>
    <row r="282" spans="1:4" x14ac:dyDescent="0.3">
      <c r="A282" s="783">
        <v>10049</v>
      </c>
      <c r="B282" s="780" t="s">
        <v>2015</v>
      </c>
      <c r="C282" s="784">
        <v>9089886982</v>
      </c>
      <c r="D282" s="779"/>
    </row>
    <row r="283" spans="1:4" x14ac:dyDescent="0.3">
      <c r="A283" s="783">
        <v>10055</v>
      </c>
      <c r="B283" s="780" t="s">
        <v>2016</v>
      </c>
      <c r="C283" s="784">
        <v>9436133158</v>
      </c>
      <c r="D283" s="779"/>
    </row>
    <row r="284" spans="1:4" x14ac:dyDescent="0.3">
      <c r="A284" s="783">
        <v>10056</v>
      </c>
      <c r="B284" s="780" t="s">
        <v>2017</v>
      </c>
      <c r="C284" s="784">
        <v>8575532646</v>
      </c>
      <c r="D284" s="779"/>
    </row>
    <row r="285" spans="1:4" x14ac:dyDescent="0.3">
      <c r="A285" s="783">
        <v>10057</v>
      </c>
      <c r="B285" s="780" t="s">
        <v>2018</v>
      </c>
      <c r="C285" s="784">
        <v>9436553917</v>
      </c>
      <c r="D285" s="779"/>
    </row>
    <row r="286" spans="1:4" x14ac:dyDescent="0.3">
      <c r="A286" s="783">
        <v>10059</v>
      </c>
      <c r="B286" s="780" t="s">
        <v>2019</v>
      </c>
      <c r="C286" s="784">
        <v>9402133549</v>
      </c>
      <c r="D286" s="779"/>
    </row>
    <row r="287" spans="1:4" x14ac:dyDescent="0.3">
      <c r="A287" s="783">
        <v>10061</v>
      </c>
      <c r="B287" s="780" t="s">
        <v>2020</v>
      </c>
      <c r="C287" s="784">
        <v>9856551521</v>
      </c>
      <c r="D287" s="779"/>
    </row>
    <row r="288" spans="1:4" x14ac:dyDescent="0.3">
      <c r="A288" s="783">
        <v>10062</v>
      </c>
      <c r="B288" s="780" t="s">
        <v>2021</v>
      </c>
      <c r="C288" s="784">
        <v>8730902507</v>
      </c>
      <c r="D288" s="779"/>
    </row>
    <row r="289" spans="1:4" x14ac:dyDescent="0.3">
      <c r="A289" s="783">
        <v>10063</v>
      </c>
      <c r="B289" s="780" t="s">
        <v>2022</v>
      </c>
      <c r="C289" s="784">
        <v>3812375023</v>
      </c>
      <c r="D289" s="779"/>
    </row>
    <row r="290" spans="1:4" x14ac:dyDescent="0.3">
      <c r="A290" s="783">
        <v>10064</v>
      </c>
      <c r="B290" s="780" t="s">
        <v>2023</v>
      </c>
      <c r="C290" s="784">
        <v>9436580323</v>
      </c>
      <c r="D290" s="779"/>
    </row>
    <row r="291" spans="1:4" x14ac:dyDescent="0.3">
      <c r="A291" s="783">
        <v>10067</v>
      </c>
      <c r="B291" s="780" t="s">
        <v>2024</v>
      </c>
      <c r="C291" s="784">
        <v>9436456733</v>
      </c>
      <c r="D291" s="779" t="s">
        <v>2025</v>
      </c>
    </row>
    <row r="292" spans="1:4" x14ac:dyDescent="0.3">
      <c r="A292" s="783">
        <v>10068</v>
      </c>
      <c r="B292" s="780" t="s">
        <v>2026</v>
      </c>
      <c r="C292" s="784">
        <v>9436455648</v>
      </c>
      <c r="D292" s="779"/>
    </row>
    <row r="293" spans="1:4" x14ac:dyDescent="0.3">
      <c r="A293" s="783">
        <v>10099</v>
      </c>
      <c r="B293" s="780" t="s">
        <v>2027</v>
      </c>
      <c r="C293" s="784">
        <v>3812750252</v>
      </c>
      <c r="D293" s="779"/>
    </row>
    <row r="294" spans="1:4" x14ac:dyDescent="0.3">
      <c r="A294" s="783">
        <v>11005</v>
      </c>
      <c r="B294" s="780" t="s">
        <v>2028</v>
      </c>
      <c r="C294" s="784">
        <v>9612951624</v>
      </c>
      <c r="D294" s="779"/>
    </row>
    <row r="295" spans="1:4" x14ac:dyDescent="0.3">
      <c r="A295" s="783">
        <v>11016</v>
      </c>
      <c r="B295" s="780" t="s">
        <v>2029</v>
      </c>
      <c r="C295" s="784">
        <v>3821222472</v>
      </c>
      <c r="D295" s="779" t="s">
        <v>2030</v>
      </c>
    </row>
    <row r="296" spans="1:4" x14ac:dyDescent="0.3">
      <c r="A296" s="783">
        <v>11038</v>
      </c>
      <c r="B296" s="780" t="s">
        <v>2031</v>
      </c>
      <c r="C296" s="784">
        <v>9436131714</v>
      </c>
      <c r="D296" s="779" t="s">
        <v>2032</v>
      </c>
    </row>
    <row r="297" spans="1:4" x14ac:dyDescent="0.3">
      <c r="A297" s="783">
        <v>11039</v>
      </c>
      <c r="B297" s="780" t="s">
        <v>2033</v>
      </c>
      <c r="C297" s="784">
        <v>9612673196</v>
      </c>
      <c r="D297" s="779" t="s">
        <v>2034</v>
      </c>
    </row>
    <row r="298" spans="1:4" x14ac:dyDescent="0.3">
      <c r="A298" s="783">
        <v>11040</v>
      </c>
      <c r="B298" s="780" t="s">
        <v>2035</v>
      </c>
      <c r="C298" s="784">
        <v>9436502718</v>
      </c>
      <c r="D298" s="779" t="s">
        <v>2036</v>
      </c>
    </row>
    <row r="299" spans="1:4" x14ac:dyDescent="0.3">
      <c r="A299" s="783">
        <v>11041</v>
      </c>
      <c r="B299" s="780" t="s">
        <v>2037</v>
      </c>
      <c r="C299" s="784">
        <v>9856777321</v>
      </c>
      <c r="D299" s="779"/>
    </row>
    <row r="300" spans="1:4" x14ac:dyDescent="0.3">
      <c r="A300" s="783">
        <v>11042</v>
      </c>
      <c r="B300" s="780" t="s">
        <v>2038</v>
      </c>
      <c r="C300" s="784">
        <v>9436456058</v>
      </c>
      <c r="D300" s="779" t="s">
        <v>2039</v>
      </c>
    </row>
    <row r="301" spans="1:4" x14ac:dyDescent="0.3">
      <c r="A301" s="783">
        <v>11043</v>
      </c>
      <c r="B301" s="780" t="s">
        <v>2040</v>
      </c>
      <c r="C301" s="784">
        <v>9436498863</v>
      </c>
      <c r="D301" s="779" t="s">
        <v>2041</v>
      </c>
    </row>
    <row r="302" spans="1:4" x14ac:dyDescent="0.3">
      <c r="A302" s="783">
        <v>11044</v>
      </c>
      <c r="B302" s="780" t="s">
        <v>2042</v>
      </c>
      <c r="C302" s="784">
        <v>9862430875</v>
      </c>
      <c r="D302" s="779"/>
    </row>
    <row r="303" spans="1:4" x14ac:dyDescent="0.3">
      <c r="A303" s="783">
        <v>11045</v>
      </c>
      <c r="B303" s="780" t="s">
        <v>2043</v>
      </c>
      <c r="C303" s="784">
        <v>9436470913</v>
      </c>
      <c r="D303" s="779" t="s">
        <v>2044</v>
      </c>
    </row>
    <row r="304" spans="1:4" x14ac:dyDescent="0.3">
      <c r="A304" s="783">
        <v>11046</v>
      </c>
      <c r="B304" s="780" t="s">
        <v>2045</v>
      </c>
      <c r="C304" s="784">
        <v>9436471084</v>
      </c>
      <c r="D304" s="779" t="s">
        <v>2046</v>
      </c>
    </row>
    <row r="305" spans="1:4" x14ac:dyDescent="0.3">
      <c r="A305" s="783">
        <v>11047</v>
      </c>
      <c r="B305" s="780" t="s">
        <v>2047</v>
      </c>
      <c r="C305" s="784">
        <v>9436471941</v>
      </c>
      <c r="D305" s="779" t="s">
        <v>2048</v>
      </c>
    </row>
    <row r="306" spans="1:4" x14ac:dyDescent="0.3">
      <c r="A306" s="783">
        <v>11048</v>
      </c>
      <c r="B306" s="780" t="s">
        <v>2049</v>
      </c>
      <c r="C306" s="784">
        <v>9612221595</v>
      </c>
      <c r="D306" s="779"/>
    </row>
    <row r="307" spans="1:4" x14ac:dyDescent="0.3">
      <c r="A307" s="783">
        <v>11049</v>
      </c>
      <c r="B307" s="780" t="s">
        <v>2050</v>
      </c>
      <c r="C307" s="784">
        <v>9436491417</v>
      </c>
      <c r="D307" s="779" t="s">
        <v>2051</v>
      </c>
    </row>
    <row r="308" spans="1:4" x14ac:dyDescent="0.3">
      <c r="A308" s="783">
        <v>11050</v>
      </c>
      <c r="B308" s="780" t="s">
        <v>2052</v>
      </c>
      <c r="C308" s="784">
        <v>9436520037</v>
      </c>
      <c r="D308" s="779"/>
    </row>
    <row r="309" spans="1:4" x14ac:dyDescent="0.3">
      <c r="A309" s="783">
        <v>11051</v>
      </c>
      <c r="B309" s="780" t="s">
        <v>2053</v>
      </c>
      <c r="C309" s="784">
        <v>9612340403</v>
      </c>
      <c r="D309" s="779" t="s">
        <v>2054</v>
      </c>
    </row>
    <row r="310" spans="1:4" x14ac:dyDescent="0.3">
      <c r="A310" s="783">
        <v>11052</v>
      </c>
      <c r="B310" s="780" t="s">
        <v>2055</v>
      </c>
      <c r="C310" s="784">
        <v>9436471694</v>
      </c>
      <c r="D310" s="779" t="s">
        <v>2056</v>
      </c>
    </row>
    <row r="311" spans="1:4" x14ac:dyDescent="0.3">
      <c r="A311" s="783">
        <v>11053</v>
      </c>
      <c r="B311" s="780" t="s">
        <v>2057</v>
      </c>
      <c r="C311" s="784">
        <v>9436470642</v>
      </c>
      <c r="D311" s="779"/>
    </row>
    <row r="312" spans="1:4" x14ac:dyDescent="0.3">
      <c r="A312" s="783">
        <v>11054</v>
      </c>
      <c r="B312" s="780" t="s">
        <v>2058</v>
      </c>
      <c r="C312" s="784">
        <v>9436450401</v>
      </c>
      <c r="D312" s="779" t="s">
        <v>2059</v>
      </c>
    </row>
    <row r="313" spans="1:4" x14ac:dyDescent="0.3">
      <c r="A313" s="783">
        <v>11055</v>
      </c>
      <c r="B313" s="780" t="s">
        <v>2060</v>
      </c>
      <c r="C313" s="784"/>
      <c r="D313" s="779"/>
    </row>
    <row r="314" spans="1:4" x14ac:dyDescent="0.3">
      <c r="A314" s="783">
        <v>11056</v>
      </c>
      <c r="B314" s="780" t="s">
        <v>2061</v>
      </c>
      <c r="C314" s="784">
        <v>8132071859</v>
      </c>
      <c r="D314" s="779" t="s">
        <v>2062</v>
      </c>
    </row>
    <row r="315" spans="1:4" x14ac:dyDescent="0.3">
      <c r="A315" s="783">
        <v>11057</v>
      </c>
      <c r="B315" s="780" t="s">
        <v>2063</v>
      </c>
      <c r="C315" s="784">
        <v>9862504501</v>
      </c>
      <c r="D315" s="779" t="s">
        <v>2064</v>
      </c>
    </row>
    <row r="316" spans="1:4" x14ac:dyDescent="0.3">
      <c r="A316" s="783">
        <v>11058</v>
      </c>
      <c r="B316" s="780" t="s">
        <v>2065</v>
      </c>
      <c r="C316" s="784">
        <v>9436470641</v>
      </c>
      <c r="D316" s="779" t="s">
        <v>2066</v>
      </c>
    </row>
    <row r="317" spans="1:4" x14ac:dyDescent="0.3">
      <c r="A317" s="783">
        <v>11059</v>
      </c>
      <c r="B317" s="780" t="s">
        <v>2067</v>
      </c>
      <c r="C317" s="784"/>
      <c r="D317" s="779"/>
    </row>
    <row r="318" spans="1:4" x14ac:dyDescent="0.3">
      <c r="A318" s="783">
        <v>11060</v>
      </c>
      <c r="B318" s="780" t="s">
        <v>2068</v>
      </c>
      <c r="C318" s="784">
        <v>9856676033</v>
      </c>
      <c r="D318" s="779"/>
    </row>
    <row r="319" spans="1:4" x14ac:dyDescent="0.3">
      <c r="A319" s="783">
        <v>11061</v>
      </c>
      <c r="B319" s="780" t="s">
        <v>2069</v>
      </c>
      <c r="C319" s="784">
        <v>9856777321</v>
      </c>
      <c r="D319" s="779"/>
    </row>
    <row r="320" spans="1:4" x14ac:dyDescent="0.3">
      <c r="A320" s="783">
        <v>11062</v>
      </c>
      <c r="B320" s="780" t="s">
        <v>2070</v>
      </c>
      <c r="C320" s="784">
        <v>9436471941</v>
      </c>
      <c r="D320" s="779" t="s">
        <v>2071</v>
      </c>
    </row>
    <row r="321" spans="1:4" x14ac:dyDescent="0.3">
      <c r="A321" s="783">
        <v>11063</v>
      </c>
      <c r="B321" s="780" t="s">
        <v>2072</v>
      </c>
      <c r="C321" s="784">
        <v>9615449413</v>
      </c>
      <c r="D321" s="779"/>
    </row>
    <row r="322" spans="1:4" x14ac:dyDescent="0.3">
      <c r="A322" s="783">
        <v>11064</v>
      </c>
      <c r="B322" s="780" t="s">
        <v>2073</v>
      </c>
      <c r="C322" s="784">
        <v>9436471231</v>
      </c>
      <c r="D322" s="779"/>
    </row>
    <row r="323" spans="1:4" x14ac:dyDescent="0.3">
      <c r="A323" s="783">
        <v>11065</v>
      </c>
      <c r="B323" s="780" t="s">
        <v>2074</v>
      </c>
      <c r="C323" s="784">
        <v>9436470910</v>
      </c>
      <c r="D323" s="781" t="s">
        <v>2075</v>
      </c>
    </row>
    <row r="324" spans="1:4" x14ac:dyDescent="0.3">
      <c r="A324" s="783">
        <v>11066</v>
      </c>
      <c r="B324" s="780" t="s">
        <v>2076</v>
      </c>
      <c r="C324" s="784">
        <v>8014089626</v>
      </c>
      <c r="D324" s="779" t="s">
        <v>2077</v>
      </c>
    </row>
    <row r="325" spans="1:4" x14ac:dyDescent="0.3">
      <c r="A325" s="783">
        <v>11067</v>
      </c>
      <c r="B325" s="780" t="s">
        <v>2078</v>
      </c>
      <c r="C325" s="784">
        <v>9856638087</v>
      </c>
      <c r="D325" s="779"/>
    </row>
    <row r="326" spans="1:4" x14ac:dyDescent="0.3">
      <c r="A326" s="783">
        <v>11068</v>
      </c>
      <c r="B326" s="780" t="s">
        <v>2079</v>
      </c>
      <c r="C326" s="784">
        <v>8787516790</v>
      </c>
      <c r="D326" s="779"/>
    </row>
    <row r="327" spans="1:4" x14ac:dyDescent="0.3">
      <c r="A327" s="783">
        <v>11070</v>
      </c>
      <c r="B327" s="780" t="s">
        <v>2080</v>
      </c>
      <c r="C327" s="784">
        <v>3821222272</v>
      </c>
      <c r="D327" s="779" t="s">
        <v>2081</v>
      </c>
    </row>
    <row r="328" spans="1:4" x14ac:dyDescent="0.3">
      <c r="A328" s="783">
        <v>11075</v>
      </c>
      <c r="B328" s="780" t="s">
        <v>2082</v>
      </c>
      <c r="C328" s="784">
        <v>3821265227</v>
      </c>
      <c r="D328" s="779"/>
    </row>
    <row r="329" spans="1:4" x14ac:dyDescent="0.3">
      <c r="A329" s="783">
        <v>11076</v>
      </c>
      <c r="B329" s="780" t="s">
        <v>2083</v>
      </c>
      <c r="C329" s="784">
        <v>3821223554</v>
      </c>
      <c r="D329" s="779"/>
    </row>
    <row r="330" spans="1:4" x14ac:dyDescent="0.3">
      <c r="A330" s="783">
        <v>11093</v>
      </c>
      <c r="B330" s="780" t="s">
        <v>2084</v>
      </c>
      <c r="C330" s="784">
        <v>8787837281</v>
      </c>
      <c r="D330" s="779" t="s">
        <v>915</v>
      </c>
    </row>
    <row r="331" spans="1:4" x14ac:dyDescent="0.3">
      <c r="A331" s="783">
        <v>11097</v>
      </c>
      <c r="B331" s="780" t="s">
        <v>2085</v>
      </c>
      <c r="C331" s="784">
        <v>8014715620</v>
      </c>
      <c r="D331" s="779" t="s">
        <v>2086</v>
      </c>
    </row>
    <row r="332" spans="1:4" x14ac:dyDescent="0.3">
      <c r="A332" s="783">
        <v>11106</v>
      </c>
      <c r="B332" s="780" t="s">
        <v>2087</v>
      </c>
      <c r="C332" s="784">
        <v>9862089189</v>
      </c>
      <c r="D332" s="779" t="s">
        <v>2088</v>
      </c>
    </row>
    <row r="333" spans="1:4" x14ac:dyDescent="0.3">
      <c r="A333" s="783">
        <v>11107</v>
      </c>
      <c r="B333" s="780" t="s">
        <v>2089</v>
      </c>
      <c r="C333" s="784">
        <v>9856635932</v>
      </c>
      <c r="D333" s="779"/>
    </row>
    <row r="334" spans="1:4" x14ac:dyDescent="0.3">
      <c r="A334" s="783">
        <v>11108</v>
      </c>
      <c r="B334" s="780" t="s">
        <v>2090</v>
      </c>
      <c r="C334" s="784">
        <v>9856225329</v>
      </c>
      <c r="D334" s="779"/>
    </row>
    <row r="335" spans="1:4" x14ac:dyDescent="0.3">
      <c r="A335" s="783">
        <v>11109</v>
      </c>
      <c r="B335" s="780" t="s">
        <v>2091</v>
      </c>
      <c r="C335" s="784">
        <v>9436471259</v>
      </c>
      <c r="D335" s="779"/>
    </row>
    <row r="336" spans="1:4" x14ac:dyDescent="0.3">
      <c r="A336" s="783">
        <v>11114</v>
      </c>
      <c r="B336" s="780" t="s">
        <v>2092</v>
      </c>
      <c r="C336" s="784">
        <v>9436471694</v>
      </c>
      <c r="D336" s="779" t="s">
        <v>2093</v>
      </c>
    </row>
    <row r="337" spans="1:4" x14ac:dyDescent="0.3">
      <c r="A337" s="783">
        <v>11115</v>
      </c>
      <c r="B337" s="780" t="s">
        <v>2094</v>
      </c>
      <c r="C337" s="784">
        <v>9862419282</v>
      </c>
      <c r="D337" s="779" t="s">
        <v>2095</v>
      </c>
    </row>
    <row r="338" spans="1:4" x14ac:dyDescent="0.3">
      <c r="A338" s="783">
        <v>11116</v>
      </c>
      <c r="B338" s="780" t="s">
        <v>2096</v>
      </c>
      <c r="C338" s="784">
        <v>9856608921</v>
      </c>
      <c r="D338" s="779"/>
    </row>
    <row r="339" spans="1:4" x14ac:dyDescent="0.3">
      <c r="A339" s="783">
        <v>11121</v>
      </c>
      <c r="B339" s="780" t="s">
        <v>2097</v>
      </c>
      <c r="C339" s="784">
        <v>8787317884</v>
      </c>
      <c r="D339" s="779" t="s">
        <v>2098</v>
      </c>
    </row>
    <row r="340" spans="1:4" x14ac:dyDescent="0.3">
      <c r="A340" s="783">
        <v>11124</v>
      </c>
      <c r="B340" s="780" t="s">
        <v>2099</v>
      </c>
      <c r="C340" s="784">
        <v>3821200665</v>
      </c>
      <c r="D340" s="779"/>
    </row>
    <row r="341" spans="1:4" x14ac:dyDescent="0.3">
      <c r="A341" s="783">
        <v>12013</v>
      </c>
      <c r="B341" s="780" t="s">
        <v>2100</v>
      </c>
      <c r="C341" s="784">
        <v>9615757488</v>
      </c>
      <c r="D341" s="779" t="s">
        <v>2101</v>
      </c>
    </row>
    <row r="342" spans="1:4" x14ac:dyDescent="0.3">
      <c r="A342" s="783">
        <v>12014</v>
      </c>
      <c r="B342" s="780" t="s">
        <v>2102</v>
      </c>
      <c r="C342" s="784">
        <v>9436470242</v>
      </c>
      <c r="D342" s="779" t="s">
        <v>2103</v>
      </c>
    </row>
    <row r="343" spans="1:4" x14ac:dyDescent="0.3">
      <c r="A343" s="783">
        <v>12015</v>
      </c>
      <c r="B343" s="780" t="s">
        <v>2104</v>
      </c>
      <c r="C343" s="784">
        <v>7630018831</v>
      </c>
      <c r="D343" s="779" t="s">
        <v>2105</v>
      </c>
    </row>
    <row r="344" spans="1:4" x14ac:dyDescent="0.3">
      <c r="A344" s="783">
        <v>12016</v>
      </c>
      <c r="B344" s="780" t="s">
        <v>2106</v>
      </c>
      <c r="C344" s="784">
        <v>8131072186</v>
      </c>
      <c r="D344" s="779" t="s">
        <v>2107</v>
      </c>
    </row>
    <row r="345" spans="1:4" x14ac:dyDescent="0.3">
      <c r="A345" s="783">
        <v>12017</v>
      </c>
      <c r="B345" s="780" t="s">
        <v>2108</v>
      </c>
      <c r="C345" s="784">
        <v>9612498864</v>
      </c>
      <c r="D345" s="779" t="s">
        <v>2109</v>
      </c>
    </row>
    <row r="346" spans="1:4" x14ac:dyDescent="0.3">
      <c r="A346" s="783">
        <v>12018</v>
      </c>
      <c r="B346" s="780" t="s">
        <v>2110</v>
      </c>
      <c r="C346" s="784">
        <v>9612642081</v>
      </c>
      <c r="D346" s="779" t="s">
        <v>2111</v>
      </c>
    </row>
    <row r="347" spans="1:4" x14ac:dyDescent="0.3">
      <c r="A347" s="783">
        <v>12019</v>
      </c>
      <c r="B347" s="780" t="s">
        <v>2112</v>
      </c>
      <c r="C347" s="784">
        <v>9862433683</v>
      </c>
      <c r="D347" s="779" t="s">
        <v>2113</v>
      </c>
    </row>
    <row r="348" spans="1:4" x14ac:dyDescent="0.3">
      <c r="A348" s="783">
        <v>12020</v>
      </c>
      <c r="B348" s="780" t="s">
        <v>2114</v>
      </c>
      <c r="C348" s="784">
        <v>9862991393</v>
      </c>
      <c r="D348" s="779" t="s">
        <v>2115</v>
      </c>
    </row>
    <row r="349" spans="1:4" x14ac:dyDescent="0.3">
      <c r="A349" s="783">
        <v>12021</v>
      </c>
      <c r="B349" s="780" t="s">
        <v>2116</v>
      </c>
      <c r="C349" s="784">
        <v>9436470242</v>
      </c>
      <c r="D349" s="779" t="s">
        <v>2117</v>
      </c>
    </row>
    <row r="350" spans="1:4" x14ac:dyDescent="0.3">
      <c r="A350" s="783">
        <v>12023</v>
      </c>
      <c r="B350" s="780" t="s">
        <v>2118</v>
      </c>
      <c r="C350" s="784">
        <v>9612233579</v>
      </c>
      <c r="D350" s="779" t="s">
        <v>2119</v>
      </c>
    </row>
    <row r="351" spans="1:4" x14ac:dyDescent="0.3">
      <c r="A351" s="783">
        <v>12033</v>
      </c>
      <c r="B351" s="780" t="s">
        <v>2120</v>
      </c>
      <c r="C351" s="784">
        <v>9436365627</v>
      </c>
      <c r="D351" s="779" t="s">
        <v>945</v>
      </c>
    </row>
    <row r="352" spans="1:4" x14ac:dyDescent="0.3">
      <c r="A352" s="783">
        <v>12038</v>
      </c>
      <c r="B352" s="780" t="s">
        <v>2121</v>
      </c>
      <c r="C352" s="784">
        <v>3825264369</v>
      </c>
      <c r="D352" s="779" t="s">
        <v>2122</v>
      </c>
    </row>
    <row r="353" spans="1:4" x14ac:dyDescent="0.3">
      <c r="A353" s="783">
        <v>12039</v>
      </c>
      <c r="B353" s="780" t="s">
        <v>2123</v>
      </c>
      <c r="C353" s="784">
        <v>9436128356</v>
      </c>
      <c r="D353" s="779"/>
    </row>
    <row r="354" spans="1:4" x14ac:dyDescent="0.3">
      <c r="A354" s="783">
        <v>12045</v>
      </c>
      <c r="B354" s="780" t="s">
        <v>2124</v>
      </c>
      <c r="C354" s="784">
        <v>7085393174</v>
      </c>
      <c r="D354" s="779" t="s">
        <v>952</v>
      </c>
    </row>
    <row r="355" spans="1:4" x14ac:dyDescent="0.3">
      <c r="A355" s="783">
        <v>12046</v>
      </c>
      <c r="B355" s="780" t="s">
        <v>2125</v>
      </c>
      <c r="C355" s="784">
        <v>8974110127</v>
      </c>
      <c r="D355" s="779" t="s">
        <v>2126</v>
      </c>
    </row>
    <row r="356" spans="1:4" x14ac:dyDescent="0.3">
      <c r="A356" s="783">
        <v>12047</v>
      </c>
      <c r="B356" s="780" t="s">
        <v>2127</v>
      </c>
      <c r="C356" s="784">
        <v>8014019524</v>
      </c>
      <c r="D356" s="779" t="s">
        <v>2128</v>
      </c>
    </row>
    <row r="357" spans="1:4" x14ac:dyDescent="0.3">
      <c r="A357" s="783">
        <v>12050</v>
      </c>
      <c r="B357" s="780" t="s">
        <v>2129</v>
      </c>
      <c r="C357" s="784">
        <v>9436521287</v>
      </c>
      <c r="D357" s="779" t="s">
        <v>2130</v>
      </c>
    </row>
    <row r="358" spans="1:4" x14ac:dyDescent="0.3">
      <c r="A358" s="783">
        <v>12051</v>
      </c>
      <c r="B358" s="780" t="s">
        <v>2131</v>
      </c>
      <c r="C358" s="784">
        <v>9436470242</v>
      </c>
      <c r="D358" s="779" t="s">
        <v>2132</v>
      </c>
    </row>
    <row r="359" spans="1:4" x14ac:dyDescent="0.3">
      <c r="A359" s="783">
        <v>12061</v>
      </c>
      <c r="B359" s="780" t="s">
        <v>2133</v>
      </c>
      <c r="C359" s="784">
        <v>8974932115</v>
      </c>
      <c r="D359" s="779"/>
    </row>
    <row r="360" spans="1:4" x14ac:dyDescent="0.3">
      <c r="A360" s="783">
        <v>12062</v>
      </c>
      <c r="B360" s="780" t="s">
        <v>2134</v>
      </c>
      <c r="C360" s="784">
        <v>9436189799</v>
      </c>
      <c r="D360" s="779" t="s">
        <v>2135</v>
      </c>
    </row>
    <row r="361" spans="1:4" x14ac:dyDescent="0.3">
      <c r="A361" s="783">
        <v>13004</v>
      </c>
      <c r="B361" s="780" t="s">
        <v>2136</v>
      </c>
      <c r="C361" s="784"/>
      <c r="D361" s="779" t="s">
        <v>2137</v>
      </c>
    </row>
    <row r="362" spans="1:4" x14ac:dyDescent="0.3">
      <c r="A362" s="783">
        <v>13017</v>
      </c>
      <c r="B362" s="780" t="s">
        <v>2138</v>
      </c>
      <c r="C362" s="784"/>
      <c r="D362" s="779"/>
    </row>
    <row r="363" spans="1:4" x14ac:dyDescent="0.3">
      <c r="A363" s="783">
        <v>13019</v>
      </c>
      <c r="B363" s="780" t="s">
        <v>2139</v>
      </c>
      <c r="C363" s="784"/>
      <c r="D363" s="779"/>
    </row>
    <row r="364" spans="1:4" x14ac:dyDescent="0.3">
      <c r="A364" s="783">
        <v>13022</v>
      </c>
      <c r="B364" s="780" t="s">
        <v>2140</v>
      </c>
      <c r="C364" s="784"/>
      <c r="D364" s="779"/>
    </row>
    <row r="365" spans="1:4" x14ac:dyDescent="0.3">
      <c r="A365" s="783">
        <v>13023</v>
      </c>
      <c r="B365" s="780" t="s">
        <v>2141</v>
      </c>
      <c r="C365" s="784"/>
      <c r="D365" s="779"/>
    </row>
    <row r="366" spans="1:4" x14ac:dyDescent="0.3">
      <c r="A366" s="783">
        <v>13025</v>
      </c>
      <c r="B366" s="780" t="s">
        <v>2142</v>
      </c>
      <c r="C366" s="784">
        <v>9436518391</v>
      </c>
      <c r="D366" s="779" t="s">
        <v>2143</v>
      </c>
    </row>
    <row r="367" spans="1:4" x14ac:dyDescent="0.3">
      <c r="A367" s="783">
        <v>13026</v>
      </c>
      <c r="B367" s="780" t="s">
        <v>2144</v>
      </c>
      <c r="C367" s="784"/>
      <c r="D367" s="779"/>
    </row>
    <row r="368" spans="1:4" x14ac:dyDescent="0.3">
      <c r="A368" s="783">
        <v>13027</v>
      </c>
      <c r="B368" s="780" t="s">
        <v>2145</v>
      </c>
      <c r="C368" s="784"/>
      <c r="D368" s="779"/>
    </row>
    <row r="369" spans="1:4" x14ac:dyDescent="0.3">
      <c r="A369" s="783">
        <v>13028</v>
      </c>
      <c r="B369" s="780" t="s">
        <v>2146</v>
      </c>
      <c r="C369" s="784"/>
      <c r="D369" s="779"/>
    </row>
    <row r="370" spans="1:4" x14ac:dyDescent="0.3">
      <c r="A370" s="783">
        <v>13029</v>
      </c>
      <c r="B370" s="780" t="s">
        <v>2147</v>
      </c>
      <c r="C370" s="784"/>
      <c r="D370" s="779"/>
    </row>
    <row r="371" spans="1:4" x14ac:dyDescent="0.3">
      <c r="A371" s="783">
        <v>13031</v>
      </c>
      <c r="B371" s="780" t="s">
        <v>2148</v>
      </c>
      <c r="C371" s="784"/>
      <c r="D371" s="779"/>
    </row>
    <row r="372" spans="1:4" x14ac:dyDescent="0.3">
      <c r="A372" s="783">
        <v>13033</v>
      </c>
      <c r="B372" s="780" t="s">
        <v>2149</v>
      </c>
      <c r="C372" s="784"/>
      <c r="D372" s="779"/>
    </row>
    <row r="373" spans="1:4" x14ac:dyDescent="0.3">
      <c r="A373" s="783">
        <v>13034</v>
      </c>
      <c r="B373" s="780" t="s">
        <v>2150</v>
      </c>
      <c r="C373" s="784"/>
      <c r="D373" s="779"/>
    </row>
    <row r="374" spans="1:4" x14ac:dyDescent="0.3">
      <c r="A374" s="783">
        <v>13036</v>
      </c>
      <c r="B374" s="780" t="s">
        <v>2151</v>
      </c>
      <c r="C374" s="784"/>
      <c r="D374" s="779"/>
    </row>
    <row r="375" spans="1:4" x14ac:dyDescent="0.3">
      <c r="A375" s="783">
        <v>13040</v>
      </c>
      <c r="B375" s="780" t="s">
        <v>2152</v>
      </c>
      <c r="C375" s="784"/>
      <c r="D375" s="779"/>
    </row>
    <row r="376" spans="1:4" x14ac:dyDescent="0.3">
      <c r="A376" s="783">
        <v>13053</v>
      </c>
      <c r="B376" s="780" t="s">
        <v>2153</v>
      </c>
      <c r="C376" s="784"/>
      <c r="D376" s="779"/>
    </row>
    <row r="377" spans="1:4" x14ac:dyDescent="0.3">
      <c r="A377" s="783">
        <v>13054</v>
      </c>
      <c r="B377" s="780" t="s">
        <v>2154</v>
      </c>
      <c r="C377" s="784"/>
      <c r="D377" s="779"/>
    </row>
    <row r="378" spans="1:4" x14ac:dyDescent="0.3">
      <c r="A378" s="783">
        <v>13058</v>
      </c>
      <c r="B378" s="780" t="s">
        <v>2155</v>
      </c>
      <c r="C378" s="784"/>
      <c r="D378" s="782" t="s">
        <v>970</v>
      </c>
    </row>
    <row r="379" spans="1:4" x14ac:dyDescent="0.3">
      <c r="A379" s="783">
        <v>13064</v>
      </c>
      <c r="B379" s="780" t="s">
        <v>2156</v>
      </c>
      <c r="C379" s="784"/>
      <c r="D379" s="779"/>
    </row>
    <row r="380" spans="1:4" x14ac:dyDescent="0.3">
      <c r="A380" s="783">
        <v>13100</v>
      </c>
      <c r="B380" s="780" t="s">
        <v>2157</v>
      </c>
      <c r="C380" s="784">
        <v>9402143048</v>
      </c>
      <c r="D380" s="779" t="s">
        <v>972</v>
      </c>
    </row>
    <row r="381" spans="1:4" x14ac:dyDescent="0.3">
      <c r="A381" s="783">
        <v>13110</v>
      </c>
      <c r="B381" s="780" t="s">
        <v>2158</v>
      </c>
      <c r="C381" s="784"/>
      <c r="D381" s="779"/>
    </row>
    <row r="382" spans="1:4" x14ac:dyDescent="0.3">
      <c r="A382" s="783">
        <v>13112</v>
      </c>
      <c r="B382" s="780" t="s">
        <v>2159</v>
      </c>
      <c r="C382" s="784"/>
      <c r="D382" s="779"/>
    </row>
    <row r="383" spans="1:4" x14ac:dyDescent="0.3">
      <c r="A383" s="783">
        <v>13113</v>
      </c>
      <c r="B383" s="780" t="s">
        <v>2160</v>
      </c>
      <c r="C383" s="784"/>
      <c r="D383" s="779"/>
    </row>
    <row r="384" spans="1:4" x14ac:dyDescent="0.3">
      <c r="A384" s="783">
        <v>13126</v>
      </c>
      <c r="B384" s="780" t="s">
        <v>2161</v>
      </c>
      <c r="C384" s="784"/>
      <c r="D384" s="779"/>
    </row>
    <row r="385" spans="1:4" x14ac:dyDescent="0.3">
      <c r="A385" s="783">
        <v>13132</v>
      </c>
      <c r="B385" s="780" t="s">
        <v>2162</v>
      </c>
      <c r="C385" s="784"/>
      <c r="D385" s="782" t="s">
        <v>2163</v>
      </c>
    </row>
    <row r="386" spans="1:4" x14ac:dyDescent="0.3">
      <c r="A386" s="783">
        <v>13145</v>
      </c>
      <c r="B386" s="780" t="s">
        <v>2164</v>
      </c>
      <c r="C386" s="784"/>
      <c r="D386" s="779"/>
    </row>
    <row r="387" spans="1:4" x14ac:dyDescent="0.3">
      <c r="A387" s="783">
        <v>13148</v>
      </c>
      <c r="B387" s="780" t="s">
        <v>2165</v>
      </c>
      <c r="C387" s="784"/>
      <c r="D387" s="779"/>
    </row>
    <row r="388" spans="1:4" x14ac:dyDescent="0.3">
      <c r="A388" s="783">
        <v>14010</v>
      </c>
      <c r="B388" s="780" t="s">
        <v>2166</v>
      </c>
      <c r="C388" s="784">
        <v>9862332673</v>
      </c>
      <c r="D388" s="779"/>
    </row>
    <row r="389" spans="1:4" x14ac:dyDescent="0.3">
      <c r="A389" s="783">
        <v>14011</v>
      </c>
      <c r="B389" s="780" t="s">
        <v>2167</v>
      </c>
      <c r="C389" s="784">
        <v>9402328301</v>
      </c>
      <c r="D389" s="779" t="s">
        <v>2168</v>
      </c>
    </row>
    <row r="390" spans="1:4" x14ac:dyDescent="0.3">
      <c r="A390" s="783">
        <v>14012</v>
      </c>
      <c r="B390" s="780" t="s">
        <v>2169</v>
      </c>
      <c r="C390" s="784">
        <v>8974679030</v>
      </c>
      <c r="D390" s="779" t="s">
        <v>2170</v>
      </c>
    </row>
    <row r="391" spans="1:4" x14ac:dyDescent="0.3">
      <c r="A391" s="783">
        <v>14013</v>
      </c>
      <c r="B391" s="780" t="s">
        <v>2171</v>
      </c>
      <c r="C391" s="784">
        <v>986284511</v>
      </c>
      <c r="D391" s="779" t="s">
        <v>2172</v>
      </c>
    </row>
    <row r="392" spans="1:4" x14ac:dyDescent="0.3">
      <c r="A392" s="783">
        <v>14014</v>
      </c>
      <c r="B392" s="780" t="s">
        <v>2173</v>
      </c>
      <c r="C392" s="784">
        <v>9436507152</v>
      </c>
      <c r="D392" s="779" t="s">
        <v>2174</v>
      </c>
    </row>
    <row r="393" spans="1:4" x14ac:dyDescent="0.3">
      <c r="A393" s="783">
        <v>14015</v>
      </c>
      <c r="B393" s="780" t="s">
        <v>2175</v>
      </c>
      <c r="C393" s="784">
        <v>8794760790</v>
      </c>
      <c r="D393" s="779" t="s">
        <v>2176</v>
      </c>
    </row>
    <row r="394" spans="1:4" x14ac:dyDescent="0.3">
      <c r="A394" s="783">
        <v>14016</v>
      </c>
      <c r="B394" s="780" t="s">
        <v>2177</v>
      </c>
      <c r="C394" s="784">
        <v>9862433683</v>
      </c>
      <c r="D394" s="779" t="s">
        <v>2178</v>
      </c>
    </row>
    <row r="395" spans="1:4" x14ac:dyDescent="0.3">
      <c r="A395" s="783">
        <v>14017</v>
      </c>
      <c r="B395" s="780" t="s">
        <v>2179</v>
      </c>
      <c r="C395" s="784">
        <v>8414957265</v>
      </c>
      <c r="D395" s="779" t="s">
        <v>2180</v>
      </c>
    </row>
    <row r="396" spans="1:4" x14ac:dyDescent="0.3">
      <c r="A396" s="783">
        <v>14018</v>
      </c>
      <c r="B396" s="780" t="s">
        <v>2181</v>
      </c>
      <c r="C396" s="784">
        <v>8414957265</v>
      </c>
      <c r="D396" s="779" t="s">
        <v>2182</v>
      </c>
    </row>
    <row r="397" spans="1:4" x14ac:dyDescent="0.3">
      <c r="A397" s="783">
        <v>14019</v>
      </c>
      <c r="B397" s="780" t="s">
        <v>2183</v>
      </c>
      <c r="C397" s="784">
        <v>9862643559</v>
      </c>
      <c r="D397" s="779" t="s">
        <v>2184</v>
      </c>
    </row>
    <row r="398" spans="1:4" x14ac:dyDescent="0.3">
      <c r="A398" s="783">
        <v>14020</v>
      </c>
      <c r="B398" s="780" t="s">
        <v>2185</v>
      </c>
      <c r="C398" s="784">
        <v>8974613160</v>
      </c>
      <c r="D398" s="779" t="s">
        <v>2186</v>
      </c>
    </row>
    <row r="399" spans="1:4" x14ac:dyDescent="0.3">
      <c r="A399" s="783">
        <v>14021</v>
      </c>
      <c r="B399" s="780" t="s">
        <v>2187</v>
      </c>
      <c r="C399" s="784">
        <v>9862555266</v>
      </c>
      <c r="D399" s="779" t="s">
        <v>2188</v>
      </c>
    </row>
    <row r="400" spans="1:4" x14ac:dyDescent="0.3">
      <c r="A400" s="783">
        <v>14022</v>
      </c>
      <c r="B400" s="780" t="s">
        <v>2189</v>
      </c>
      <c r="C400" s="784">
        <v>9436517595</v>
      </c>
      <c r="D400" s="779" t="s">
        <v>2190</v>
      </c>
    </row>
    <row r="401" spans="1:4" x14ac:dyDescent="0.3">
      <c r="A401" s="783">
        <v>14023</v>
      </c>
      <c r="B401" s="780" t="s">
        <v>2191</v>
      </c>
      <c r="C401" s="784">
        <v>9862410073</v>
      </c>
      <c r="D401" s="779" t="s">
        <v>2192</v>
      </c>
    </row>
    <row r="402" spans="1:4" x14ac:dyDescent="0.3">
      <c r="A402" s="783">
        <v>14024</v>
      </c>
      <c r="B402" s="780" t="s">
        <v>2193</v>
      </c>
      <c r="C402" s="784">
        <v>8787604053</v>
      </c>
      <c r="D402" s="779" t="s">
        <v>2194</v>
      </c>
    </row>
    <row r="403" spans="1:4" x14ac:dyDescent="0.3">
      <c r="A403" s="783">
        <v>14025</v>
      </c>
      <c r="B403" s="780" t="s">
        <v>2195</v>
      </c>
      <c r="C403" s="784">
        <v>8787729485</v>
      </c>
      <c r="D403" s="779" t="s">
        <v>2196</v>
      </c>
    </row>
    <row r="404" spans="1:4" x14ac:dyDescent="0.3">
      <c r="A404" s="783">
        <v>14027</v>
      </c>
      <c r="B404" s="780" t="s">
        <v>2197</v>
      </c>
      <c r="C404" s="784">
        <v>9612727388</v>
      </c>
      <c r="D404" s="779" t="s">
        <v>2198</v>
      </c>
    </row>
    <row r="405" spans="1:4" x14ac:dyDescent="0.3">
      <c r="A405" s="783">
        <v>14036</v>
      </c>
      <c r="B405" s="780" t="s">
        <v>2199</v>
      </c>
      <c r="C405" s="784">
        <v>9612275789</v>
      </c>
      <c r="D405" s="779" t="s">
        <v>2200</v>
      </c>
    </row>
    <row r="406" spans="1:4" x14ac:dyDescent="0.3">
      <c r="A406" s="783">
        <v>14038</v>
      </c>
      <c r="B406" s="780" t="s">
        <v>2201</v>
      </c>
      <c r="C406" s="784"/>
      <c r="D406" s="779"/>
    </row>
    <row r="407" spans="1:4" x14ac:dyDescent="0.3">
      <c r="A407" s="783">
        <v>14043</v>
      </c>
      <c r="B407" s="780" t="s">
        <v>2202</v>
      </c>
      <c r="C407" s="784">
        <v>9612700109</v>
      </c>
      <c r="D407" s="779" t="s">
        <v>2203</v>
      </c>
    </row>
    <row r="408" spans="1:4" x14ac:dyDescent="0.3">
      <c r="A408" s="783">
        <v>14046</v>
      </c>
      <c r="B408" s="780" t="s">
        <v>2204</v>
      </c>
      <c r="C408" s="784">
        <v>8132035023</v>
      </c>
      <c r="D408" s="779" t="s">
        <v>2205</v>
      </c>
    </row>
    <row r="409" spans="1:4" x14ac:dyDescent="0.3">
      <c r="A409" s="783">
        <v>14048</v>
      </c>
      <c r="B409" s="780" t="s">
        <v>2206</v>
      </c>
      <c r="C409" s="784">
        <v>9436498348</v>
      </c>
      <c r="D409" s="779" t="s">
        <v>2207</v>
      </c>
    </row>
    <row r="410" spans="1:4" x14ac:dyDescent="0.3">
      <c r="A410" s="783">
        <v>14050</v>
      </c>
      <c r="B410" s="780" t="s">
        <v>2208</v>
      </c>
      <c r="C410" s="784">
        <v>9862164414</v>
      </c>
      <c r="D410" s="779" t="s">
        <v>2209</v>
      </c>
    </row>
    <row r="411" spans="1:4" x14ac:dyDescent="0.3">
      <c r="A411" s="783">
        <v>14051</v>
      </c>
      <c r="B411" s="780" t="s">
        <v>2210</v>
      </c>
      <c r="C411" s="784">
        <v>9612963956</v>
      </c>
      <c r="D411" s="779" t="s">
        <v>2211</v>
      </c>
    </row>
    <row r="412" spans="1:4" x14ac:dyDescent="0.3">
      <c r="A412" s="783">
        <v>14999</v>
      </c>
      <c r="B412" s="780" t="s">
        <v>2212</v>
      </c>
      <c r="C412" s="784">
        <v>9862745315</v>
      </c>
      <c r="D412" s="779" t="s">
        <v>1003</v>
      </c>
    </row>
    <row r="413" spans="1:4" x14ac:dyDescent="0.3">
      <c r="A413" s="783">
        <v>15002</v>
      </c>
      <c r="B413" s="780" t="s">
        <v>2213</v>
      </c>
      <c r="C413" s="784">
        <v>9436951617</v>
      </c>
      <c r="D413" s="779"/>
    </row>
    <row r="414" spans="1:4" x14ac:dyDescent="0.3">
      <c r="A414" s="783">
        <v>15004</v>
      </c>
      <c r="B414" s="780" t="s">
        <v>2214</v>
      </c>
      <c r="C414" s="784">
        <v>9774013179</v>
      </c>
      <c r="D414" s="779"/>
    </row>
    <row r="415" spans="1:4" x14ac:dyDescent="0.3">
      <c r="A415" s="783">
        <v>15016</v>
      </c>
      <c r="B415" s="780" t="s">
        <v>2215</v>
      </c>
      <c r="C415" s="784">
        <v>3812360618</v>
      </c>
      <c r="D415" s="779"/>
    </row>
    <row r="416" spans="1:4" x14ac:dyDescent="0.3">
      <c r="A416" s="783">
        <v>15018</v>
      </c>
      <c r="B416" s="780" t="s">
        <v>2216</v>
      </c>
      <c r="C416" s="784">
        <v>9436567495</v>
      </c>
      <c r="D416" s="779"/>
    </row>
    <row r="417" spans="1:4" x14ac:dyDescent="0.3">
      <c r="A417" s="783">
        <v>15021</v>
      </c>
      <c r="B417" s="780" t="s">
        <v>2217</v>
      </c>
      <c r="C417" s="784">
        <v>9436450729</v>
      </c>
      <c r="D417" s="779"/>
    </row>
    <row r="418" spans="1:4" x14ac:dyDescent="0.3">
      <c r="A418" s="783">
        <v>15022</v>
      </c>
      <c r="B418" s="780" t="s">
        <v>2218</v>
      </c>
      <c r="C418" s="784">
        <v>7005310106</v>
      </c>
      <c r="D418" s="779" t="s">
        <v>2219</v>
      </c>
    </row>
    <row r="419" spans="1:4" x14ac:dyDescent="0.3">
      <c r="A419" s="783">
        <v>15023</v>
      </c>
      <c r="B419" s="780" t="s">
        <v>2220</v>
      </c>
      <c r="C419" s="784">
        <v>9436452733</v>
      </c>
      <c r="D419" s="779"/>
    </row>
    <row r="420" spans="1:4" x14ac:dyDescent="0.3">
      <c r="A420" s="783">
        <v>15024</v>
      </c>
      <c r="B420" s="780" t="s">
        <v>2221</v>
      </c>
      <c r="C420" s="784">
        <v>9436452733</v>
      </c>
      <c r="D420" s="779"/>
    </row>
    <row r="421" spans="1:4" x14ac:dyDescent="0.3">
      <c r="A421" s="783">
        <v>15027</v>
      </c>
      <c r="B421" s="780" t="s">
        <v>2222</v>
      </c>
      <c r="C421" s="784">
        <v>9436127999</v>
      </c>
      <c r="D421" s="779"/>
    </row>
    <row r="422" spans="1:4" x14ac:dyDescent="0.3">
      <c r="A422" s="783">
        <v>15028</v>
      </c>
      <c r="B422" s="780" t="s">
        <v>2223</v>
      </c>
      <c r="C422" s="784">
        <v>9862972830</v>
      </c>
      <c r="D422" s="779" t="s">
        <v>2224</v>
      </c>
    </row>
    <row r="423" spans="1:4" x14ac:dyDescent="0.3">
      <c r="A423" s="783">
        <v>15029</v>
      </c>
      <c r="B423" s="780" t="s">
        <v>2225</v>
      </c>
      <c r="C423" s="784">
        <v>9615520226</v>
      </c>
      <c r="D423" s="779"/>
    </row>
    <row r="424" spans="1:4" x14ac:dyDescent="0.3">
      <c r="A424" s="783">
        <v>15031</v>
      </c>
      <c r="B424" s="780" t="s">
        <v>2226</v>
      </c>
      <c r="C424" s="784">
        <v>9436495819</v>
      </c>
      <c r="D424" s="779"/>
    </row>
    <row r="425" spans="1:4" x14ac:dyDescent="0.3">
      <c r="A425" s="783">
        <v>15032</v>
      </c>
      <c r="B425" s="780" t="s">
        <v>2227</v>
      </c>
      <c r="C425" s="784">
        <v>9436187446</v>
      </c>
      <c r="D425" s="779"/>
    </row>
    <row r="426" spans="1:4" x14ac:dyDescent="0.3">
      <c r="A426" s="783">
        <v>15033</v>
      </c>
      <c r="B426" s="780" t="s">
        <v>2228</v>
      </c>
      <c r="C426" s="784">
        <v>8414843778</v>
      </c>
      <c r="D426" s="779" t="s">
        <v>2229</v>
      </c>
    </row>
    <row r="427" spans="1:4" x14ac:dyDescent="0.3">
      <c r="A427" s="783">
        <v>15037</v>
      </c>
      <c r="B427" s="780" t="s">
        <v>2230</v>
      </c>
      <c r="C427" s="784">
        <v>9612341373</v>
      </c>
      <c r="D427" s="779"/>
    </row>
    <row r="428" spans="1:4" x14ac:dyDescent="0.3">
      <c r="A428" s="783">
        <v>15038</v>
      </c>
      <c r="B428" s="780" t="s">
        <v>2231</v>
      </c>
      <c r="C428" s="784">
        <v>9402377688</v>
      </c>
      <c r="D428" s="779"/>
    </row>
    <row r="429" spans="1:4" x14ac:dyDescent="0.3">
      <c r="A429" s="783">
        <v>15039</v>
      </c>
      <c r="B429" s="780" t="s">
        <v>2232</v>
      </c>
      <c r="C429" s="784">
        <v>9436567113</v>
      </c>
      <c r="D429" s="779"/>
    </row>
    <row r="430" spans="1:4" x14ac:dyDescent="0.3">
      <c r="A430" s="783">
        <v>15040</v>
      </c>
      <c r="B430" s="780" t="s">
        <v>2233</v>
      </c>
      <c r="C430" s="784">
        <v>8837090057</v>
      </c>
      <c r="D430" s="779" t="s">
        <v>2234</v>
      </c>
    </row>
    <row r="431" spans="1:4" x14ac:dyDescent="0.3">
      <c r="A431" s="783">
        <v>15041</v>
      </c>
      <c r="B431" s="780" t="s">
        <v>2235</v>
      </c>
      <c r="C431" s="784">
        <v>9436456170</v>
      </c>
      <c r="D431" s="779" t="s">
        <v>2236</v>
      </c>
    </row>
    <row r="432" spans="1:4" x14ac:dyDescent="0.3">
      <c r="A432" s="783">
        <v>15043</v>
      </c>
      <c r="B432" s="780" t="s">
        <v>2237</v>
      </c>
      <c r="C432" s="784">
        <v>9436518946</v>
      </c>
      <c r="D432" s="779"/>
    </row>
    <row r="433" spans="1:4" x14ac:dyDescent="0.3">
      <c r="A433" s="783">
        <v>15045</v>
      </c>
      <c r="B433" s="780" t="s">
        <v>2238</v>
      </c>
      <c r="C433" s="784">
        <v>8794905953</v>
      </c>
      <c r="D433" s="779" t="s">
        <v>2239</v>
      </c>
    </row>
    <row r="434" spans="1:4" x14ac:dyDescent="0.3">
      <c r="A434" s="783">
        <v>15048</v>
      </c>
      <c r="B434" s="780" t="s">
        <v>2240</v>
      </c>
      <c r="C434" s="784">
        <v>9615811529</v>
      </c>
      <c r="D434" s="779"/>
    </row>
    <row r="435" spans="1:4" x14ac:dyDescent="0.3">
      <c r="A435" s="783">
        <v>15050</v>
      </c>
      <c r="B435" s="780" t="s">
        <v>2241</v>
      </c>
      <c r="C435" s="784">
        <v>9612008421</v>
      </c>
      <c r="D435" s="779"/>
    </row>
    <row r="436" spans="1:4" x14ac:dyDescent="0.3">
      <c r="A436" s="783">
        <v>15052</v>
      </c>
      <c r="B436" s="780" t="s">
        <v>2242</v>
      </c>
      <c r="C436" s="784">
        <v>9436900966</v>
      </c>
      <c r="D436" s="779"/>
    </row>
    <row r="437" spans="1:4" x14ac:dyDescent="0.3">
      <c r="A437" s="783">
        <v>15053</v>
      </c>
      <c r="B437" s="780" t="s">
        <v>2243</v>
      </c>
      <c r="C437" s="784">
        <v>9436124735</v>
      </c>
      <c r="D437" s="779"/>
    </row>
    <row r="438" spans="1:4" x14ac:dyDescent="0.3">
      <c r="A438" s="783">
        <v>15055</v>
      </c>
      <c r="B438" s="780" t="s">
        <v>2244</v>
      </c>
      <c r="C438" s="784">
        <v>9436518039</v>
      </c>
      <c r="D438" s="779" t="s">
        <v>2245</v>
      </c>
    </row>
    <row r="439" spans="1:4" x14ac:dyDescent="0.3">
      <c r="A439" s="783">
        <v>15058</v>
      </c>
      <c r="B439" s="780" t="s">
        <v>2246</v>
      </c>
      <c r="C439" s="784">
        <v>8014251039</v>
      </c>
      <c r="D439" s="779"/>
    </row>
    <row r="440" spans="1:4" x14ac:dyDescent="0.3">
      <c r="A440" s="783">
        <v>15059</v>
      </c>
      <c r="B440" s="780" t="s">
        <v>2247</v>
      </c>
      <c r="C440" s="784">
        <v>9862913846</v>
      </c>
      <c r="D440" s="779"/>
    </row>
    <row r="441" spans="1:4" x14ac:dyDescent="0.3">
      <c r="A441" s="783">
        <v>15064</v>
      </c>
      <c r="B441" s="780" t="s">
        <v>2248</v>
      </c>
      <c r="C441" s="784">
        <v>9612534526</v>
      </c>
      <c r="D441" s="779"/>
    </row>
    <row r="442" spans="1:4" x14ac:dyDescent="0.3">
      <c r="A442" s="783">
        <v>15065</v>
      </c>
      <c r="B442" s="780" t="s">
        <v>2249</v>
      </c>
      <c r="C442" s="784">
        <v>9436553821</v>
      </c>
      <c r="D442" s="779"/>
    </row>
    <row r="443" spans="1:4" x14ac:dyDescent="0.3">
      <c r="A443" s="783">
        <v>15066</v>
      </c>
      <c r="B443" s="780" t="s">
        <v>2250</v>
      </c>
      <c r="C443" s="784">
        <v>9436132593</v>
      </c>
      <c r="D443" s="779"/>
    </row>
    <row r="444" spans="1:4" x14ac:dyDescent="0.3">
      <c r="A444" s="783">
        <v>15067</v>
      </c>
      <c r="B444" s="780" t="s">
        <v>2251</v>
      </c>
      <c r="C444" s="784">
        <v>9612008421</v>
      </c>
      <c r="D444" s="779"/>
    </row>
    <row r="445" spans="1:4" x14ac:dyDescent="0.3">
      <c r="A445" s="783">
        <v>15073</v>
      </c>
      <c r="B445" s="780" t="s">
        <v>2252</v>
      </c>
      <c r="C445" s="784">
        <v>9436182100</v>
      </c>
      <c r="D445" s="779" t="s">
        <v>2253</v>
      </c>
    </row>
    <row r="446" spans="1:4" x14ac:dyDescent="0.3">
      <c r="A446" s="783">
        <v>15074</v>
      </c>
      <c r="B446" s="780" t="s">
        <v>2254</v>
      </c>
      <c r="C446" s="784">
        <v>9436463727</v>
      </c>
      <c r="D446" s="779" t="s">
        <v>2255</v>
      </c>
    </row>
    <row r="447" spans="1:4" x14ac:dyDescent="0.3">
      <c r="A447" s="783">
        <v>15075</v>
      </c>
      <c r="B447" s="780" t="s">
        <v>2256</v>
      </c>
      <c r="C447" s="784">
        <v>9436129959</v>
      </c>
      <c r="D447" s="779"/>
    </row>
    <row r="448" spans="1:4" x14ac:dyDescent="0.3">
      <c r="A448" s="783">
        <v>15076</v>
      </c>
      <c r="B448" s="780" t="s">
        <v>2257</v>
      </c>
      <c r="C448" s="784">
        <v>9436169896</v>
      </c>
      <c r="D448" s="779"/>
    </row>
    <row r="449" spans="1:4" x14ac:dyDescent="0.3">
      <c r="A449" s="783">
        <v>15077</v>
      </c>
      <c r="B449" s="780" t="s">
        <v>2258</v>
      </c>
      <c r="C449" s="784">
        <v>9774712809</v>
      </c>
      <c r="D449" s="779" t="s">
        <v>2259</v>
      </c>
    </row>
    <row r="450" spans="1:4" x14ac:dyDescent="0.3">
      <c r="A450" s="783">
        <v>15108</v>
      </c>
      <c r="B450" s="780" t="s">
        <v>2260</v>
      </c>
      <c r="C450" s="784">
        <v>9774385728</v>
      </c>
      <c r="D450" s="779"/>
    </row>
    <row r="451" spans="1:4" x14ac:dyDescent="0.3">
      <c r="A451" s="783">
        <v>15109</v>
      </c>
      <c r="B451" s="780" t="s">
        <v>2261</v>
      </c>
      <c r="C451" s="784">
        <v>7005864492</v>
      </c>
      <c r="D451" s="779"/>
    </row>
    <row r="452" spans="1:4" x14ac:dyDescent="0.3">
      <c r="A452" s="783">
        <v>15110</v>
      </c>
      <c r="B452" s="780" t="s">
        <v>2262</v>
      </c>
      <c r="C452" s="784">
        <v>9436454703</v>
      </c>
      <c r="D452" s="779" t="s">
        <v>2263</v>
      </c>
    </row>
    <row r="453" spans="1:4" x14ac:dyDescent="0.3">
      <c r="A453" s="783">
        <v>15118</v>
      </c>
      <c r="B453" s="780" t="s">
        <v>2264</v>
      </c>
      <c r="C453" s="784">
        <v>9436766929</v>
      </c>
      <c r="D453" s="779"/>
    </row>
    <row r="454" spans="1:4" x14ac:dyDescent="0.3">
      <c r="A454" s="783">
        <v>15125</v>
      </c>
      <c r="B454" s="780" t="s">
        <v>2265</v>
      </c>
      <c r="C454" s="784">
        <v>9436585241</v>
      </c>
      <c r="D454" s="779" t="s">
        <v>2266</v>
      </c>
    </row>
    <row r="455" spans="1:4" x14ac:dyDescent="0.3">
      <c r="A455" s="783">
        <v>16004</v>
      </c>
      <c r="B455" s="780" t="s">
        <v>2267</v>
      </c>
      <c r="C455" s="784">
        <v>9402373630</v>
      </c>
      <c r="D455" s="779"/>
    </row>
    <row r="456" spans="1:4" x14ac:dyDescent="0.3">
      <c r="A456" s="783">
        <v>16005</v>
      </c>
      <c r="B456" s="780" t="s">
        <v>2268</v>
      </c>
      <c r="C456" s="784">
        <v>7085878105</v>
      </c>
      <c r="D456" s="779"/>
    </row>
    <row r="457" spans="1:4" x14ac:dyDescent="0.3">
      <c r="A457" s="783">
        <v>16007</v>
      </c>
      <c r="B457" s="780" t="s">
        <v>2269</v>
      </c>
      <c r="C457" s="784">
        <v>9402103457</v>
      </c>
      <c r="D457" s="779"/>
    </row>
    <row r="458" spans="1:4" x14ac:dyDescent="0.3">
      <c r="A458" s="783">
        <v>16008</v>
      </c>
      <c r="B458" s="780" t="s">
        <v>2270</v>
      </c>
      <c r="C458" s="784">
        <v>9436187291</v>
      </c>
      <c r="D458" s="779"/>
    </row>
    <row r="459" spans="1:4" x14ac:dyDescent="0.3">
      <c r="A459" s="783">
        <v>16010</v>
      </c>
      <c r="B459" s="780" t="s">
        <v>2271</v>
      </c>
      <c r="C459" s="784">
        <v>9612844100</v>
      </c>
      <c r="D459" s="779"/>
    </row>
    <row r="460" spans="1:4" x14ac:dyDescent="0.3">
      <c r="A460" s="783">
        <v>17001</v>
      </c>
      <c r="B460" s="780" t="s">
        <v>2272</v>
      </c>
      <c r="C460" s="784">
        <v>9402395053</v>
      </c>
      <c r="D460" s="779" t="s">
        <v>1036</v>
      </c>
    </row>
    <row r="461" spans="1:4" x14ac:dyDescent="0.3">
      <c r="A461" s="783">
        <v>17006</v>
      </c>
      <c r="B461" s="780" t="s">
        <v>2273</v>
      </c>
      <c r="C461" s="784">
        <v>9612831597</v>
      </c>
      <c r="D461" s="779"/>
    </row>
    <row r="462" spans="1:4" x14ac:dyDescent="0.3">
      <c r="A462" s="783">
        <v>17007</v>
      </c>
      <c r="B462" s="780" t="s">
        <v>2274</v>
      </c>
      <c r="C462" s="784">
        <v>9436476417</v>
      </c>
      <c r="D462" s="779"/>
    </row>
    <row r="463" spans="1:4" x14ac:dyDescent="0.3">
      <c r="A463" s="783">
        <v>17008</v>
      </c>
      <c r="B463" s="780" t="s">
        <v>2275</v>
      </c>
      <c r="C463" s="784">
        <v>9862664283</v>
      </c>
      <c r="D463" s="779"/>
    </row>
    <row r="464" spans="1:4" x14ac:dyDescent="0.3">
      <c r="A464" s="783">
        <v>17012</v>
      </c>
      <c r="B464" s="780" t="s">
        <v>2276</v>
      </c>
      <c r="C464" s="784">
        <v>98627477847</v>
      </c>
      <c r="D464" s="779"/>
    </row>
    <row r="465" spans="1:4" x14ac:dyDescent="0.3">
      <c r="A465" s="783">
        <v>17014</v>
      </c>
      <c r="B465" s="780" t="s">
        <v>2277</v>
      </c>
      <c r="C465" s="784">
        <v>9436132204</v>
      </c>
      <c r="D465" s="779"/>
    </row>
    <row r="466" spans="1:4" x14ac:dyDescent="0.3">
      <c r="A466" s="783">
        <v>18001</v>
      </c>
      <c r="B466" s="780" t="s">
        <v>2278</v>
      </c>
      <c r="C466" s="784"/>
      <c r="D466" s="782" t="s">
        <v>1045</v>
      </c>
    </row>
    <row r="467" spans="1:4" x14ac:dyDescent="0.3">
      <c r="A467" s="783">
        <v>18003</v>
      </c>
      <c r="B467" s="780" t="s">
        <v>2279</v>
      </c>
      <c r="C467" s="784">
        <v>8132016521</v>
      </c>
      <c r="D467" s="779" t="s">
        <v>2280</v>
      </c>
    </row>
    <row r="468" spans="1:4" x14ac:dyDescent="0.3">
      <c r="A468" s="783">
        <v>18004</v>
      </c>
      <c r="B468" s="780" t="s">
        <v>2281</v>
      </c>
      <c r="C468" s="784">
        <v>9436475023</v>
      </c>
      <c r="D468" s="779" t="s">
        <v>2282</v>
      </c>
    </row>
    <row r="469" spans="1:4" x14ac:dyDescent="0.3">
      <c r="A469" s="783">
        <v>18007</v>
      </c>
      <c r="B469" s="780" t="s">
        <v>2283</v>
      </c>
      <c r="C469" s="784">
        <v>9436167289</v>
      </c>
      <c r="D469" s="779" t="s">
        <v>2284</v>
      </c>
    </row>
    <row r="470" spans="1:4" x14ac:dyDescent="0.3">
      <c r="A470" s="783">
        <v>18014</v>
      </c>
      <c r="B470" s="780" t="s">
        <v>2285</v>
      </c>
      <c r="C470" s="784">
        <v>9612902695</v>
      </c>
      <c r="D470" s="779" t="s">
        <v>2286</v>
      </c>
    </row>
    <row r="471" spans="1:4" x14ac:dyDescent="0.3">
      <c r="A471" s="783">
        <v>18015</v>
      </c>
      <c r="B471" s="780" t="s">
        <v>2287</v>
      </c>
      <c r="C471" s="784">
        <v>9862260990</v>
      </c>
      <c r="D471" s="779" t="s">
        <v>2288</v>
      </c>
    </row>
    <row r="472" spans="1:4" x14ac:dyDescent="0.3">
      <c r="A472" s="783">
        <v>18016</v>
      </c>
      <c r="B472" s="780" t="s">
        <v>2289</v>
      </c>
      <c r="C472" s="784">
        <v>8014300663</v>
      </c>
      <c r="D472" s="779" t="s">
        <v>2290</v>
      </c>
    </row>
    <row r="473" spans="1:4" x14ac:dyDescent="0.3">
      <c r="A473" s="783">
        <v>18017</v>
      </c>
      <c r="B473" s="780" t="s">
        <v>2291</v>
      </c>
      <c r="C473" s="784">
        <v>9436188567</v>
      </c>
      <c r="D473" s="779" t="s">
        <v>2292</v>
      </c>
    </row>
    <row r="474" spans="1:4" x14ac:dyDescent="0.3">
      <c r="A474" s="783">
        <v>18018</v>
      </c>
      <c r="B474" s="780" t="s">
        <v>2293</v>
      </c>
      <c r="C474" s="784">
        <v>9856032709</v>
      </c>
      <c r="D474" s="779" t="s">
        <v>2294</v>
      </c>
    </row>
    <row r="475" spans="1:4" x14ac:dyDescent="0.3">
      <c r="A475" s="783">
        <v>18021</v>
      </c>
      <c r="B475" s="780" t="s">
        <v>2295</v>
      </c>
      <c r="C475" s="784">
        <v>9436188567</v>
      </c>
      <c r="D475" s="779" t="s">
        <v>2296</v>
      </c>
    </row>
    <row r="476" spans="1:4" x14ac:dyDescent="0.3">
      <c r="A476" s="783">
        <v>18033</v>
      </c>
      <c r="B476" s="780" t="s">
        <v>2297</v>
      </c>
      <c r="C476" s="784">
        <v>436479868</v>
      </c>
      <c r="D476" s="779" t="s">
        <v>1068</v>
      </c>
    </row>
    <row r="477" spans="1:4" x14ac:dyDescent="0.3">
      <c r="A477" s="783">
        <v>18038</v>
      </c>
      <c r="B477" s="780" t="s">
        <v>2298</v>
      </c>
      <c r="C477" s="784">
        <v>9436477446</v>
      </c>
      <c r="D477" s="779" t="s">
        <v>2299</v>
      </c>
    </row>
    <row r="478" spans="1:4" x14ac:dyDescent="0.3">
      <c r="A478" s="783">
        <v>18041</v>
      </c>
      <c r="B478" s="780" t="s">
        <v>2300</v>
      </c>
      <c r="C478" s="784">
        <v>9856419319</v>
      </c>
      <c r="D478" s="779" t="s">
        <v>2301</v>
      </c>
    </row>
    <row r="479" spans="1:4" x14ac:dyDescent="0.3">
      <c r="A479" s="783">
        <v>18042</v>
      </c>
      <c r="B479" s="780" t="s">
        <v>2302</v>
      </c>
      <c r="C479" s="784">
        <v>9436188567</v>
      </c>
      <c r="D479" s="779" t="s">
        <v>2303</v>
      </c>
    </row>
    <row r="480" spans="1:4" x14ac:dyDescent="0.3">
      <c r="A480" s="783">
        <v>18043</v>
      </c>
      <c r="B480" s="780" t="s">
        <v>2304</v>
      </c>
      <c r="C480" s="784">
        <v>9436137522</v>
      </c>
      <c r="D480" s="779" t="s">
        <v>2305</v>
      </c>
    </row>
    <row r="481" spans="1:4" x14ac:dyDescent="0.3">
      <c r="A481" s="783">
        <v>19001</v>
      </c>
      <c r="B481" s="780" t="s">
        <v>2306</v>
      </c>
      <c r="C481" s="784">
        <v>9986224126</v>
      </c>
      <c r="D481" s="779" t="s">
        <v>1078</v>
      </c>
    </row>
    <row r="482" spans="1:4" x14ac:dyDescent="0.3">
      <c r="A482" s="783">
        <v>19002</v>
      </c>
      <c r="B482" s="780" t="s">
        <v>2307</v>
      </c>
      <c r="C482" s="784">
        <v>9436794121</v>
      </c>
      <c r="D482" s="779" t="s">
        <v>2308</v>
      </c>
    </row>
    <row r="483" spans="1:4" x14ac:dyDescent="0.3">
      <c r="A483" s="783">
        <v>19003</v>
      </c>
      <c r="B483" s="780" t="s">
        <v>2309</v>
      </c>
      <c r="C483" s="784">
        <v>9436506670</v>
      </c>
      <c r="D483" s="779" t="s">
        <v>2310</v>
      </c>
    </row>
    <row r="484" spans="1:4" x14ac:dyDescent="0.3">
      <c r="A484" s="783">
        <v>19004</v>
      </c>
      <c r="B484" s="780" t="s">
        <v>2311</v>
      </c>
      <c r="C484" s="784">
        <v>9436794969</v>
      </c>
      <c r="D484" s="779" t="s">
        <v>2312</v>
      </c>
    </row>
    <row r="485" spans="1:4" x14ac:dyDescent="0.3">
      <c r="A485" s="783">
        <v>19009</v>
      </c>
      <c r="B485" s="780" t="s">
        <v>2313</v>
      </c>
      <c r="C485" s="784">
        <v>9436513017</v>
      </c>
      <c r="D485" s="779" t="s">
        <v>2314</v>
      </c>
    </row>
    <row r="486" spans="1:4" x14ac:dyDescent="0.3">
      <c r="A486" s="783">
        <v>19010</v>
      </c>
      <c r="B486" s="780" t="s">
        <v>2315</v>
      </c>
      <c r="C486" s="784">
        <v>8730824836</v>
      </c>
      <c r="D486" s="779" t="s">
        <v>2316</v>
      </c>
    </row>
    <row r="487" spans="1:4" x14ac:dyDescent="0.3">
      <c r="A487" s="783">
        <v>19011</v>
      </c>
      <c r="B487" s="780" t="s">
        <v>2317</v>
      </c>
      <c r="C487" s="784">
        <v>9436454713</v>
      </c>
      <c r="D487" s="779" t="s">
        <v>2318</v>
      </c>
    </row>
    <row r="488" spans="1:4" x14ac:dyDescent="0.3">
      <c r="A488" s="783">
        <v>19012</v>
      </c>
      <c r="B488" s="780" t="s">
        <v>2319</v>
      </c>
      <c r="C488" s="784">
        <v>9862081328</v>
      </c>
      <c r="D488" s="779" t="s">
        <v>2320</v>
      </c>
    </row>
    <row r="489" spans="1:4" x14ac:dyDescent="0.3">
      <c r="A489" s="783">
        <v>19013</v>
      </c>
      <c r="B489" s="780" t="s">
        <v>2321</v>
      </c>
      <c r="C489" s="784">
        <v>9436488936</v>
      </c>
      <c r="D489" s="779" t="s">
        <v>2322</v>
      </c>
    </row>
    <row r="490" spans="1:4" x14ac:dyDescent="0.3">
      <c r="A490" s="783">
        <v>19014</v>
      </c>
      <c r="B490" s="780" t="s">
        <v>2323</v>
      </c>
      <c r="C490" s="784">
        <v>9436184515</v>
      </c>
      <c r="D490" s="779" t="s">
        <v>2324</v>
      </c>
    </row>
    <row r="491" spans="1:4" x14ac:dyDescent="0.3">
      <c r="A491" s="783">
        <v>19015</v>
      </c>
      <c r="B491" s="780" t="s">
        <v>2325</v>
      </c>
      <c r="C491" s="784">
        <v>9402388062</v>
      </c>
      <c r="D491" s="779" t="s">
        <v>2326</v>
      </c>
    </row>
    <row r="492" spans="1:4" x14ac:dyDescent="0.3">
      <c r="A492" s="783">
        <v>19016</v>
      </c>
      <c r="B492" s="780" t="s">
        <v>2327</v>
      </c>
      <c r="C492" s="784">
        <v>9436553902</v>
      </c>
      <c r="D492" s="779" t="s">
        <v>2328</v>
      </c>
    </row>
    <row r="493" spans="1:4" x14ac:dyDescent="0.3">
      <c r="A493" s="783">
        <v>19017</v>
      </c>
      <c r="B493" s="780" t="s">
        <v>2329</v>
      </c>
      <c r="C493" s="784">
        <v>9436485938</v>
      </c>
      <c r="D493" s="779" t="s">
        <v>2330</v>
      </c>
    </row>
    <row r="494" spans="1:4" x14ac:dyDescent="0.3">
      <c r="A494" s="783">
        <v>19018</v>
      </c>
      <c r="B494" s="780" t="s">
        <v>2331</v>
      </c>
      <c r="C494" s="784">
        <v>9856381526</v>
      </c>
      <c r="D494" s="779" t="s">
        <v>2332</v>
      </c>
    </row>
    <row r="495" spans="1:4" x14ac:dyDescent="0.3">
      <c r="A495" s="783">
        <v>19019</v>
      </c>
      <c r="B495" s="780" t="s">
        <v>2333</v>
      </c>
      <c r="C495" s="784">
        <v>9436461840</v>
      </c>
      <c r="D495" s="779" t="s">
        <v>2334</v>
      </c>
    </row>
    <row r="496" spans="1:4" x14ac:dyDescent="0.3">
      <c r="A496" s="783">
        <v>19020</v>
      </c>
      <c r="B496" s="780" t="s">
        <v>2335</v>
      </c>
      <c r="C496" s="784">
        <v>9862026335</v>
      </c>
      <c r="D496" s="779" t="s">
        <v>2336</v>
      </c>
    </row>
    <row r="497" spans="1:4" x14ac:dyDescent="0.3">
      <c r="A497" s="783">
        <v>19021</v>
      </c>
      <c r="B497" s="780" t="s">
        <v>2337</v>
      </c>
      <c r="C497" s="784">
        <v>8131957496</v>
      </c>
      <c r="D497" s="779" t="s">
        <v>2338</v>
      </c>
    </row>
    <row r="498" spans="1:4" x14ac:dyDescent="0.3">
      <c r="A498" s="783">
        <v>19022</v>
      </c>
      <c r="B498" s="780" t="s">
        <v>2339</v>
      </c>
      <c r="C498" s="784">
        <v>9612111397</v>
      </c>
      <c r="D498" s="779" t="s">
        <v>2340</v>
      </c>
    </row>
    <row r="499" spans="1:4" x14ac:dyDescent="0.3">
      <c r="A499" s="783">
        <v>19023</v>
      </c>
      <c r="B499" s="780" t="s">
        <v>2341</v>
      </c>
      <c r="C499" s="784">
        <v>9862236320</v>
      </c>
      <c r="D499" s="779" t="s">
        <v>2342</v>
      </c>
    </row>
    <row r="500" spans="1:4" x14ac:dyDescent="0.3">
      <c r="A500" s="783">
        <v>19027</v>
      </c>
      <c r="B500" s="780" t="s">
        <v>2343</v>
      </c>
      <c r="C500" s="784">
        <v>9436539424</v>
      </c>
      <c r="D500" s="779" t="s">
        <v>2344</v>
      </c>
    </row>
    <row r="501" spans="1:4" x14ac:dyDescent="0.3">
      <c r="A501" s="783">
        <v>19028</v>
      </c>
      <c r="B501" s="780" t="s">
        <v>2345</v>
      </c>
      <c r="C501" s="784">
        <v>9436124102</v>
      </c>
      <c r="D501" s="779" t="s">
        <v>2346</v>
      </c>
    </row>
    <row r="502" spans="1:4" x14ac:dyDescent="0.3">
      <c r="A502" s="783">
        <v>19033</v>
      </c>
      <c r="B502" s="780" t="s">
        <v>2347</v>
      </c>
      <c r="C502" s="784">
        <v>9436188491</v>
      </c>
      <c r="D502" s="779" t="s">
        <v>2348</v>
      </c>
    </row>
    <row r="503" spans="1:4" x14ac:dyDescent="0.3">
      <c r="A503" s="783">
        <v>19034</v>
      </c>
      <c r="B503" s="780" t="s">
        <v>2349</v>
      </c>
      <c r="C503" s="784">
        <v>9436711020</v>
      </c>
      <c r="D503" s="779" t="s">
        <v>2350</v>
      </c>
    </row>
    <row r="504" spans="1:4" x14ac:dyDescent="0.3">
      <c r="A504" s="783">
        <v>19035</v>
      </c>
      <c r="B504" s="780" t="s">
        <v>2351</v>
      </c>
      <c r="C504" s="784">
        <v>9436129589</v>
      </c>
      <c r="D504" s="779" t="s">
        <v>2352</v>
      </c>
    </row>
    <row r="505" spans="1:4" x14ac:dyDescent="0.3">
      <c r="A505" s="783">
        <v>19039</v>
      </c>
      <c r="B505" s="780" t="s">
        <v>2353</v>
      </c>
      <c r="C505" s="784">
        <v>9402107091</v>
      </c>
      <c r="D505" s="779" t="s">
        <v>2354</v>
      </c>
    </row>
    <row r="506" spans="1:4" x14ac:dyDescent="0.3">
      <c r="A506" s="783">
        <v>19042</v>
      </c>
      <c r="B506" s="780" t="s">
        <v>2355</v>
      </c>
      <c r="C506" s="784">
        <v>9436183408</v>
      </c>
      <c r="D506" s="779" t="s">
        <v>2356</v>
      </c>
    </row>
    <row r="507" spans="1:4" x14ac:dyDescent="0.3">
      <c r="A507" s="783">
        <v>19048</v>
      </c>
      <c r="B507" s="780" t="s">
        <v>2357</v>
      </c>
      <c r="C507" s="784">
        <v>9436920307</v>
      </c>
      <c r="D507" s="779" t="s">
        <v>2358</v>
      </c>
    </row>
    <row r="508" spans="1:4" x14ac:dyDescent="0.3">
      <c r="A508" s="783">
        <v>20001</v>
      </c>
      <c r="B508" s="780" t="s">
        <v>2359</v>
      </c>
      <c r="C508" s="784">
        <v>9436481480</v>
      </c>
      <c r="D508" s="779"/>
    </row>
    <row r="509" spans="1:4" x14ac:dyDescent="0.3">
      <c r="A509" s="783">
        <v>20007</v>
      </c>
      <c r="B509" s="780" t="s">
        <v>2360</v>
      </c>
      <c r="C509" s="784">
        <v>9436536873</v>
      </c>
      <c r="D509" s="779"/>
    </row>
    <row r="510" spans="1:4" x14ac:dyDescent="0.3">
      <c r="A510" s="783">
        <v>20008</v>
      </c>
      <c r="B510" s="780" t="s">
        <v>2361</v>
      </c>
      <c r="C510" s="784">
        <v>9612705952</v>
      </c>
      <c r="D510" s="779"/>
    </row>
    <row r="511" spans="1:4" x14ac:dyDescent="0.3">
      <c r="A511" s="783">
        <v>20009</v>
      </c>
      <c r="B511" s="780" t="s">
        <v>1868</v>
      </c>
      <c r="C511" s="784">
        <v>9436456290</v>
      </c>
      <c r="D511" s="779"/>
    </row>
    <row r="512" spans="1:4" x14ac:dyDescent="0.3">
      <c r="A512" s="783">
        <v>20010</v>
      </c>
      <c r="B512" s="780" t="s">
        <v>2362</v>
      </c>
      <c r="C512" s="784">
        <v>9436127321</v>
      </c>
      <c r="D512" s="779"/>
    </row>
    <row r="513" spans="1:4" x14ac:dyDescent="0.3">
      <c r="A513" s="783">
        <v>20011</v>
      </c>
      <c r="B513" s="780" t="s">
        <v>2363</v>
      </c>
      <c r="C513" s="784">
        <v>9436478117</v>
      </c>
      <c r="D513" s="779"/>
    </row>
    <row r="514" spans="1:4" x14ac:dyDescent="0.3">
      <c r="A514" s="783">
        <v>20012</v>
      </c>
      <c r="B514" s="780" t="s">
        <v>2364</v>
      </c>
      <c r="C514" s="784">
        <v>9436926358</v>
      </c>
      <c r="D514" s="779"/>
    </row>
    <row r="515" spans="1:4" x14ac:dyDescent="0.3">
      <c r="A515" s="783">
        <v>20013</v>
      </c>
      <c r="B515" s="780" t="s">
        <v>2365</v>
      </c>
      <c r="C515" s="784">
        <v>8258070788</v>
      </c>
      <c r="D515" s="779" t="s">
        <v>2366</v>
      </c>
    </row>
    <row r="516" spans="1:4" x14ac:dyDescent="0.3">
      <c r="A516" s="783">
        <v>20014</v>
      </c>
      <c r="B516" s="780" t="s">
        <v>2367</v>
      </c>
      <c r="C516" s="784">
        <v>9774222034</v>
      </c>
      <c r="D516" s="779"/>
    </row>
    <row r="517" spans="1:4" x14ac:dyDescent="0.3">
      <c r="A517" s="783">
        <v>20015</v>
      </c>
      <c r="B517" s="780" t="s">
        <v>2368</v>
      </c>
      <c r="C517" s="784">
        <v>9862890804</v>
      </c>
      <c r="D517" s="779" t="s">
        <v>2369</v>
      </c>
    </row>
    <row r="518" spans="1:4" x14ac:dyDescent="0.3">
      <c r="A518" s="783">
        <v>20016</v>
      </c>
      <c r="B518" s="780" t="s">
        <v>2370</v>
      </c>
      <c r="C518" s="784">
        <v>9612877079</v>
      </c>
      <c r="D518" s="779"/>
    </row>
    <row r="519" spans="1:4" x14ac:dyDescent="0.3">
      <c r="A519" s="783">
        <v>20017</v>
      </c>
      <c r="B519" s="780" t="s">
        <v>2371</v>
      </c>
      <c r="C519" s="784">
        <v>9402137461</v>
      </c>
      <c r="D519" s="779" t="s">
        <v>2372</v>
      </c>
    </row>
    <row r="520" spans="1:4" x14ac:dyDescent="0.3">
      <c r="A520" s="783">
        <v>20018</v>
      </c>
      <c r="B520" s="780" t="s">
        <v>2373</v>
      </c>
      <c r="C520" s="784">
        <v>9436918720</v>
      </c>
      <c r="D520" s="779"/>
    </row>
    <row r="521" spans="1:4" x14ac:dyDescent="0.3">
      <c r="A521" s="783">
        <v>20019</v>
      </c>
      <c r="B521" s="780" t="s">
        <v>2374</v>
      </c>
      <c r="C521" s="784">
        <v>9436585124</v>
      </c>
      <c r="D521" s="779"/>
    </row>
    <row r="522" spans="1:4" x14ac:dyDescent="0.3">
      <c r="A522" s="783">
        <v>20020</v>
      </c>
      <c r="B522" s="780" t="s">
        <v>2375</v>
      </c>
      <c r="C522" s="784">
        <v>9862526047</v>
      </c>
      <c r="D522" s="779"/>
    </row>
    <row r="523" spans="1:4" x14ac:dyDescent="0.3">
      <c r="A523" s="783">
        <v>20021</v>
      </c>
      <c r="B523" s="780" t="s">
        <v>2376</v>
      </c>
      <c r="C523" s="784">
        <v>9436487339</v>
      </c>
      <c r="D523" s="779"/>
    </row>
    <row r="524" spans="1:4" x14ac:dyDescent="0.3">
      <c r="A524" s="783">
        <v>20022</v>
      </c>
      <c r="B524" s="780" t="s">
        <v>2377</v>
      </c>
      <c r="C524" s="784">
        <v>9862890804</v>
      </c>
      <c r="D524" s="779"/>
    </row>
    <row r="525" spans="1:4" x14ac:dyDescent="0.3">
      <c r="A525" s="783">
        <v>20023</v>
      </c>
      <c r="B525" s="780" t="s">
        <v>2378</v>
      </c>
      <c r="C525" s="784">
        <v>8413875378</v>
      </c>
      <c r="D525" s="779" t="s">
        <v>2379</v>
      </c>
    </row>
    <row r="526" spans="1:4" x14ac:dyDescent="0.3">
      <c r="A526" s="783">
        <v>20024</v>
      </c>
      <c r="B526" s="780" t="s">
        <v>2380</v>
      </c>
      <c r="C526" s="784">
        <v>9774254102</v>
      </c>
      <c r="D526" s="779"/>
    </row>
    <row r="527" spans="1:4" x14ac:dyDescent="0.3">
      <c r="A527" s="783">
        <v>20025</v>
      </c>
      <c r="B527" s="780" t="s">
        <v>2381</v>
      </c>
      <c r="C527" s="784">
        <v>9436581535</v>
      </c>
      <c r="D527" s="779" t="s">
        <v>2382</v>
      </c>
    </row>
    <row r="528" spans="1:4" x14ac:dyDescent="0.3">
      <c r="A528" s="783">
        <v>20026</v>
      </c>
      <c r="B528" s="780" t="s">
        <v>2383</v>
      </c>
      <c r="C528" s="784">
        <v>9862114839</v>
      </c>
      <c r="D528" s="779" t="s">
        <v>2384</v>
      </c>
    </row>
    <row r="529" spans="1:4" x14ac:dyDescent="0.3">
      <c r="A529" s="783">
        <v>20027</v>
      </c>
      <c r="B529" s="780" t="s">
        <v>2385</v>
      </c>
      <c r="C529" s="784">
        <v>9402377665</v>
      </c>
      <c r="D529" s="779" t="s">
        <v>2386</v>
      </c>
    </row>
    <row r="530" spans="1:4" x14ac:dyDescent="0.3">
      <c r="A530" s="783">
        <v>20028</v>
      </c>
      <c r="B530" s="780" t="s">
        <v>2387</v>
      </c>
      <c r="C530" s="784">
        <v>9436919448</v>
      </c>
      <c r="D530" s="779" t="s">
        <v>2388</v>
      </c>
    </row>
    <row r="531" spans="1:4" x14ac:dyDescent="0.3">
      <c r="A531" s="783">
        <v>20031</v>
      </c>
      <c r="B531" s="780" t="s">
        <v>2389</v>
      </c>
      <c r="C531" s="784">
        <v>9402137370</v>
      </c>
      <c r="D531" s="779" t="s">
        <v>2390</v>
      </c>
    </row>
    <row r="532" spans="1:4" x14ac:dyDescent="0.3">
      <c r="A532" s="783">
        <v>20033</v>
      </c>
      <c r="B532" s="780" t="s">
        <v>2391</v>
      </c>
      <c r="C532" s="784">
        <v>9436592820</v>
      </c>
      <c r="D532" s="779" t="s">
        <v>2392</v>
      </c>
    </row>
    <row r="533" spans="1:4" x14ac:dyDescent="0.3">
      <c r="A533" s="783">
        <v>20035</v>
      </c>
      <c r="B533" s="780" t="s">
        <v>2393</v>
      </c>
      <c r="C533" s="784">
        <v>8787332437</v>
      </c>
      <c r="D533" s="779" t="s">
        <v>2394</v>
      </c>
    </row>
    <row r="534" spans="1:4" x14ac:dyDescent="0.3">
      <c r="A534" s="783">
        <v>20036</v>
      </c>
      <c r="B534" s="780" t="s">
        <v>2395</v>
      </c>
      <c r="C534" s="784">
        <v>7629058047</v>
      </c>
      <c r="D534" s="779"/>
    </row>
    <row r="535" spans="1:4" x14ac:dyDescent="0.3">
      <c r="A535" s="783">
        <v>20037</v>
      </c>
      <c r="B535" s="780" t="s">
        <v>2396</v>
      </c>
      <c r="C535" s="784">
        <v>9436946058</v>
      </c>
      <c r="D535" s="779"/>
    </row>
    <row r="536" spans="1:4" x14ac:dyDescent="0.3">
      <c r="A536" s="783">
        <v>20038</v>
      </c>
      <c r="B536" s="780" t="s">
        <v>2397</v>
      </c>
      <c r="C536" s="784">
        <v>9402358537</v>
      </c>
      <c r="D536" s="779"/>
    </row>
    <row r="537" spans="1:4" x14ac:dyDescent="0.3">
      <c r="A537" s="783">
        <v>20039</v>
      </c>
      <c r="B537" s="780" t="s">
        <v>2398</v>
      </c>
      <c r="C537" s="784">
        <v>9436463335</v>
      </c>
      <c r="D537" s="779"/>
    </row>
    <row r="538" spans="1:4" x14ac:dyDescent="0.3">
      <c r="A538" s="783">
        <v>20040</v>
      </c>
      <c r="B538" s="780" t="s">
        <v>2399</v>
      </c>
      <c r="C538" s="784"/>
      <c r="D538" s="779"/>
    </row>
    <row r="539" spans="1:4" x14ac:dyDescent="0.3">
      <c r="A539" s="783">
        <v>20041</v>
      </c>
      <c r="B539" s="780" t="s">
        <v>2400</v>
      </c>
      <c r="C539" s="784">
        <v>9612534412</v>
      </c>
      <c r="D539" s="779"/>
    </row>
    <row r="540" spans="1:4" x14ac:dyDescent="0.3">
      <c r="A540" s="783">
        <v>20044</v>
      </c>
      <c r="B540" s="780" t="s">
        <v>2401</v>
      </c>
      <c r="C540" s="784">
        <v>9436126787</v>
      </c>
      <c r="D540" s="779"/>
    </row>
    <row r="541" spans="1:4" x14ac:dyDescent="0.3">
      <c r="A541" s="783">
        <v>21001</v>
      </c>
      <c r="B541" s="780" t="s">
        <v>2402</v>
      </c>
      <c r="C541" s="784">
        <v>9402109553</v>
      </c>
      <c r="D541" s="779" t="s">
        <v>1117</v>
      </c>
    </row>
    <row r="542" spans="1:4" x14ac:dyDescent="0.3">
      <c r="A542" s="783">
        <v>21006</v>
      </c>
      <c r="B542" s="780" t="s">
        <v>2403</v>
      </c>
      <c r="C542" s="784">
        <v>9436927013</v>
      </c>
      <c r="D542" s="779"/>
    </row>
    <row r="543" spans="1:4" x14ac:dyDescent="0.3">
      <c r="A543" s="783">
        <v>21007</v>
      </c>
      <c r="B543" s="780" t="s">
        <v>2404</v>
      </c>
      <c r="C543" s="784">
        <v>9436139526</v>
      </c>
      <c r="D543" s="779" t="s">
        <v>2405</v>
      </c>
    </row>
    <row r="544" spans="1:4" x14ac:dyDescent="0.3">
      <c r="A544" s="783">
        <v>21008</v>
      </c>
      <c r="B544" s="780" t="s">
        <v>2406</v>
      </c>
      <c r="C544" s="784">
        <v>986273934</v>
      </c>
      <c r="D544" s="779" t="s">
        <v>2407</v>
      </c>
    </row>
    <row r="545" spans="1:4" x14ac:dyDescent="0.3">
      <c r="A545" s="783">
        <v>21009</v>
      </c>
      <c r="B545" s="780" t="s">
        <v>2408</v>
      </c>
      <c r="C545" s="784">
        <v>9436129329</v>
      </c>
      <c r="D545" s="779" t="s">
        <v>2409</v>
      </c>
    </row>
    <row r="546" spans="1:4" x14ac:dyDescent="0.3">
      <c r="A546" s="783">
        <v>21010</v>
      </c>
      <c r="B546" s="780" t="s">
        <v>2410</v>
      </c>
      <c r="C546" s="784">
        <v>9436581773</v>
      </c>
      <c r="D546" s="779" t="s">
        <v>2411</v>
      </c>
    </row>
    <row r="547" spans="1:4" x14ac:dyDescent="0.3">
      <c r="A547" s="783">
        <v>21011</v>
      </c>
      <c r="B547" s="780" t="s">
        <v>2412</v>
      </c>
      <c r="C547" s="784">
        <v>9436169495</v>
      </c>
      <c r="D547" s="779" t="s">
        <v>2413</v>
      </c>
    </row>
    <row r="548" spans="1:4" x14ac:dyDescent="0.3">
      <c r="A548" s="783">
        <v>21012</v>
      </c>
      <c r="B548" s="780" t="s">
        <v>2414</v>
      </c>
      <c r="C548" s="784">
        <v>9862480701</v>
      </c>
      <c r="D548" s="779" t="s">
        <v>2415</v>
      </c>
    </row>
    <row r="549" spans="1:4" x14ac:dyDescent="0.3">
      <c r="A549" s="783">
        <v>21013</v>
      </c>
      <c r="B549" s="780" t="s">
        <v>2416</v>
      </c>
      <c r="C549" s="784">
        <v>9862474627</v>
      </c>
      <c r="D549" s="779" t="s">
        <v>2417</v>
      </c>
    </row>
    <row r="550" spans="1:4" x14ac:dyDescent="0.3">
      <c r="A550" s="783">
        <v>21014</v>
      </c>
      <c r="B550" s="780" t="s">
        <v>2418</v>
      </c>
      <c r="C550" s="784">
        <v>9436123988</v>
      </c>
      <c r="D550" s="779" t="s">
        <v>2419</v>
      </c>
    </row>
    <row r="551" spans="1:4" x14ac:dyDescent="0.3">
      <c r="A551" s="783">
        <v>21015</v>
      </c>
      <c r="B551" s="780" t="s">
        <v>2420</v>
      </c>
      <c r="C551" s="784">
        <v>9436454013</v>
      </c>
      <c r="D551" s="779" t="s">
        <v>2421</v>
      </c>
    </row>
    <row r="552" spans="1:4" x14ac:dyDescent="0.3">
      <c r="A552" s="783">
        <v>21016</v>
      </c>
      <c r="B552" s="780" t="s">
        <v>2422</v>
      </c>
      <c r="C552" s="784">
        <v>9436475016</v>
      </c>
      <c r="D552" s="779" t="s">
        <v>2423</v>
      </c>
    </row>
    <row r="553" spans="1:4" x14ac:dyDescent="0.3">
      <c r="A553" s="783">
        <v>21017</v>
      </c>
      <c r="B553" s="780" t="s">
        <v>2424</v>
      </c>
      <c r="C553" s="784">
        <v>8787359383</v>
      </c>
      <c r="D553" s="779" t="s">
        <v>2425</v>
      </c>
    </row>
    <row r="554" spans="1:4" x14ac:dyDescent="0.3">
      <c r="A554" s="783">
        <v>21018</v>
      </c>
      <c r="B554" s="780" t="s">
        <v>2426</v>
      </c>
      <c r="C554" s="784">
        <v>9436183318</v>
      </c>
      <c r="D554" s="779" t="s">
        <v>2427</v>
      </c>
    </row>
    <row r="555" spans="1:4" x14ac:dyDescent="0.3">
      <c r="A555" s="783">
        <v>21019</v>
      </c>
      <c r="B555" s="780" t="s">
        <v>2428</v>
      </c>
      <c r="C555" s="784">
        <v>9774502793</v>
      </c>
      <c r="D555" s="779" t="s">
        <v>2429</v>
      </c>
    </row>
    <row r="556" spans="1:4" x14ac:dyDescent="0.3">
      <c r="A556" s="783">
        <v>21020</v>
      </c>
      <c r="B556" s="780" t="s">
        <v>2430</v>
      </c>
      <c r="C556" s="784">
        <v>9436512265</v>
      </c>
      <c r="D556" s="779" t="s">
        <v>2431</v>
      </c>
    </row>
    <row r="557" spans="1:4" x14ac:dyDescent="0.3">
      <c r="A557" s="783">
        <v>21021</v>
      </c>
      <c r="B557" s="780" t="s">
        <v>2432</v>
      </c>
      <c r="C557" s="784">
        <v>9436586493</v>
      </c>
      <c r="D557" s="779" t="s">
        <v>2433</v>
      </c>
    </row>
    <row r="558" spans="1:4" x14ac:dyDescent="0.3">
      <c r="A558" s="783">
        <v>21022</v>
      </c>
      <c r="B558" s="780" t="s">
        <v>2434</v>
      </c>
      <c r="C558" s="784">
        <v>9436461152</v>
      </c>
      <c r="D558" s="779" t="s">
        <v>2435</v>
      </c>
    </row>
    <row r="559" spans="1:4" x14ac:dyDescent="0.3">
      <c r="A559" s="783">
        <v>21023</v>
      </c>
      <c r="B559" s="780" t="s">
        <v>2436</v>
      </c>
      <c r="C559" s="784">
        <v>9402581744</v>
      </c>
      <c r="D559" s="779" t="s">
        <v>2437</v>
      </c>
    </row>
    <row r="560" spans="1:4" x14ac:dyDescent="0.3">
      <c r="A560" s="783">
        <v>21024</v>
      </c>
      <c r="B560" s="780" t="s">
        <v>2438</v>
      </c>
      <c r="C560" s="784">
        <v>9436451109</v>
      </c>
      <c r="D560" s="779" t="s">
        <v>2439</v>
      </c>
    </row>
    <row r="561" spans="1:4" x14ac:dyDescent="0.3">
      <c r="A561" s="783">
        <v>21025</v>
      </c>
      <c r="B561" s="780" t="s">
        <v>2440</v>
      </c>
      <c r="C561" s="784">
        <v>9862459460</v>
      </c>
      <c r="D561" s="779" t="s">
        <v>2441</v>
      </c>
    </row>
    <row r="562" spans="1:4" x14ac:dyDescent="0.3">
      <c r="A562" s="783">
        <v>21026</v>
      </c>
      <c r="B562" s="780" t="s">
        <v>2442</v>
      </c>
      <c r="C562" s="784">
        <v>9436393485</v>
      </c>
      <c r="D562" s="779" t="s">
        <v>2443</v>
      </c>
    </row>
    <row r="563" spans="1:4" x14ac:dyDescent="0.3">
      <c r="A563" s="783">
        <v>21027</v>
      </c>
      <c r="B563" s="780" t="s">
        <v>2444</v>
      </c>
      <c r="C563" s="784">
        <v>9862428926</v>
      </c>
      <c r="D563" s="779" t="s">
        <v>2445</v>
      </c>
    </row>
    <row r="564" spans="1:4" x14ac:dyDescent="0.3">
      <c r="A564" s="783">
        <v>21028</v>
      </c>
      <c r="B564" s="780" t="s">
        <v>2446</v>
      </c>
      <c r="C564" s="784">
        <v>9862967072</v>
      </c>
      <c r="D564" s="779"/>
    </row>
    <row r="565" spans="1:4" x14ac:dyDescent="0.3">
      <c r="A565" s="783">
        <v>21029</v>
      </c>
      <c r="B565" s="780" t="s">
        <v>2447</v>
      </c>
      <c r="C565" s="784">
        <v>9436581773</v>
      </c>
      <c r="D565" s="779" t="s">
        <v>2448</v>
      </c>
    </row>
    <row r="566" spans="1:4" x14ac:dyDescent="0.3">
      <c r="A566" s="783">
        <v>21030</v>
      </c>
      <c r="B566" s="780" t="s">
        <v>2449</v>
      </c>
      <c r="C566" s="784">
        <v>9436581773</v>
      </c>
      <c r="D566" s="779" t="s">
        <v>2450</v>
      </c>
    </row>
    <row r="567" spans="1:4" x14ac:dyDescent="0.3">
      <c r="A567" s="783">
        <v>21031</v>
      </c>
      <c r="B567" s="780" t="s">
        <v>2451</v>
      </c>
      <c r="C567" s="784">
        <v>9436463315</v>
      </c>
      <c r="D567" s="779" t="s">
        <v>2452</v>
      </c>
    </row>
    <row r="568" spans="1:4" x14ac:dyDescent="0.3">
      <c r="A568" s="783">
        <v>21032</v>
      </c>
      <c r="B568" s="780" t="s">
        <v>2453</v>
      </c>
      <c r="C568" s="784">
        <v>9862558704</v>
      </c>
      <c r="D568" s="779" t="s">
        <v>2454</v>
      </c>
    </row>
    <row r="569" spans="1:4" x14ac:dyDescent="0.3">
      <c r="A569" s="783">
        <v>21033</v>
      </c>
      <c r="B569" s="780" t="s">
        <v>2455</v>
      </c>
      <c r="C569" s="784">
        <v>9436926818</v>
      </c>
      <c r="D569" s="779" t="s">
        <v>2456</v>
      </c>
    </row>
    <row r="570" spans="1:4" x14ac:dyDescent="0.3">
      <c r="A570" s="783">
        <v>21034</v>
      </c>
      <c r="B570" s="780" t="s">
        <v>2457</v>
      </c>
      <c r="C570" s="784">
        <v>9436457300</v>
      </c>
      <c r="D570" s="779" t="s">
        <v>2458</v>
      </c>
    </row>
    <row r="571" spans="1:4" x14ac:dyDescent="0.3">
      <c r="A571" s="783">
        <v>21035</v>
      </c>
      <c r="B571" s="780" t="s">
        <v>2459</v>
      </c>
      <c r="C571" s="784">
        <v>9436342071</v>
      </c>
      <c r="D571" s="779" t="s">
        <v>2460</v>
      </c>
    </row>
    <row r="572" spans="1:4" x14ac:dyDescent="0.3">
      <c r="A572" s="783">
        <v>21036</v>
      </c>
      <c r="B572" s="780" t="s">
        <v>2461</v>
      </c>
      <c r="C572" s="784">
        <v>9856666923</v>
      </c>
      <c r="D572" s="779" t="s">
        <v>2462</v>
      </c>
    </row>
    <row r="573" spans="1:4" x14ac:dyDescent="0.3">
      <c r="A573" s="783">
        <v>21037</v>
      </c>
      <c r="B573" s="780" t="s">
        <v>2463</v>
      </c>
      <c r="C573" s="784">
        <v>9436168243</v>
      </c>
      <c r="D573" s="779" t="s">
        <v>2464</v>
      </c>
    </row>
    <row r="574" spans="1:4" x14ac:dyDescent="0.3">
      <c r="A574" s="783">
        <v>21040</v>
      </c>
      <c r="B574" s="780" t="s">
        <v>2465</v>
      </c>
      <c r="C574" s="784">
        <v>9862973971</v>
      </c>
      <c r="D574" s="779" t="s">
        <v>2466</v>
      </c>
    </row>
    <row r="575" spans="1:4" x14ac:dyDescent="0.3">
      <c r="A575" s="783">
        <v>21046</v>
      </c>
      <c r="B575" s="780" t="s">
        <v>2467</v>
      </c>
      <c r="C575" s="784">
        <v>9436909180</v>
      </c>
      <c r="D575" s="779"/>
    </row>
    <row r="576" spans="1:4" x14ac:dyDescent="0.3">
      <c r="A576" s="783">
        <v>21048</v>
      </c>
      <c r="B576" s="780" t="s">
        <v>2468</v>
      </c>
      <c r="C576" s="784">
        <v>3812865779</v>
      </c>
      <c r="D576" s="779" t="s">
        <v>1128</v>
      </c>
    </row>
    <row r="577" spans="1:4" x14ac:dyDescent="0.3">
      <c r="A577" s="783">
        <v>22001</v>
      </c>
      <c r="B577" s="780" t="s">
        <v>2469</v>
      </c>
      <c r="C577" s="784"/>
      <c r="D577" s="779"/>
    </row>
    <row r="578" spans="1:4" x14ac:dyDescent="0.3">
      <c r="A578" s="783">
        <v>22002</v>
      </c>
      <c r="B578" s="780" t="s">
        <v>2470</v>
      </c>
      <c r="C578" s="784">
        <v>9629066690</v>
      </c>
      <c r="D578" s="779"/>
    </row>
    <row r="579" spans="1:4" x14ac:dyDescent="0.3">
      <c r="A579" s="783">
        <v>22007</v>
      </c>
      <c r="B579" s="780" t="s">
        <v>2471</v>
      </c>
      <c r="C579" s="784">
        <v>9862730843</v>
      </c>
      <c r="D579" s="779" t="s">
        <v>2472</v>
      </c>
    </row>
    <row r="580" spans="1:4" x14ac:dyDescent="0.3">
      <c r="A580" s="783">
        <v>22008</v>
      </c>
      <c r="B580" s="780" t="s">
        <v>2473</v>
      </c>
      <c r="C580" s="784">
        <v>9612232849</v>
      </c>
      <c r="D580" s="779"/>
    </row>
    <row r="581" spans="1:4" x14ac:dyDescent="0.3">
      <c r="A581" s="783">
        <v>22009</v>
      </c>
      <c r="B581" s="780" t="s">
        <v>2474</v>
      </c>
      <c r="C581" s="784">
        <v>8414038783</v>
      </c>
      <c r="D581" s="779" t="s">
        <v>2475</v>
      </c>
    </row>
    <row r="582" spans="1:4" x14ac:dyDescent="0.3">
      <c r="A582" s="783">
        <v>22010</v>
      </c>
      <c r="B582" s="780" t="s">
        <v>2476</v>
      </c>
      <c r="C582" s="784">
        <v>9862730843</v>
      </c>
      <c r="D582" s="779" t="s">
        <v>2472</v>
      </c>
    </row>
    <row r="583" spans="1:4" x14ac:dyDescent="0.3">
      <c r="A583" s="783">
        <v>22011</v>
      </c>
      <c r="B583" s="780" t="s">
        <v>2477</v>
      </c>
      <c r="C583" s="784">
        <v>9774803820</v>
      </c>
      <c r="D583" s="779" t="s">
        <v>2478</v>
      </c>
    </row>
    <row r="584" spans="1:4" x14ac:dyDescent="0.3">
      <c r="A584" s="783">
        <v>22012</v>
      </c>
      <c r="B584" s="780" t="s">
        <v>2479</v>
      </c>
      <c r="C584" s="784">
        <v>9862977881</v>
      </c>
      <c r="D584" s="779"/>
    </row>
    <row r="585" spans="1:4" x14ac:dyDescent="0.3">
      <c r="A585" s="783">
        <v>22014</v>
      </c>
      <c r="B585" s="780" t="s">
        <v>2480</v>
      </c>
      <c r="C585" s="784">
        <v>262249</v>
      </c>
      <c r="D585" s="779" t="s">
        <v>2481</v>
      </c>
    </row>
    <row r="586" spans="1:4" x14ac:dyDescent="0.3">
      <c r="A586" s="783">
        <v>22017</v>
      </c>
      <c r="B586" s="780" t="s">
        <v>2482</v>
      </c>
      <c r="C586" s="784">
        <v>9856663170</v>
      </c>
      <c r="D586" s="779" t="s">
        <v>2483</v>
      </c>
    </row>
    <row r="587" spans="1:4" x14ac:dyDescent="0.3">
      <c r="A587" s="783">
        <v>22019</v>
      </c>
      <c r="B587" s="780" t="s">
        <v>2484</v>
      </c>
      <c r="C587" s="784">
        <v>9436470910</v>
      </c>
      <c r="D587" s="779" t="s">
        <v>2485</v>
      </c>
    </row>
    <row r="588" spans="1:4" x14ac:dyDescent="0.3">
      <c r="A588" s="783">
        <v>22020</v>
      </c>
      <c r="B588" s="780" t="s">
        <v>2486</v>
      </c>
      <c r="C588" s="784">
        <v>9612651912</v>
      </c>
      <c r="D588" s="779" t="s">
        <v>2487</v>
      </c>
    </row>
    <row r="589" spans="1:4" x14ac:dyDescent="0.3">
      <c r="A589" s="783">
        <v>22021</v>
      </c>
      <c r="B589" s="780" t="s">
        <v>2488</v>
      </c>
      <c r="C589" s="784">
        <v>9862394813</v>
      </c>
      <c r="D589" s="779" t="s">
        <v>2489</v>
      </c>
    </row>
    <row r="590" spans="1:4" x14ac:dyDescent="0.3">
      <c r="A590" s="783">
        <v>22026</v>
      </c>
      <c r="B590" s="780" t="s">
        <v>2490</v>
      </c>
      <c r="C590" s="784">
        <v>936468107</v>
      </c>
      <c r="D590" s="779" t="s">
        <v>2491</v>
      </c>
    </row>
    <row r="591" spans="1:4" x14ac:dyDescent="0.3">
      <c r="A591" s="783">
        <v>22027</v>
      </c>
      <c r="B591" s="780" t="s">
        <v>2492</v>
      </c>
      <c r="C591" s="784">
        <v>8413850419</v>
      </c>
      <c r="D591" s="779"/>
    </row>
    <row r="592" spans="1:4" x14ac:dyDescent="0.3">
      <c r="A592" s="783">
        <v>22028</v>
      </c>
      <c r="B592" s="780" t="s">
        <v>2493</v>
      </c>
      <c r="C592" s="784">
        <v>8974386072</v>
      </c>
      <c r="D592" s="779"/>
    </row>
    <row r="593" spans="1:4" x14ac:dyDescent="0.3">
      <c r="A593" s="783">
        <v>22029</v>
      </c>
      <c r="B593" s="780" t="s">
        <v>2494</v>
      </c>
      <c r="C593" s="784">
        <v>9862651155</v>
      </c>
      <c r="D593" s="779" t="s">
        <v>2495</v>
      </c>
    </row>
    <row r="594" spans="1:4" x14ac:dyDescent="0.3">
      <c r="A594" s="783">
        <v>22033</v>
      </c>
      <c r="B594" s="780" t="s">
        <v>2496</v>
      </c>
      <c r="C594" s="784">
        <v>9436132529</v>
      </c>
      <c r="D594" s="779" t="s">
        <v>2497</v>
      </c>
    </row>
    <row r="595" spans="1:4" x14ac:dyDescent="0.3">
      <c r="A595" s="783">
        <v>22034</v>
      </c>
      <c r="B595" s="780" t="s">
        <v>2498</v>
      </c>
      <c r="C595" s="784">
        <v>9402365702</v>
      </c>
      <c r="D595" s="779"/>
    </row>
    <row r="596" spans="1:4" x14ac:dyDescent="0.3">
      <c r="A596" s="714">
        <v>1006</v>
      </c>
      <c r="B596" s="715" t="s">
        <v>1155</v>
      </c>
      <c r="C596" s="714">
        <v>9436133904</v>
      </c>
      <c r="D596" s="716"/>
    </row>
    <row r="597" spans="1:4" x14ac:dyDescent="0.3">
      <c r="A597" s="714">
        <v>1013</v>
      </c>
      <c r="B597" s="715" t="s">
        <v>513</v>
      </c>
      <c r="C597" s="717">
        <v>9862778099</v>
      </c>
      <c r="D597" s="716"/>
    </row>
    <row r="598" spans="1:4" x14ac:dyDescent="0.25">
      <c r="A598" s="714">
        <v>1015</v>
      </c>
      <c r="B598" s="715" t="s">
        <v>1156</v>
      </c>
      <c r="C598" s="714">
        <v>9436167525</v>
      </c>
      <c r="D598" s="718" t="s">
        <v>514</v>
      </c>
    </row>
    <row r="599" spans="1:4" x14ac:dyDescent="0.3">
      <c r="A599" s="714">
        <v>1016</v>
      </c>
      <c r="B599" s="715" t="s">
        <v>1157</v>
      </c>
      <c r="C599" s="714">
        <v>3824265700</v>
      </c>
      <c r="D599" s="716"/>
    </row>
    <row r="600" spans="1:4" x14ac:dyDescent="0.3">
      <c r="A600" s="714">
        <v>1017</v>
      </c>
      <c r="B600" s="720" t="s">
        <v>516</v>
      </c>
      <c r="C600" s="721">
        <v>9862649730</v>
      </c>
      <c r="D600" s="716"/>
    </row>
    <row r="601" spans="1:4" x14ac:dyDescent="0.25">
      <c r="A601" s="714">
        <v>1018</v>
      </c>
      <c r="B601" s="715" t="s">
        <v>1158</v>
      </c>
      <c r="C601" s="714">
        <v>9612242769</v>
      </c>
      <c r="D601" s="722" t="s">
        <v>517</v>
      </c>
    </row>
    <row r="602" spans="1:4" x14ac:dyDescent="0.3">
      <c r="A602" s="714">
        <v>1019</v>
      </c>
      <c r="B602" s="715" t="s">
        <v>1159</v>
      </c>
      <c r="C602" s="714">
        <v>9612561801</v>
      </c>
      <c r="D602" s="716"/>
    </row>
    <row r="603" spans="1:4" x14ac:dyDescent="0.3">
      <c r="A603" s="714">
        <v>1020</v>
      </c>
      <c r="B603" s="720" t="s">
        <v>518</v>
      </c>
      <c r="C603" s="714">
        <v>9436583545</v>
      </c>
      <c r="D603" s="716"/>
    </row>
    <row r="604" spans="1:4" x14ac:dyDescent="0.25">
      <c r="A604" s="714">
        <v>1021</v>
      </c>
      <c r="B604" s="720" t="s">
        <v>519</v>
      </c>
      <c r="C604" s="721">
        <v>9612524841</v>
      </c>
      <c r="D604" s="718" t="s">
        <v>520</v>
      </c>
    </row>
    <row r="605" spans="1:4" x14ac:dyDescent="0.3">
      <c r="A605" s="714">
        <v>1022</v>
      </c>
      <c r="B605" s="715" t="s">
        <v>1160</v>
      </c>
      <c r="C605" s="714">
        <v>9436137225</v>
      </c>
      <c r="D605" s="716"/>
    </row>
    <row r="606" spans="1:4" x14ac:dyDescent="0.3">
      <c r="A606" s="714">
        <v>1028</v>
      </c>
      <c r="B606" s="715" t="s">
        <v>1161</v>
      </c>
      <c r="C606" s="714">
        <v>9862879004</v>
      </c>
      <c r="D606" s="716"/>
    </row>
    <row r="607" spans="1:4" x14ac:dyDescent="0.3">
      <c r="A607" s="714">
        <v>1033</v>
      </c>
      <c r="B607" s="715" t="s">
        <v>1162</v>
      </c>
      <c r="C607" s="714">
        <v>7085546537</v>
      </c>
      <c r="D607" s="716"/>
    </row>
    <row r="608" spans="1:4" x14ac:dyDescent="0.3">
      <c r="A608" s="714">
        <v>1037</v>
      </c>
      <c r="B608" s="715" t="s">
        <v>1163</v>
      </c>
      <c r="C608" s="714">
        <v>9402137270</v>
      </c>
      <c r="D608" s="716"/>
    </row>
    <row r="609" spans="1:4" x14ac:dyDescent="0.3">
      <c r="A609" s="714">
        <v>1100</v>
      </c>
      <c r="B609" s="715" t="s">
        <v>1164</v>
      </c>
      <c r="C609" s="714">
        <v>8974687331</v>
      </c>
      <c r="D609" s="716"/>
    </row>
    <row r="610" spans="1:4" x14ac:dyDescent="0.3">
      <c r="A610" s="714">
        <v>2004</v>
      </c>
      <c r="B610" s="720" t="s">
        <v>521</v>
      </c>
      <c r="C610" s="714">
        <v>3822220259</v>
      </c>
      <c r="D610" s="716"/>
    </row>
    <row r="611" spans="1:4" x14ac:dyDescent="0.25">
      <c r="A611" s="714">
        <v>2006</v>
      </c>
      <c r="B611" s="720" t="s">
        <v>522</v>
      </c>
      <c r="C611" s="714">
        <v>3822220351</v>
      </c>
      <c r="D611" s="718" t="s">
        <v>523</v>
      </c>
    </row>
    <row r="612" spans="1:4" x14ac:dyDescent="0.25">
      <c r="A612" s="714">
        <v>2007</v>
      </c>
      <c r="B612" s="720" t="s">
        <v>524</v>
      </c>
      <c r="C612" s="721">
        <v>3822231850</v>
      </c>
      <c r="D612" s="718" t="s">
        <v>525</v>
      </c>
    </row>
    <row r="613" spans="1:4" x14ac:dyDescent="0.25">
      <c r="A613" s="714">
        <v>2008</v>
      </c>
      <c r="B613" s="715" t="s">
        <v>1165</v>
      </c>
      <c r="C613" s="714">
        <v>3822220404</v>
      </c>
      <c r="D613" s="718" t="s">
        <v>526</v>
      </c>
    </row>
    <row r="614" spans="1:4" x14ac:dyDescent="0.25">
      <c r="A614" s="714">
        <v>2013</v>
      </c>
      <c r="B614" s="715" t="s">
        <v>1166</v>
      </c>
      <c r="C614" s="714">
        <v>3822263485</v>
      </c>
      <c r="D614" s="718" t="s">
        <v>527</v>
      </c>
    </row>
    <row r="615" spans="1:4" x14ac:dyDescent="0.3">
      <c r="A615" s="714">
        <v>2016</v>
      </c>
      <c r="B615" s="720" t="s">
        <v>528</v>
      </c>
      <c r="C615" s="714">
        <v>3822220234</v>
      </c>
      <c r="D615" s="716"/>
    </row>
    <row r="616" spans="1:4" x14ac:dyDescent="0.3">
      <c r="A616" s="714">
        <v>2017</v>
      </c>
      <c r="B616" s="715" t="s">
        <v>1167</v>
      </c>
      <c r="C616" s="714">
        <v>3822294765</v>
      </c>
      <c r="D616" s="716"/>
    </row>
    <row r="617" spans="1:4" x14ac:dyDescent="0.3">
      <c r="A617" s="714">
        <v>2018</v>
      </c>
      <c r="B617" s="720" t="s">
        <v>529</v>
      </c>
      <c r="C617" s="714">
        <v>9436168301</v>
      </c>
      <c r="D617" s="716"/>
    </row>
    <row r="618" spans="1:4" x14ac:dyDescent="0.25">
      <c r="A618" s="724">
        <v>2020</v>
      </c>
      <c r="B618" s="715" t="s">
        <v>530</v>
      </c>
      <c r="C618" s="721"/>
      <c r="D618" s="725" t="s">
        <v>531</v>
      </c>
    </row>
    <row r="619" spans="1:4" x14ac:dyDescent="0.3">
      <c r="A619" s="714">
        <v>2045</v>
      </c>
      <c r="B619" s="720" t="s">
        <v>532</v>
      </c>
      <c r="C619" s="714">
        <v>8794679811</v>
      </c>
      <c r="D619" s="716"/>
    </row>
    <row r="620" spans="1:4" x14ac:dyDescent="0.25">
      <c r="A620" s="714">
        <v>2050</v>
      </c>
      <c r="B620" s="715" t="s">
        <v>1168</v>
      </c>
      <c r="C620" s="714">
        <v>3822220209</v>
      </c>
      <c r="D620" s="718" t="s">
        <v>533</v>
      </c>
    </row>
    <row r="621" spans="1:4" x14ac:dyDescent="0.3">
      <c r="A621" s="714">
        <v>2052</v>
      </c>
      <c r="B621" s="720" t="s">
        <v>534</v>
      </c>
      <c r="C621" s="714">
        <v>9402351493</v>
      </c>
      <c r="D621" s="716"/>
    </row>
    <row r="622" spans="1:4" x14ac:dyDescent="0.3">
      <c r="A622" s="714">
        <v>2053</v>
      </c>
      <c r="B622" s="715" t="s">
        <v>1169</v>
      </c>
      <c r="C622" s="714">
        <v>3822263671</v>
      </c>
      <c r="D622" s="716"/>
    </row>
    <row r="623" spans="1:4" x14ac:dyDescent="0.25">
      <c r="A623" s="714">
        <v>2055</v>
      </c>
      <c r="B623" s="715" t="s">
        <v>1170</v>
      </c>
      <c r="C623" s="714">
        <v>3822220362</v>
      </c>
      <c r="D623" s="718" t="s">
        <v>535</v>
      </c>
    </row>
    <row r="624" spans="1:4" x14ac:dyDescent="0.25">
      <c r="A624" s="714">
        <v>2058</v>
      </c>
      <c r="B624" s="715" t="s">
        <v>1171</v>
      </c>
      <c r="C624" s="714">
        <v>3822220258</v>
      </c>
      <c r="D624" s="718" t="s">
        <v>536</v>
      </c>
    </row>
    <row r="625" spans="1:4" x14ac:dyDescent="0.3">
      <c r="A625" s="714">
        <v>2061</v>
      </c>
      <c r="B625" s="720" t="s">
        <v>537</v>
      </c>
      <c r="C625" s="721">
        <v>3822231682</v>
      </c>
      <c r="D625" s="716"/>
    </row>
    <row r="626" spans="1:4" x14ac:dyDescent="0.3">
      <c r="A626" s="714">
        <v>2064</v>
      </c>
      <c r="B626" s="720" t="s">
        <v>538</v>
      </c>
      <c r="C626" s="714">
        <v>3822235317</v>
      </c>
      <c r="D626" s="716"/>
    </row>
    <row r="627" spans="1:4" x14ac:dyDescent="0.3">
      <c r="A627" s="714">
        <v>2065</v>
      </c>
      <c r="B627" s="715" t="s">
        <v>1172</v>
      </c>
      <c r="C627" s="714">
        <v>3822220241</v>
      </c>
      <c r="D627" s="716"/>
    </row>
    <row r="628" spans="1:4" x14ac:dyDescent="0.25">
      <c r="A628" s="714">
        <v>2067</v>
      </c>
      <c r="B628" s="715" t="s">
        <v>1173</v>
      </c>
      <c r="C628" s="714">
        <v>3822235254</v>
      </c>
      <c r="D628" s="718" t="s">
        <v>539</v>
      </c>
    </row>
    <row r="629" spans="1:4" x14ac:dyDescent="0.25">
      <c r="A629" s="714">
        <v>2070</v>
      </c>
      <c r="B629" s="715" t="s">
        <v>1174</v>
      </c>
      <c r="C629" s="714">
        <v>3822232285</v>
      </c>
      <c r="D629" s="718" t="s">
        <v>540</v>
      </c>
    </row>
    <row r="630" spans="1:4" x14ac:dyDescent="0.25">
      <c r="A630" s="714">
        <v>2080</v>
      </c>
      <c r="B630" s="715" t="s">
        <v>1175</v>
      </c>
      <c r="C630" s="714">
        <v>3822220202</v>
      </c>
      <c r="D630" s="718" t="s">
        <v>541</v>
      </c>
    </row>
    <row r="631" spans="1:4" x14ac:dyDescent="0.25">
      <c r="A631" s="714">
        <v>2081</v>
      </c>
      <c r="B631" s="720" t="s">
        <v>542</v>
      </c>
      <c r="C631" s="721">
        <v>9436518100</v>
      </c>
      <c r="D631" s="718" t="s">
        <v>543</v>
      </c>
    </row>
    <row r="632" spans="1:4" x14ac:dyDescent="0.25">
      <c r="A632" s="714">
        <v>2082</v>
      </c>
      <c r="B632" s="720" t="s">
        <v>544</v>
      </c>
      <c r="C632" s="721">
        <v>9436465873</v>
      </c>
      <c r="D632" s="718" t="s">
        <v>545</v>
      </c>
    </row>
    <row r="633" spans="1:4" x14ac:dyDescent="0.25">
      <c r="A633" s="714">
        <v>2084</v>
      </c>
      <c r="B633" s="720" t="s">
        <v>546</v>
      </c>
      <c r="C633" s="714">
        <v>3822234307</v>
      </c>
      <c r="D633" s="718" t="s">
        <v>547</v>
      </c>
    </row>
    <row r="634" spans="1:4" x14ac:dyDescent="0.3">
      <c r="A634" s="714">
        <v>2087</v>
      </c>
      <c r="B634" s="720" t="s">
        <v>548</v>
      </c>
      <c r="C634" s="714">
        <v>9436459658</v>
      </c>
      <c r="D634" s="716"/>
    </row>
    <row r="635" spans="1:4" x14ac:dyDescent="0.25">
      <c r="A635" s="714">
        <v>2090</v>
      </c>
      <c r="B635" s="720" t="s">
        <v>549</v>
      </c>
      <c r="C635" s="714">
        <v>3822234295</v>
      </c>
      <c r="D635" s="718" t="s">
        <v>550</v>
      </c>
    </row>
    <row r="636" spans="1:4" x14ac:dyDescent="0.3">
      <c r="A636" s="714">
        <v>2093</v>
      </c>
      <c r="B636" s="715" t="s">
        <v>1176</v>
      </c>
      <c r="C636" s="721"/>
      <c r="D636" s="716"/>
    </row>
    <row r="637" spans="1:4" x14ac:dyDescent="0.3">
      <c r="A637" s="714">
        <v>2094</v>
      </c>
      <c r="B637" s="715" t="s">
        <v>1177</v>
      </c>
      <c r="C637" s="714">
        <v>3822232112</v>
      </c>
      <c r="D637" s="716"/>
    </row>
    <row r="638" spans="1:4" x14ac:dyDescent="0.3">
      <c r="A638" s="714">
        <v>2096</v>
      </c>
      <c r="B638" s="720" t="s">
        <v>551</v>
      </c>
      <c r="C638" s="714">
        <v>3822234040</v>
      </c>
      <c r="D638" s="716"/>
    </row>
    <row r="639" spans="1:4" x14ac:dyDescent="0.3">
      <c r="A639" s="714">
        <v>2097</v>
      </c>
      <c r="B639" s="715" t="s">
        <v>1178</v>
      </c>
      <c r="C639" s="714">
        <v>3822234044</v>
      </c>
      <c r="D639" s="716"/>
    </row>
    <row r="640" spans="1:4" x14ac:dyDescent="0.25">
      <c r="A640" s="714">
        <v>2099</v>
      </c>
      <c r="B640" s="720" t="s">
        <v>552</v>
      </c>
      <c r="C640" s="721">
        <v>9436452283</v>
      </c>
      <c r="D640" s="718" t="s">
        <v>553</v>
      </c>
    </row>
    <row r="641" spans="1:16384" s="712" customFormat="1" x14ac:dyDescent="0.25">
      <c r="A641" s="714">
        <v>2100</v>
      </c>
      <c r="B641" s="715" t="s">
        <v>1179</v>
      </c>
      <c r="C641" s="714">
        <v>9436540705</v>
      </c>
      <c r="D641" s="718" t="s">
        <v>554</v>
      </c>
      <c r="F641" s="713"/>
    </row>
    <row r="642" spans="1:16384" s="712" customFormat="1" x14ac:dyDescent="0.3">
      <c r="A642" s="714">
        <v>2101</v>
      </c>
      <c r="B642" s="720" t="s">
        <v>555</v>
      </c>
      <c r="C642" s="714">
        <v>3822231696</v>
      </c>
      <c r="D642" s="716"/>
      <c r="F642" s="713"/>
    </row>
    <row r="643" spans="1:16384" s="712" customFormat="1" x14ac:dyDescent="0.3">
      <c r="A643" s="714">
        <v>2105</v>
      </c>
      <c r="B643" s="715" t="s">
        <v>1180</v>
      </c>
      <c r="C643" s="726"/>
      <c r="D643" s="716"/>
      <c r="F643" s="713"/>
    </row>
    <row r="644" spans="1:16384" s="712" customFormat="1" x14ac:dyDescent="0.3">
      <c r="A644" s="714">
        <v>2106</v>
      </c>
      <c r="B644" s="715" t="s">
        <v>1181</v>
      </c>
      <c r="C644" s="726"/>
      <c r="D644" s="716"/>
      <c r="F644" s="713"/>
    </row>
    <row r="645" spans="1:16384" s="712" customFormat="1" x14ac:dyDescent="0.25">
      <c r="A645" s="714">
        <v>3014</v>
      </c>
      <c r="B645" s="715" t="s">
        <v>1182</v>
      </c>
      <c r="C645" s="714">
        <v>9436189794</v>
      </c>
      <c r="D645" s="718" t="s">
        <v>556</v>
      </c>
      <c r="F645" s="713"/>
    </row>
    <row r="646" spans="1:16384" s="712" customFormat="1" x14ac:dyDescent="0.3">
      <c r="A646" s="714">
        <v>3015</v>
      </c>
      <c r="B646" s="715" t="s">
        <v>1183</v>
      </c>
      <c r="C646" s="714">
        <v>9436167369</v>
      </c>
      <c r="D646" s="716"/>
      <c r="E646" s="731"/>
      <c r="F646" s="732"/>
      <c r="G646" s="731"/>
      <c r="H646" s="733"/>
      <c r="I646" s="731"/>
      <c r="J646" s="732"/>
      <c r="K646" s="731"/>
      <c r="L646" s="733"/>
      <c r="M646" s="731"/>
      <c r="N646" s="732"/>
      <c r="O646" s="731"/>
      <c r="P646" s="733"/>
      <c r="Q646" s="731"/>
      <c r="R646" s="732"/>
      <c r="S646" s="731"/>
      <c r="T646" s="733"/>
      <c r="U646" s="731"/>
      <c r="V646" s="732"/>
      <c r="W646" s="731"/>
      <c r="X646" s="733"/>
      <c r="Y646" s="731"/>
      <c r="Z646" s="732"/>
      <c r="AA646" s="731"/>
      <c r="AB646" s="733"/>
      <c r="AC646" s="731"/>
      <c r="AD646" s="732"/>
      <c r="AE646" s="731"/>
      <c r="AF646" s="733"/>
      <c r="AG646" s="731"/>
      <c r="AH646" s="732"/>
      <c r="AI646" s="731"/>
      <c r="AJ646" s="733"/>
      <c r="AK646" s="731"/>
      <c r="AL646" s="732"/>
      <c r="AM646" s="731"/>
      <c r="AN646" s="733"/>
      <c r="AO646" s="731"/>
      <c r="AP646" s="732"/>
      <c r="AQ646" s="731"/>
      <c r="AR646" s="733"/>
      <c r="AS646" s="731"/>
      <c r="AT646" s="732"/>
      <c r="AU646" s="731"/>
      <c r="AV646" s="733"/>
      <c r="AW646" s="731"/>
      <c r="AX646" s="732"/>
      <c r="AY646" s="731"/>
      <c r="AZ646" s="733"/>
      <c r="BA646" s="731"/>
      <c r="BB646" s="732"/>
      <c r="BC646" s="731"/>
      <c r="BD646" s="733"/>
      <c r="BE646" s="731"/>
      <c r="BF646" s="732"/>
      <c r="BG646" s="731"/>
      <c r="BH646" s="733"/>
      <c r="BI646" s="731"/>
      <c r="BJ646" s="732"/>
      <c r="BK646" s="731"/>
      <c r="BL646" s="733"/>
      <c r="BM646" s="731"/>
      <c r="BN646" s="732"/>
      <c r="BO646" s="731"/>
      <c r="BP646" s="733"/>
      <c r="BQ646" s="731"/>
      <c r="BR646" s="732"/>
      <c r="BS646" s="731"/>
      <c r="BT646" s="733"/>
      <c r="BU646" s="731"/>
      <c r="BV646" s="732"/>
      <c r="BW646" s="731"/>
      <c r="BX646" s="733"/>
      <c r="BY646" s="731"/>
      <c r="BZ646" s="732"/>
      <c r="CA646" s="731"/>
      <c r="CB646" s="733"/>
      <c r="CC646" s="731"/>
      <c r="CD646" s="732"/>
      <c r="CE646" s="731"/>
      <c r="CF646" s="733"/>
      <c r="CG646" s="731"/>
      <c r="CH646" s="732"/>
      <c r="CI646" s="731"/>
      <c r="CJ646" s="733"/>
      <c r="CK646" s="731"/>
      <c r="CL646" s="732"/>
      <c r="CM646" s="731"/>
      <c r="CN646" s="733"/>
      <c r="CO646" s="731"/>
      <c r="CP646" s="732"/>
      <c r="CQ646" s="731"/>
      <c r="CR646" s="733"/>
      <c r="CS646" s="731"/>
      <c r="CT646" s="732"/>
      <c r="CU646" s="731"/>
      <c r="CV646" s="733"/>
      <c r="CW646" s="731"/>
      <c r="CX646" s="732"/>
      <c r="CY646" s="731"/>
      <c r="CZ646" s="733"/>
      <c r="DA646" s="731"/>
      <c r="DB646" s="732"/>
      <c r="DC646" s="731"/>
      <c r="DD646" s="733"/>
      <c r="DE646" s="731"/>
      <c r="DF646" s="732"/>
      <c r="DG646" s="731"/>
      <c r="DH646" s="733"/>
      <c r="DI646" s="731"/>
      <c r="DJ646" s="732"/>
      <c r="DK646" s="731"/>
      <c r="DL646" s="733"/>
      <c r="DM646" s="731"/>
      <c r="DN646" s="732"/>
      <c r="DO646" s="731"/>
      <c r="DP646" s="733"/>
      <c r="DQ646" s="731"/>
      <c r="DR646" s="732"/>
      <c r="DS646" s="731"/>
      <c r="DT646" s="733"/>
      <c r="DU646" s="731"/>
      <c r="DV646" s="732"/>
      <c r="DW646" s="731"/>
      <c r="DX646" s="733"/>
      <c r="DY646" s="731"/>
      <c r="DZ646" s="732"/>
      <c r="EA646" s="731"/>
      <c r="EB646" s="733"/>
      <c r="EC646" s="731"/>
      <c r="ED646" s="732"/>
      <c r="EE646" s="731"/>
      <c r="EF646" s="733"/>
      <c r="EG646" s="731"/>
      <c r="EH646" s="732"/>
      <c r="EI646" s="731"/>
      <c r="EJ646" s="733"/>
      <c r="EK646" s="731"/>
      <c r="EL646" s="732"/>
      <c r="EM646" s="731"/>
      <c r="EN646" s="733"/>
      <c r="EO646" s="731"/>
      <c r="EP646" s="732"/>
      <c r="EQ646" s="731"/>
      <c r="ER646" s="733"/>
      <c r="ES646" s="731"/>
      <c r="ET646" s="732"/>
      <c r="EU646" s="731"/>
      <c r="EV646" s="733"/>
      <c r="EW646" s="731"/>
      <c r="EX646" s="732"/>
      <c r="EY646" s="731"/>
      <c r="EZ646" s="733"/>
      <c r="FA646" s="731"/>
      <c r="FB646" s="732"/>
      <c r="FC646" s="731"/>
      <c r="FD646" s="733"/>
      <c r="FE646" s="731"/>
      <c r="FF646" s="732"/>
      <c r="FG646" s="731"/>
      <c r="FH646" s="733"/>
      <c r="FI646" s="731"/>
      <c r="FJ646" s="732"/>
      <c r="FK646" s="731"/>
      <c r="FL646" s="733"/>
      <c r="FM646" s="731"/>
      <c r="FN646" s="732"/>
      <c r="FO646" s="731"/>
      <c r="FP646" s="733"/>
      <c r="FQ646" s="731"/>
      <c r="FR646" s="732"/>
      <c r="FS646" s="731"/>
      <c r="FT646" s="733"/>
      <c r="FU646" s="731"/>
      <c r="FV646" s="732"/>
      <c r="FW646" s="731"/>
      <c r="FX646" s="733"/>
      <c r="FY646" s="731"/>
      <c r="FZ646" s="732"/>
      <c r="GA646" s="731"/>
      <c r="GB646" s="733"/>
      <c r="GC646" s="731"/>
      <c r="GD646" s="732"/>
      <c r="GE646" s="731"/>
      <c r="GF646" s="733"/>
      <c r="GG646" s="731"/>
      <c r="GH646" s="732"/>
      <c r="GI646" s="731"/>
      <c r="GJ646" s="733"/>
      <c r="GK646" s="731"/>
      <c r="GL646" s="732"/>
      <c r="GM646" s="731"/>
      <c r="GN646" s="733"/>
      <c r="GO646" s="731"/>
      <c r="GP646" s="732"/>
      <c r="GQ646" s="731"/>
      <c r="GR646" s="733"/>
      <c r="GS646" s="731"/>
      <c r="GT646" s="732"/>
      <c r="GU646" s="731"/>
      <c r="GV646" s="733"/>
      <c r="GW646" s="731"/>
      <c r="GX646" s="732"/>
      <c r="GY646" s="731"/>
      <c r="GZ646" s="733"/>
      <c r="HA646" s="731"/>
      <c r="HB646" s="732"/>
      <c r="HC646" s="731"/>
      <c r="HD646" s="733"/>
      <c r="HE646" s="731"/>
      <c r="HF646" s="732"/>
      <c r="HG646" s="731"/>
      <c r="HH646" s="733"/>
      <c r="HI646" s="731"/>
      <c r="HJ646" s="732"/>
      <c r="HK646" s="731"/>
      <c r="HL646" s="733"/>
      <c r="HM646" s="731"/>
      <c r="HN646" s="732"/>
      <c r="HO646" s="731"/>
      <c r="HP646" s="733"/>
      <c r="HQ646" s="731"/>
      <c r="HR646" s="732"/>
      <c r="HS646" s="731"/>
      <c r="HT646" s="733"/>
      <c r="HU646" s="731"/>
      <c r="HV646" s="732"/>
      <c r="HW646" s="731"/>
      <c r="HX646" s="733"/>
      <c r="HY646" s="731"/>
      <c r="HZ646" s="732"/>
      <c r="IA646" s="731"/>
      <c r="IB646" s="733"/>
      <c r="IC646" s="731"/>
      <c r="ID646" s="732"/>
      <c r="IE646" s="731"/>
      <c r="IF646" s="733"/>
      <c r="IG646" s="731"/>
      <c r="IH646" s="732"/>
      <c r="II646" s="731"/>
      <c r="IJ646" s="733"/>
      <c r="IK646" s="731"/>
      <c r="IL646" s="732"/>
      <c r="IM646" s="731"/>
      <c r="IN646" s="733"/>
      <c r="IO646" s="731"/>
      <c r="IP646" s="732"/>
      <c r="IQ646" s="731"/>
      <c r="IR646" s="733"/>
      <c r="IS646" s="731"/>
      <c r="IT646" s="732"/>
      <c r="IU646" s="731"/>
      <c r="IV646" s="733"/>
      <c r="IW646" s="731"/>
      <c r="IX646" s="732"/>
      <c r="IY646" s="731"/>
      <c r="IZ646" s="733"/>
      <c r="JA646" s="731"/>
      <c r="JB646" s="732"/>
      <c r="JC646" s="731"/>
      <c r="JD646" s="733"/>
      <c r="JE646" s="731"/>
      <c r="JF646" s="732"/>
      <c r="JG646" s="731"/>
      <c r="JH646" s="733"/>
      <c r="JI646" s="731"/>
      <c r="JJ646" s="732"/>
      <c r="JK646" s="731"/>
      <c r="JL646" s="733"/>
      <c r="JM646" s="731"/>
      <c r="JN646" s="732"/>
      <c r="JO646" s="731"/>
      <c r="JP646" s="733"/>
      <c r="JQ646" s="731"/>
      <c r="JR646" s="732"/>
      <c r="JS646" s="731"/>
      <c r="JT646" s="733"/>
      <c r="JU646" s="731"/>
      <c r="JV646" s="732"/>
      <c r="JW646" s="731"/>
      <c r="JX646" s="733"/>
      <c r="JY646" s="731"/>
      <c r="JZ646" s="732"/>
      <c r="KA646" s="731"/>
      <c r="KB646" s="733"/>
      <c r="KC646" s="731"/>
      <c r="KD646" s="732"/>
      <c r="KE646" s="731"/>
      <c r="KF646" s="733"/>
      <c r="KG646" s="731"/>
      <c r="KH646" s="732"/>
      <c r="KI646" s="731"/>
      <c r="KJ646" s="733"/>
      <c r="KK646" s="731"/>
      <c r="KL646" s="732"/>
      <c r="KM646" s="731"/>
      <c r="KN646" s="733"/>
      <c r="KO646" s="731"/>
      <c r="KP646" s="732"/>
      <c r="KQ646" s="731"/>
      <c r="KR646" s="733"/>
      <c r="KS646" s="731"/>
      <c r="KT646" s="732"/>
      <c r="KU646" s="731"/>
      <c r="KV646" s="733"/>
      <c r="KW646" s="731"/>
      <c r="KX646" s="732"/>
      <c r="KY646" s="731"/>
      <c r="KZ646" s="733"/>
      <c r="LA646" s="731"/>
      <c r="LB646" s="732"/>
      <c r="LC646" s="731"/>
      <c r="LD646" s="733"/>
      <c r="LE646" s="731"/>
      <c r="LF646" s="732"/>
      <c r="LG646" s="731"/>
      <c r="LH646" s="733"/>
      <c r="LI646" s="731"/>
      <c r="LJ646" s="732"/>
      <c r="LK646" s="731"/>
      <c r="LL646" s="733"/>
      <c r="LM646" s="731"/>
      <c r="LN646" s="732"/>
      <c r="LO646" s="731"/>
      <c r="LP646" s="733"/>
      <c r="LQ646" s="731"/>
      <c r="LR646" s="732"/>
      <c r="LS646" s="731"/>
      <c r="LT646" s="733"/>
      <c r="LU646" s="731"/>
      <c r="LV646" s="732"/>
      <c r="LW646" s="731"/>
      <c r="LX646" s="733"/>
      <c r="LY646" s="731"/>
      <c r="LZ646" s="732"/>
      <c r="MA646" s="731"/>
      <c r="MB646" s="733"/>
      <c r="MC646" s="731"/>
      <c r="MD646" s="732"/>
      <c r="ME646" s="731"/>
      <c r="MF646" s="733"/>
      <c r="MG646" s="731"/>
      <c r="MH646" s="732"/>
      <c r="MI646" s="731"/>
      <c r="MJ646" s="733"/>
      <c r="MK646" s="731"/>
      <c r="ML646" s="732"/>
      <c r="MM646" s="731"/>
      <c r="MN646" s="733"/>
      <c r="MO646" s="731"/>
      <c r="MP646" s="732"/>
      <c r="MQ646" s="731"/>
      <c r="MR646" s="733"/>
      <c r="MS646" s="731"/>
      <c r="MT646" s="732"/>
      <c r="MU646" s="731"/>
      <c r="MV646" s="733"/>
      <c r="MW646" s="731"/>
      <c r="MX646" s="732"/>
      <c r="MY646" s="731"/>
      <c r="MZ646" s="733"/>
      <c r="NA646" s="731"/>
      <c r="NB646" s="732"/>
      <c r="NC646" s="731"/>
      <c r="ND646" s="733"/>
      <c r="NE646" s="731"/>
      <c r="NF646" s="732"/>
      <c r="NG646" s="731"/>
      <c r="NH646" s="733"/>
      <c r="NI646" s="731"/>
      <c r="NJ646" s="732"/>
      <c r="NK646" s="731"/>
      <c r="NL646" s="733"/>
      <c r="NM646" s="731"/>
      <c r="NN646" s="732"/>
      <c r="NO646" s="731"/>
      <c r="NP646" s="733"/>
      <c r="NQ646" s="731"/>
      <c r="NR646" s="732"/>
      <c r="NS646" s="731"/>
      <c r="NT646" s="733"/>
      <c r="NU646" s="731"/>
      <c r="NV646" s="732"/>
      <c r="NW646" s="731"/>
      <c r="NX646" s="733"/>
      <c r="NY646" s="731"/>
      <c r="NZ646" s="732"/>
      <c r="OA646" s="731"/>
      <c r="OB646" s="733"/>
      <c r="OC646" s="731"/>
      <c r="OD646" s="732"/>
      <c r="OE646" s="731"/>
      <c r="OF646" s="733"/>
      <c r="OG646" s="731"/>
      <c r="OH646" s="732"/>
      <c r="OI646" s="731"/>
      <c r="OJ646" s="733"/>
      <c r="OK646" s="731"/>
      <c r="OL646" s="732"/>
      <c r="OM646" s="731"/>
      <c r="ON646" s="733"/>
      <c r="OO646" s="731"/>
      <c r="OP646" s="732"/>
      <c r="OQ646" s="731"/>
      <c r="OR646" s="733"/>
      <c r="OS646" s="731"/>
      <c r="OT646" s="732"/>
      <c r="OU646" s="731"/>
      <c r="OV646" s="733"/>
      <c r="OW646" s="731"/>
      <c r="OX646" s="732"/>
      <c r="OY646" s="731"/>
      <c r="OZ646" s="733"/>
      <c r="PA646" s="731"/>
      <c r="PB646" s="732"/>
      <c r="PC646" s="731"/>
      <c r="PD646" s="733"/>
      <c r="PE646" s="731"/>
      <c r="PF646" s="732"/>
      <c r="PG646" s="731"/>
      <c r="PH646" s="733"/>
      <c r="PI646" s="731"/>
      <c r="PJ646" s="732"/>
      <c r="PK646" s="731"/>
      <c r="PL646" s="733"/>
      <c r="PM646" s="731"/>
      <c r="PN646" s="732"/>
      <c r="PO646" s="731"/>
      <c r="PP646" s="733"/>
      <c r="PQ646" s="731"/>
      <c r="PR646" s="732"/>
      <c r="PS646" s="731"/>
      <c r="PT646" s="733"/>
      <c r="PU646" s="731"/>
      <c r="PV646" s="732"/>
      <c r="PW646" s="731"/>
      <c r="PX646" s="733"/>
      <c r="PY646" s="731"/>
      <c r="PZ646" s="732"/>
      <c r="QA646" s="731"/>
      <c r="QB646" s="733"/>
      <c r="QC646" s="731"/>
      <c r="QD646" s="732"/>
      <c r="QE646" s="731"/>
      <c r="QF646" s="733"/>
      <c r="QG646" s="731"/>
      <c r="QH646" s="732"/>
      <c r="QI646" s="731"/>
      <c r="QJ646" s="733"/>
      <c r="QK646" s="731"/>
      <c r="QL646" s="732"/>
      <c r="QM646" s="731"/>
      <c r="QN646" s="733"/>
      <c r="QO646" s="731"/>
      <c r="QP646" s="732"/>
      <c r="QQ646" s="731"/>
      <c r="QR646" s="733"/>
      <c r="QS646" s="731"/>
      <c r="QT646" s="732"/>
      <c r="QU646" s="731"/>
      <c r="QV646" s="733"/>
      <c r="QW646" s="731"/>
      <c r="QX646" s="732"/>
      <c r="QY646" s="731"/>
      <c r="QZ646" s="733"/>
      <c r="RA646" s="731"/>
      <c r="RB646" s="732"/>
      <c r="RC646" s="731"/>
      <c r="RD646" s="733"/>
      <c r="RE646" s="731"/>
      <c r="RF646" s="732"/>
      <c r="RG646" s="731"/>
      <c r="RH646" s="733"/>
      <c r="RI646" s="731"/>
      <c r="RJ646" s="732"/>
      <c r="RK646" s="731"/>
      <c r="RL646" s="733"/>
      <c r="RM646" s="731"/>
      <c r="RN646" s="732"/>
      <c r="RO646" s="731"/>
      <c r="RP646" s="733"/>
      <c r="RQ646" s="731"/>
      <c r="RR646" s="732"/>
      <c r="RS646" s="731"/>
      <c r="RT646" s="733"/>
      <c r="RU646" s="731"/>
      <c r="RV646" s="732"/>
      <c r="RW646" s="731"/>
      <c r="RX646" s="733"/>
      <c r="RY646" s="731"/>
      <c r="RZ646" s="732"/>
      <c r="SA646" s="731"/>
      <c r="SB646" s="733"/>
      <c r="SC646" s="731"/>
      <c r="SD646" s="732"/>
      <c r="SE646" s="731"/>
      <c r="SF646" s="733"/>
      <c r="SG646" s="731"/>
      <c r="SH646" s="732"/>
      <c r="SI646" s="731"/>
      <c r="SJ646" s="733"/>
      <c r="SK646" s="731"/>
      <c r="SL646" s="732"/>
      <c r="SM646" s="731"/>
      <c r="SN646" s="733"/>
      <c r="SO646" s="731"/>
      <c r="SP646" s="732"/>
      <c r="SQ646" s="731"/>
      <c r="SR646" s="733"/>
      <c r="SS646" s="731"/>
      <c r="ST646" s="732"/>
      <c r="SU646" s="731"/>
      <c r="SV646" s="733"/>
      <c r="SW646" s="731"/>
      <c r="SX646" s="732"/>
      <c r="SY646" s="731"/>
      <c r="SZ646" s="733"/>
      <c r="TA646" s="731"/>
      <c r="TB646" s="732"/>
      <c r="TC646" s="731"/>
      <c r="TD646" s="733"/>
      <c r="TE646" s="731"/>
      <c r="TF646" s="732"/>
      <c r="TG646" s="731"/>
      <c r="TH646" s="733"/>
      <c r="TI646" s="731"/>
      <c r="TJ646" s="732"/>
      <c r="TK646" s="731"/>
      <c r="TL646" s="733"/>
      <c r="TM646" s="731"/>
      <c r="TN646" s="732"/>
      <c r="TO646" s="731"/>
      <c r="TP646" s="733"/>
      <c r="TQ646" s="731"/>
      <c r="TR646" s="732"/>
      <c r="TS646" s="731"/>
      <c r="TT646" s="733"/>
      <c r="TU646" s="731"/>
      <c r="TV646" s="732"/>
      <c r="TW646" s="731"/>
      <c r="TX646" s="733"/>
      <c r="TY646" s="731"/>
      <c r="TZ646" s="732"/>
      <c r="UA646" s="731"/>
      <c r="UB646" s="733"/>
      <c r="UC646" s="731"/>
      <c r="UD646" s="732"/>
      <c r="UE646" s="731"/>
      <c r="UF646" s="733"/>
      <c r="UG646" s="731"/>
      <c r="UH646" s="732"/>
      <c r="UI646" s="731"/>
      <c r="UJ646" s="733"/>
      <c r="UK646" s="731"/>
      <c r="UL646" s="732"/>
      <c r="UM646" s="731"/>
      <c r="UN646" s="733"/>
      <c r="UO646" s="731"/>
      <c r="UP646" s="732"/>
      <c r="UQ646" s="731"/>
      <c r="UR646" s="733"/>
      <c r="US646" s="731"/>
      <c r="UT646" s="732"/>
      <c r="UU646" s="731"/>
      <c r="UV646" s="733"/>
      <c r="UW646" s="731"/>
      <c r="UX646" s="732"/>
      <c r="UY646" s="731"/>
      <c r="UZ646" s="733"/>
      <c r="VA646" s="731"/>
      <c r="VB646" s="732"/>
      <c r="VC646" s="731"/>
      <c r="VD646" s="733"/>
      <c r="VE646" s="731"/>
      <c r="VF646" s="732"/>
      <c r="VG646" s="731"/>
      <c r="VH646" s="733"/>
      <c r="VI646" s="731"/>
      <c r="VJ646" s="732"/>
      <c r="VK646" s="731"/>
      <c r="VL646" s="733"/>
      <c r="VM646" s="731"/>
      <c r="VN646" s="732"/>
      <c r="VO646" s="731"/>
      <c r="VP646" s="733"/>
      <c r="VQ646" s="731"/>
      <c r="VR646" s="732"/>
      <c r="VS646" s="731"/>
      <c r="VT646" s="733"/>
      <c r="VU646" s="731"/>
      <c r="VV646" s="732"/>
      <c r="VW646" s="731"/>
      <c r="VX646" s="733"/>
      <c r="VY646" s="731"/>
      <c r="VZ646" s="732"/>
      <c r="WA646" s="731"/>
      <c r="WB646" s="733"/>
      <c r="WC646" s="731"/>
      <c r="WD646" s="732"/>
      <c r="WE646" s="731"/>
      <c r="WF646" s="733"/>
      <c r="WG646" s="731"/>
      <c r="WH646" s="732"/>
      <c r="WI646" s="731"/>
      <c r="WJ646" s="733"/>
      <c r="WK646" s="731"/>
      <c r="WL646" s="732"/>
      <c r="WM646" s="731"/>
      <c r="WN646" s="733"/>
      <c r="WO646" s="731"/>
      <c r="WP646" s="732"/>
      <c r="WQ646" s="731"/>
      <c r="WR646" s="733"/>
      <c r="WS646" s="731"/>
      <c r="WT646" s="732"/>
      <c r="WU646" s="731"/>
      <c r="WV646" s="733"/>
      <c r="WW646" s="731"/>
      <c r="WX646" s="732"/>
      <c r="WY646" s="731"/>
      <c r="WZ646" s="733"/>
      <c r="XA646" s="731"/>
      <c r="XB646" s="732"/>
      <c r="XC646" s="731"/>
      <c r="XD646" s="733"/>
      <c r="XE646" s="731"/>
      <c r="XF646" s="732"/>
      <c r="XG646" s="731"/>
      <c r="XH646" s="733"/>
      <c r="XI646" s="731"/>
      <c r="XJ646" s="732"/>
      <c r="XK646" s="731"/>
      <c r="XL646" s="733"/>
      <c r="XM646" s="731"/>
      <c r="XN646" s="732"/>
      <c r="XO646" s="731"/>
      <c r="XP646" s="733"/>
      <c r="XQ646" s="731"/>
      <c r="XR646" s="732"/>
      <c r="XS646" s="731"/>
      <c r="XT646" s="733"/>
      <c r="XU646" s="731"/>
      <c r="XV646" s="732"/>
      <c r="XW646" s="731"/>
      <c r="XX646" s="733"/>
      <c r="XY646" s="731"/>
      <c r="XZ646" s="732"/>
      <c r="YA646" s="731"/>
      <c r="YB646" s="733"/>
      <c r="YC646" s="731"/>
      <c r="YD646" s="732"/>
      <c r="YE646" s="731"/>
      <c r="YF646" s="733"/>
      <c r="YG646" s="731"/>
      <c r="YH646" s="732"/>
      <c r="YI646" s="731"/>
      <c r="YJ646" s="733"/>
      <c r="YK646" s="731"/>
      <c r="YL646" s="732"/>
      <c r="YM646" s="731"/>
      <c r="YN646" s="733"/>
      <c r="YO646" s="731"/>
      <c r="YP646" s="732"/>
      <c r="YQ646" s="731"/>
      <c r="YR646" s="733"/>
      <c r="YS646" s="731"/>
      <c r="YT646" s="732"/>
      <c r="YU646" s="731"/>
      <c r="YV646" s="733"/>
      <c r="YW646" s="731"/>
      <c r="YX646" s="732"/>
      <c r="YY646" s="731"/>
      <c r="YZ646" s="733"/>
      <c r="ZA646" s="731"/>
      <c r="ZB646" s="732"/>
      <c r="ZC646" s="731"/>
      <c r="ZD646" s="733"/>
      <c r="ZE646" s="731"/>
      <c r="ZF646" s="732"/>
      <c r="ZG646" s="731"/>
      <c r="ZH646" s="733"/>
      <c r="ZI646" s="731"/>
      <c r="ZJ646" s="732"/>
      <c r="ZK646" s="731"/>
      <c r="ZL646" s="733"/>
      <c r="ZM646" s="731"/>
      <c r="ZN646" s="732"/>
      <c r="ZO646" s="731"/>
      <c r="ZP646" s="733"/>
      <c r="ZQ646" s="731"/>
      <c r="ZR646" s="732"/>
      <c r="ZS646" s="731"/>
      <c r="ZT646" s="733"/>
      <c r="ZU646" s="731"/>
      <c r="ZV646" s="732"/>
      <c r="ZW646" s="731"/>
      <c r="ZX646" s="733"/>
      <c r="ZY646" s="731"/>
      <c r="ZZ646" s="732"/>
      <c r="AAA646" s="731"/>
      <c r="AAB646" s="733"/>
      <c r="AAC646" s="731"/>
      <c r="AAD646" s="732"/>
      <c r="AAE646" s="731"/>
      <c r="AAF646" s="733"/>
      <c r="AAG646" s="731"/>
      <c r="AAH646" s="732"/>
      <c r="AAI646" s="731"/>
      <c r="AAJ646" s="733"/>
      <c r="AAK646" s="731"/>
      <c r="AAL646" s="732"/>
      <c r="AAM646" s="731"/>
      <c r="AAN646" s="733"/>
      <c r="AAO646" s="731"/>
      <c r="AAP646" s="732"/>
      <c r="AAQ646" s="731"/>
      <c r="AAR646" s="733"/>
      <c r="AAS646" s="731"/>
      <c r="AAT646" s="732"/>
      <c r="AAU646" s="731"/>
      <c r="AAV646" s="733"/>
      <c r="AAW646" s="731"/>
      <c r="AAX646" s="732"/>
      <c r="AAY646" s="731"/>
      <c r="AAZ646" s="733"/>
      <c r="ABA646" s="731"/>
      <c r="ABB646" s="732"/>
      <c r="ABC646" s="731"/>
      <c r="ABD646" s="733"/>
      <c r="ABE646" s="731"/>
      <c r="ABF646" s="732"/>
      <c r="ABG646" s="731"/>
      <c r="ABH646" s="733"/>
      <c r="ABI646" s="731"/>
      <c r="ABJ646" s="732"/>
      <c r="ABK646" s="731"/>
      <c r="ABL646" s="733"/>
      <c r="ABM646" s="731"/>
      <c r="ABN646" s="732"/>
      <c r="ABO646" s="731"/>
      <c r="ABP646" s="733"/>
      <c r="ABQ646" s="731"/>
      <c r="ABR646" s="732"/>
      <c r="ABS646" s="731"/>
      <c r="ABT646" s="733"/>
      <c r="ABU646" s="731"/>
      <c r="ABV646" s="732"/>
      <c r="ABW646" s="731"/>
      <c r="ABX646" s="733"/>
      <c r="ABY646" s="731"/>
      <c r="ABZ646" s="732"/>
      <c r="ACA646" s="731"/>
      <c r="ACB646" s="733"/>
      <c r="ACC646" s="731"/>
      <c r="ACD646" s="732"/>
      <c r="ACE646" s="731"/>
      <c r="ACF646" s="733"/>
      <c r="ACG646" s="731"/>
      <c r="ACH646" s="732"/>
      <c r="ACI646" s="731"/>
      <c r="ACJ646" s="733"/>
      <c r="ACK646" s="731"/>
      <c r="ACL646" s="732"/>
      <c r="ACM646" s="731"/>
      <c r="ACN646" s="733"/>
      <c r="ACO646" s="731"/>
      <c r="ACP646" s="732"/>
      <c r="ACQ646" s="731"/>
      <c r="ACR646" s="733"/>
      <c r="ACS646" s="731"/>
      <c r="ACT646" s="732"/>
      <c r="ACU646" s="731"/>
      <c r="ACV646" s="733"/>
      <c r="ACW646" s="731"/>
      <c r="ACX646" s="732"/>
      <c r="ACY646" s="731"/>
      <c r="ACZ646" s="733"/>
      <c r="ADA646" s="731"/>
      <c r="ADB646" s="732"/>
      <c r="ADC646" s="731"/>
      <c r="ADD646" s="733"/>
      <c r="ADE646" s="731"/>
      <c r="ADF646" s="732"/>
      <c r="ADG646" s="731"/>
      <c r="ADH646" s="733"/>
      <c r="ADI646" s="731"/>
      <c r="ADJ646" s="732"/>
      <c r="ADK646" s="731"/>
      <c r="ADL646" s="733"/>
      <c r="ADM646" s="731"/>
      <c r="ADN646" s="732"/>
      <c r="ADO646" s="731"/>
      <c r="ADP646" s="733"/>
      <c r="ADQ646" s="731"/>
      <c r="ADR646" s="732"/>
      <c r="ADS646" s="731"/>
      <c r="ADT646" s="733"/>
      <c r="ADU646" s="731"/>
      <c r="ADV646" s="732"/>
      <c r="ADW646" s="731"/>
      <c r="ADX646" s="733"/>
      <c r="ADY646" s="731"/>
      <c r="ADZ646" s="732"/>
      <c r="AEA646" s="731"/>
      <c r="AEB646" s="733"/>
      <c r="AEC646" s="731"/>
      <c r="AED646" s="732"/>
      <c r="AEE646" s="731"/>
      <c r="AEF646" s="733"/>
      <c r="AEG646" s="731"/>
      <c r="AEH646" s="732"/>
      <c r="AEI646" s="731"/>
      <c r="AEJ646" s="733"/>
      <c r="AEK646" s="731"/>
      <c r="AEL646" s="732"/>
      <c r="AEM646" s="731"/>
      <c r="AEN646" s="733"/>
      <c r="AEO646" s="731"/>
      <c r="AEP646" s="732"/>
      <c r="AEQ646" s="731"/>
      <c r="AER646" s="733"/>
      <c r="AES646" s="731"/>
      <c r="AET646" s="732"/>
      <c r="AEU646" s="731"/>
      <c r="AEV646" s="733"/>
      <c r="AEW646" s="731"/>
      <c r="AEX646" s="732"/>
      <c r="AEY646" s="731"/>
      <c r="AEZ646" s="733"/>
      <c r="AFA646" s="731"/>
      <c r="AFB646" s="732"/>
      <c r="AFC646" s="731"/>
      <c r="AFD646" s="733"/>
      <c r="AFE646" s="731"/>
      <c r="AFF646" s="732"/>
      <c r="AFG646" s="731"/>
      <c r="AFH646" s="733"/>
      <c r="AFI646" s="731"/>
      <c r="AFJ646" s="732"/>
      <c r="AFK646" s="731"/>
      <c r="AFL646" s="733"/>
      <c r="AFM646" s="731"/>
      <c r="AFN646" s="732"/>
      <c r="AFO646" s="731"/>
      <c r="AFP646" s="733"/>
      <c r="AFQ646" s="731"/>
      <c r="AFR646" s="732"/>
      <c r="AFS646" s="731"/>
      <c r="AFT646" s="733"/>
      <c r="AFU646" s="731"/>
      <c r="AFV646" s="732"/>
      <c r="AFW646" s="731"/>
      <c r="AFX646" s="733"/>
      <c r="AFY646" s="731"/>
      <c r="AFZ646" s="732"/>
      <c r="AGA646" s="731"/>
      <c r="AGB646" s="733"/>
      <c r="AGC646" s="731"/>
      <c r="AGD646" s="732"/>
      <c r="AGE646" s="731"/>
      <c r="AGF646" s="733"/>
      <c r="AGG646" s="731"/>
      <c r="AGH646" s="732"/>
      <c r="AGI646" s="731"/>
      <c r="AGJ646" s="733"/>
      <c r="AGK646" s="731"/>
      <c r="AGL646" s="732"/>
      <c r="AGM646" s="731"/>
      <c r="AGN646" s="733"/>
      <c r="AGO646" s="731"/>
      <c r="AGP646" s="732"/>
      <c r="AGQ646" s="731"/>
      <c r="AGR646" s="733"/>
      <c r="AGS646" s="731"/>
      <c r="AGT646" s="732"/>
      <c r="AGU646" s="731"/>
      <c r="AGV646" s="733"/>
      <c r="AGW646" s="731"/>
      <c r="AGX646" s="732"/>
      <c r="AGY646" s="731"/>
      <c r="AGZ646" s="733"/>
      <c r="AHA646" s="731"/>
      <c r="AHB646" s="732"/>
      <c r="AHC646" s="731"/>
      <c r="AHD646" s="733"/>
      <c r="AHE646" s="731"/>
      <c r="AHF646" s="732"/>
      <c r="AHG646" s="731"/>
      <c r="AHH646" s="733"/>
      <c r="AHI646" s="731"/>
      <c r="AHJ646" s="732"/>
      <c r="AHK646" s="731"/>
      <c r="AHL646" s="733"/>
      <c r="AHM646" s="731"/>
      <c r="AHN646" s="732"/>
      <c r="AHO646" s="731"/>
      <c r="AHP646" s="733"/>
      <c r="AHQ646" s="731"/>
      <c r="AHR646" s="732"/>
      <c r="AHS646" s="731"/>
      <c r="AHT646" s="733"/>
      <c r="AHU646" s="731"/>
      <c r="AHV646" s="732"/>
      <c r="AHW646" s="731"/>
      <c r="AHX646" s="733"/>
      <c r="AHY646" s="731"/>
      <c r="AHZ646" s="732"/>
      <c r="AIA646" s="731"/>
      <c r="AIB646" s="733"/>
      <c r="AIC646" s="731"/>
      <c r="AID646" s="732"/>
      <c r="AIE646" s="731"/>
      <c r="AIF646" s="733"/>
      <c r="AIG646" s="731"/>
      <c r="AIH646" s="732"/>
      <c r="AII646" s="731"/>
      <c r="AIJ646" s="733"/>
      <c r="AIK646" s="731"/>
      <c r="AIL646" s="732"/>
      <c r="AIM646" s="731"/>
      <c r="AIN646" s="733"/>
      <c r="AIO646" s="731"/>
      <c r="AIP646" s="732"/>
      <c r="AIQ646" s="731"/>
      <c r="AIR646" s="733"/>
      <c r="AIS646" s="731"/>
      <c r="AIT646" s="732"/>
      <c r="AIU646" s="731"/>
      <c r="AIV646" s="733"/>
      <c r="AIW646" s="731"/>
      <c r="AIX646" s="732"/>
      <c r="AIY646" s="731"/>
      <c r="AIZ646" s="733"/>
      <c r="AJA646" s="731"/>
      <c r="AJB646" s="732"/>
      <c r="AJC646" s="731"/>
      <c r="AJD646" s="733"/>
      <c r="AJE646" s="731"/>
      <c r="AJF646" s="732"/>
      <c r="AJG646" s="731"/>
      <c r="AJH646" s="733"/>
      <c r="AJI646" s="731"/>
      <c r="AJJ646" s="732"/>
      <c r="AJK646" s="731"/>
      <c r="AJL646" s="733"/>
      <c r="AJM646" s="731"/>
      <c r="AJN646" s="732"/>
      <c r="AJO646" s="731"/>
      <c r="AJP646" s="733"/>
      <c r="AJQ646" s="731"/>
      <c r="AJR646" s="732"/>
      <c r="AJS646" s="731"/>
      <c r="AJT646" s="733"/>
      <c r="AJU646" s="731"/>
      <c r="AJV646" s="732"/>
      <c r="AJW646" s="731"/>
      <c r="AJX646" s="733"/>
      <c r="AJY646" s="731"/>
      <c r="AJZ646" s="732"/>
      <c r="AKA646" s="731"/>
      <c r="AKB646" s="733"/>
      <c r="AKC646" s="731"/>
      <c r="AKD646" s="732"/>
      <c r="AKE646" s="731"/>
      <c r="AKF646" s="733"/>
      <c r="AKG646" s="731"/>
      <c r="AKH646" s="732"/>
      <c r="AKI646" s="731"/>
      <c r="AKJ646" s="733"/>
      <c r="AKK646" s="731"/>
      <c r="AKL646" s="732"/>
      <c r="AKM646" s="731"/>
      <c r="AKN646" s="733"/>
      <c r="AKO646" s="731"/>
      <c r="AKP646" s="732"/>
      <c r="AKQ646" s="731"/>
      <c r="AKR646" s="733"/>
      <c r="AKS646" s="731"/>
      <c r="AKT646" s="732"/>
      <c r="AKU646" s="731"/>
      <c r="AKV646" s="733"/>
      <c r="AKW646" s="731"/>
      <c r="AKX646" s="732"/>
      <c r="AKY646" s="731"/>
      <c r="AKZ646" s="733"/>
      <c r="ALA646" s="731"/>
      <c r="ALB646" s="732"/>
      <c r="ALC646" s="731"/>
      <c r="ALD646" s="733"/>
      <c r="ALE646" s="731"/>
      <c r="ALF646" s="732"/>
      <c r="ALG646" s="731"/>
      <c r="ALH646" s="733"/>
      <c r="ALI646" s="731"/>
      <c r="ALJ646" s="732"/>
      <c r="ALK646" s="731"/>
      <c r="ALL646" s="733"/>
      <c r="ALM646" s="731"/>
      <c r="ALN646" s="732"/>
      <c r="ALO646" s="731"/>
      <c r="ALP646" s="733"/>
      <c r="ALQ646" s="731"/>
      <c r="ALR646" s="732"/>
      <c r="ALS646" s="731"/>
      <c r="ALT646" s="733"/>
      <c r="ALU646" s="731"/>
      <c r="ALV646" s="732"/>
      <c r="ALW646" s="731"/>
      <c r="ALX646" s="733"/>
      <c r="ALY646" s="731"/>
      <c r="ALZ646" s="732"/>
      <c r="AMA646" s="731"/>
      <c r="AMB646" s="733"/>
      <c r="AMC646" s="731"/>
      <c r="AMD646" s="732"/>
      <c r="AME646" s="731"/>
      <c r="AMF646" s="733"/>
      <c r="AMG646" s="731"/>
      <c r="AMH646" s="732"/>
      <c r="AMI646" s="731"/>
      <c r="AMJ646" s="733"/>
      <c r="AMK646" s="731"/>
      <c r="AML646" s="732"/>
      <c r="AMM646" s="731"/>
      <c r="AMN646" s="733"/>
      <c r="AMO646" s="731"/>
      <c r="AMP646" s="732"/>
      <c r="AMQ646" s="731"/>
      <c r="AMR646" s="733"/>
      <c r="AMS646" s="731"/>
      <c r="AMT646" s="732"/>
      <c r="AMU646" s="731"/>
      <c r="AMV646" s="733"/>
      <c r="AMW646" s="731"/>
      <c r="AMX646" s="732"/>
      <c r="AMY646" s="731"/>
      <c r="AMZ646" s="733"/>
      <c r="ANA646" s="731"/>
      <c r="ANB646" s="732"/>
      <c r="ANC646" s="731"/>
      <c r="AND646" s="733"/>
      <c r="ANE646" s="731"/>
      <c r="ANF646" s="732"/>
      <c r="ANG646" s="731"/>
      <c r="ANH646" s="733"/>
      <c r="ANI646" s="731"/>
      <c r="ANJ646" s="732"/>
      <c r="ANK646" s="731"/>
      <c r="ANL646" s="733"/>
      <c r="ANM646" s="731"/>
      <c r="ANN646" s="732"/>
      <c r="ANO646" s="731"/>
      <c r="ANP646" s="733"/>
      <c r="ANQ646" s="731"/>
      <c r="ANR646" s="732"/>
      <c r="ANS646" s="731"/>
      <c r="ANT646" s="733"/>
      <c r="ANU646" s="731"/>
      <c r="ANV646" s="732"/>
      <c r="ANW646" s="731"/>
      <c r="ANX646" s="733"/>
      <c r="ANY646" s="731"/>
      <c r="ANZ646" s="732"/>
      <c r="AOA646" s="731"/>
      <c r="AOB646" s="733"/>
      <c r="AOC646" s="731"/>
      <c r="AOD646" s="732"/>
      <c r="AOE646" s="731"/>
      <c r="AOF646" s="733"/>
      <c r="AOG646" s="731"/>
      <c r="AOH646" s="732"/>
      <c r="AOI646" s="731"/>
      <c r="AOJ646" s="733"/>
      <c r="AOK646" s="731"/>
      <c r="AOL646" s="732"/>
      <c r="AOM646" s="731"/>
      <c r="AON646" s="733"/>
      <c r="AOO646" s="731"/>
      <c r="AOP646" s="732"/>
      <c r="AOQ646" s="731"/>
      <c r="AOR646" s="733"/>
      <c r="AOS646" s="731"/>
      <c r="AOT646" s="732"/>
      <c r="AOU646" s="731"/>
      <c r="AOV646" s="733"/>
      <c r="AOW646" s="731"/>
      <c r="AOX646" s="732"/>
      <c r="AOY646" s="731"/>
      <c r="AOZ646" s="733"/>
      <c r="APA646" s="731"/>
      <c r="APB646" s="732"/>
      <c r="APC646" s="731"/>
      <c r="APD646" s="733"/>
      <c r="APE646" s="731"/>
      <c r="APF646" s="732"/>
      <c r="APG646" s="731"/>
      <c r="APH646" s="733"/>
      <c r="API646" s="731"/>
      <c r="APJ646" s="732"/>
      <c r="APK646" s="731"/>
      <c r="APL646" s="733"/>
      <c r="APM646" s="731"/>
      <c r="APN646" s="732"/>
      <c r="APO646" s="731"/>
      <c r="APP646" s="733"/>
      <c r="APQ646" s="731"/>
      <c r="APR646" s="732"/>
      <c r="APS646" s="731"/>
      <c r="APT646" s="733"/>
      <c r="APU646" s="731"/>
      <c r="APV646" s="732"/>
      <c r="APW646" s="731"/>
      <c r="APX646" s="733"/>
      <c r="APY646" s="731"/>
      <c r="APZ646" s="732"/>
      <c r="AQA646" s="731"/>
      <c r="AQB646" s="733"/>
      <c r="AQC646" s="731"/>
      <c r="AQD646" s="732"/>
      <c r="AQE646" s="731"/>
      <c r="AQF646" s="733"/>
      <c r="AQG646" s="731"/>
      <c r="AQH646" s="732"/>
      <c r="AQI646" s="731"/>
      <c r="AQJ646" s="733"/>
      <c r="AQK646" s="731"/>
      <c r="AQL646" s="732"/>
      <c r="AQM646" s="731"/>
      <c r="AQN646" s="733"/>
      <c r="AQO646" s="731"/>
      <c r="AQP646" s="732"/>
      <c r="AQQ646" s="731"/>
      <c r="AQR646" s="733"/>
      <c r="AQS646" s="731"/>
      <c r="AQT646" s="732"/>
      <c r="AQU646" s="731"/>
      <c r="AQV646" s="733"/>
      <c r="AQW646" s="731"/>
      <c r="AQX646" s="732"/>
      <c r="AQY646" s="731"/>
      <c r="AQZ646" s="733"/>
      <c r="ARA646" s="731"/>
      <c r="ARB646" s="732"/>
      <c r="ARC646" s="731"/>
      <c r="ARD646" s="733"/>
      <c r="ARE646" s="731"/>
      <c r="ARF646" s="732"/>
      <c r="ARG646" s="731"/>
      <c r="ARH646" s="733"/>
      <c r="ARI646" s="731"/>
      <c r="ARJ646" s="732"/>
      <c r="ARK646" s="731"/>
      <c r="ARL646" s="733"/>
      <c r="ARM646" s="731"/>
      <c r="ARN646" s="732"/>
      <c r="ARO646" s="731"/>
      <c r="ARP646" s="733"/>
      <c r="ARQ646" s="731"/>
      <c r="ARR646" s="732"/>
      <c r="ARS646" s="731"/>
      <c r="ART646" s="733"/>
      <c r="ARU646" s="731"/>
      <c r="ARV646" s="732"/>
      <c r="ARW646" s="731"/>
      <c r="ARX646" s="733"/>
      <c r="ARY646" s="731"/>
      <c r="ARZ646" s="732"/>
      <c r="ASA646" s="731"/>
      <c r="ASB646" s="733"/>
      <c r="ASC646" s="731"/>
      <c r="ASD646" s="732"/>
      <c r="ASE646" s="731"/>
      <c r="ASF646" s="733"/>
      <c r="ASG646" s="731"/>
      <c r="ASH646" s="732"/>
      <c r="ASI646" s="731"/>
      <c r="ASJ646" s="733"/>
      <c r="ASK646" s="731"/>
      <c r="ASL646" s="732"/>
      <c r="ASM646" s="731"/>
      <c r="ASN646" s="733"/>
      <c r="ASO646" s="731"/>
      <c r="ASP646" s="732"/>
      <c r="ASQ646" s="731"/>
      <c r="ASR646" s="733"/>
      <c r="ASS646" s="731"/>
      <c r="AST646" s="732"/>
      <c r="ASU646" s="731"/>
      <c r="ASV646" s="733"/>
      <c r="ASW646" s="731"/>
      <c r="ASX646" s="732"/>
      <c r="ASY646" s="731"/>
      <c r="ASZ646" s="733"/>
      <c r="ATA646" s="731"/>
      <c r="ATB646" s="732"/>
      <c r="ATC646" s="731"/>
      <c r="ATD646" s="733"/>
      <c r="ATE646" s="731"/>
      <c r="ATF646" s="732"/>
      <c r="ATG646" s="731"/>
      <c r="ATH646" s="733"/>
      <c r="ATI646" s="731"/>
      <c r="ATJ646" s="732"/>
      <c r="ATK646" s="731"/>
      <c r="ATL646" s="733"/>
      <c r="ATM646" s="731"/>
      <c r="ATN646" s="732"/>
      <c r="ATO646" s="731"/>
      <c r="ATP646" s="733"/>
      <c r="ATQ646" s="731"/>
      <c r="ATR646" s="732"/>
      <c r="ATS646" s="731"/>
      <c r="ATT646" s="733"/>
      <c r="ATU646" s="731"/>
      <c r="ATV646" s="732"/>
      <c r="ATW646" s="731"/>
      <c r="ATX646" s="733"/>
      <c r="ATY646" s="731"/>
      <c r="ATZ646" s="732"/>
      <c r="AUA646" s="731"/>
      <c r="AUB646" s="733"/>
      <c r="AUC646" s="731"/>
      <c r="AUD646" s="732"/>
      <c r="AUE646" s="731"/>
      <c r="AUF646" s="733"/>
      <c r="AUG646" s="731"/>
      <c r="AUH646" s="732"/>
      <c r="AUI646" s="731"/>
      <c r="AUJ646" s="733"/>
      <c r="AUK646" s="731"/>
      <c r="AUL646" s="732"/>
      <c r="AUM646" s="731"/>
      <c r="AUN646" s="733"/>
      <c r="AUO646" s="731"/>
      <c r="AUP646" s="732"/>
      <c r="AUQ646" s="731"/>
      <c r="AUR646" s="733"/>
      <c r="AUS646" s="731"/>
      <c r="AUT646" s="732"/>
      <c r="AUU646" s="731"/>
      <c r="AUV646" s="733"/>
      <c r="AUW646" s="731"/>
      <c r="AUX646" s="732"/>
      <c r="AUY646" s="731"/>
      <c r="AUZ646" s="733"/>
      <c r="AVA646" s="731"/>
      <c r="AVB646" s="732"/>
      <c r="AVC646" s="731"/>
      <c r="AVD646" s="733"/>
      <c r="AVE646" s="731"/>
      <c r="AVF646" s="732"/>
      <c r="AVG646" s="731"/>
      <c r="AVH646" s="733"/>
      <c r="AVI646" s="731"/>
      <c r="AVJ646" s="732"/>
      <c r="AVK646" s="731"/>
      <c r="AVL646" s="733"/>
      <c r="AVM646" s="731"/>
      <c r="AVN646" s="732"/>
      <c r="AVO646" s="731"/>
      <c r="AVP646" s="733"/>
      <c r="AVQ646" s="731"/>
      <c r="AVR646" s="732"/>
      <c r="AVS646" s="731"/>
      <c r="AVT646" s="733"/>
      <c r="AVU646" s="731"/>
      <c r="AVV646" s="732"/>
      <c r="AVW646" s="731"/>
      <c r="AVX646" s="733"/>
      <c r="AVY646" s="731"/>
      <c r="AVZ646" s="732"/>
      <c r="AWA646" s="731"/>
      <c r="AWB646" s="733"/>
      <c r="AWC646" s="731"/>
      <c r="AWD646" s="732"/>
      <c r="AWE646" s="731"/>
      <c r="AWF646" s="733"/>
      <c r="AWG646" s="731"/>
      <c r="AWH646" s="732"/>
      <c r="AWI646" s="731"/>
      <c r="AWJ646" s="733"/>
      <c r="AWK646" s="731"/>
      <c r="AWL646" s="732"/>
      <c r="AWM646" s="731"/>
      <c r="AWN646" s="733"/>
      <c r="AWO646" s="731"/>
      <c r="AWP646" s="732"/>
      <c r="AWQ646" s="731"/>
      <c r="AWR646" s="733"/>
      <c r="AWS646" s="731"/>
      <c r="AWT646" s="732"/>
      <c r="AWU646" s="731"/>
      <c r="AWV646" s="733"/>
      <c r="AWW646" s="731"/>
      <c r="AWX646" s="732"/>
      <c r="AWY646" s="731"/>
      <c r="AWZ646" s="733"/>
      <c r="AXA646" s="731"/>
      <c r="AXB646" s="732"/>
      <c r="AXC646" s="731"/>
      <c r="AXD646" s="733"/>
      <c r="AXE646" s="731"/>
      <c r="AXF646" s="732"/>
      <c r="AXG646" s="731"/>
      <c r="AXH646" s="733"/>
      <c r="AXI646" s="731"/>
      <c r="AXJ646" s="732"/>
      <c r="AXK646" s="731"/>
      <c r="AXL646" s="733"/>
      <c r="AXM646" s="731"/>
      <c r="AXN646" s="732"/>
      <c r="AXO646" s="731"/>
      <c r="AXP646" s="733"/>
      <c r="AXQ646" s="731"/>
      <c r="AXR646" s="732"/>
      <c r="AXS646" s="731"/>
      <c r="AXT646" s="733"/>
      <c r="AXU646" s="731"/>
      <c r="AXV646" s="732"/>
      <c r="AXW646" s="731"/>
      <c r="AXX646" s="733"/>
      <c r="AXY646" s="731"/>
      <c r="AXZ646" s="732"/>
      <c r="AYA646" s="731"/>
      <c r="AYB646" s="733"/>
      <c r="AYC646" s="731"/>
      <c r="AYD646" s="732"/>
      <c r="AYE646" s="731"/>
      <c r="AYF646" s="733"/>
      <c r="AYG646" s="731"/>
      <c r="AYH646" s="732"/>
      <c r="AYI646" s="731"/>
      <c r="AYJ646" s="733"/>
      <c r="AYK646" s="731"/>
      <c r="AYL646" s="732"/>
      <c r="AYM646" s="731"/>
      <c r="AYN646" s="733"/>
      <c r="AYO646" s="731"/>
      <c r="AYP646" s="732"/>
      <c r="AYQ646" s="731"/>
      <c r="AYR646" s="733"/>
      <c r="AYS646" s="731"/>
      <c r="AYT646" s="732"/>
      <c r="AYU646" s="731"/>
      <c r="AYV646" s="733"/>
      <c r="AYW646" s="731"/>
      <c r="AYX646" s="732"/>
      <c r="AYY646" s="731"/>
      <c r="AYZ646" s="733"/>
      <c r="AZA646" s="731"/>
      <c r="AZB646" s="732"/>
      <c r="AZC646" s="731"/>
      <c r="AZD646" s="733"/>
      <c r="AZE646" s="731"/>
      <c r="AZF646" s="732"/>
      <c r="AZG646" s="731"/>
      <c r="AZH646" s="733"/>
      <c r="AZI646" s="731"/>
      <c r="AZJ646" s="732"/>
      <c r="AZK646" s="731"/>
      <c r="AZL646" s="733"/>
      <c r="AZM646" s="731"/>
      <c r="AZN646" s="732"/>
      <c r="AZO646" s="731"/>
      <c r="AZP646" s="733"/>
      <c r="AZQ646" s="731"/>
      <c r="AZR646" s="732"/>
      <c r="AZS646" s="731"/>
      <c r="AZT646" s="733"/>
      <c r="AZU646" s="731"/>
      <c r="AZV646" s="732"/>
      <c r="AZW646" s="731"/>
      <c r="AZX646" s="733"/>
      <c r="AZY646" s="731"/>
      <c r="AZZ646" s="732"/>
      <c r="BAA646" s="731"/>
      <c r="BAB646" s="733"/>
      <c r="BAC646" s="731"/>
      <c r="BAD646" s="732"/>
      <c r="BAE646" s="731"/>
      <c r="BAF646" s="733"/>
      <c r="BAG646" s="731"/>
      <c r="BAH646" s="732"/>
      <c r="BAI646" s="731"/>
      <c r="BAJ646" s="733"/>
      <c r="BAK646" s="731"/>
      <c r="BAL646" s="732"/>
      <c r="BAM646" s="731"/>
      <c r="BAN646" s="733"/>
      <c r="BAO646" s="731"/>
      <c r="BAP646" s="732"/>
      <c r="BAQ646" s="731"/>
      <c r="BAR646" s="733"/>
      <c r="BAS646" s="731"/>
      <c r="BAT646" s="732"/>
      <c r="BAU646" s="731"/>
      <c r="BAV646" s="733"/>
      <c r="BAW646" s="731"/>
      <c r="BAX646" s="732"/>
      <c r="BAY646" s="731"/>
      <c r="BAZ646" s="733"/>
      <c r="BBA646" s="731"/>
      <c r="BBB646" s="732"/>
      <c r="BBC646" s="731"/>
      <c r="BBD646" s="733"/>
      <c r="BBE646" s="731"/>
      <c r="BBF646" s="732"/>
      <c r="BBG646" s="731"/>
      <c r="BBH646" s="733"/>
      <c r="BBI646" s="731"/>
      <c r="BBJ646" s="732"/>
      <c r="BBK646" s="731"/>
      <c r="BBL646" s="733"/>
      <c r="BBM646" s="731"/>
      <c r="BBN646" s="732"/>
      <c r="BBO646" s="731"/>
      <c r="BBP646" s="733"/>
      <c r="BBQ646" s="731"/>
      <c r="BBR646" s="732"/>
      <c r="BBS646" s="731"/>
      <c r="BBT646" s="733"/>
      <c r="BBU646" s="731"/>
      <c r="BBV646" s="732"/>
      <c r="BBW646" s="731"/>
      <c r="BBX646" s="733"/>
      <c r="BBY646" s="731"/>
      <c r="BBZ646" s="732"/>
      <c r="BCA646" s="731"/>
      <c r="BCB646" s="733"/>
      <c r="BCC646" s="731"/>
      <c r="BCD646" s="732"/>
      <c r="BCE646" s="731"/>
      <c r="BCF646" s="733"/>
      <c r="BCG646" s="731"/>
      <c r="BCH646" s="732"/>
      <c r="BCI646" s="731"/>
      <c r="BCJ646" s="733"/>
      <c r="BCK646" s="731"/>
      <c r="BCL646" s="732"/>
      <c r="BCM646" s="731"/>
      <c r="BCN646" s="733"/>
      <c r="BCO646" s="731"/>
      <c r="BCP646" s="732"/>
      <c r="BCQ646" s="731"/>
      <c r="BCR646" s="733"/>
      <c r="BCS646" s="731"/>
      <c r="BCT646" s="732"/>
      <c r="BCU646" s="731"/>
      <c r="BCV646" s="733"/>
      <c r="BCW646" s="731"/>
      <c r="BCX646" s="732"/>
      <c r="BCY646" s="731"/>
      <c r="BCZ646" s="733"/>
      <c r="BDA646" s="731"/>
      <c r="BDB646" s="732"/>
      <c r="BDC646" s="731"/>
      <c r="BDD646" s="733"/>
      <c r="BDE646" s="731"/>
      <c r="BDF646" s="732"/>
      <c r="BDG646" s="731"/>
      <c r="BDH646" s="733"/>
      <c r="BDI646" s="731"/>
      <c r="BDJ646" s="732"/>
      <c r="BDK646" s="731"/>
      <c r="BDL646" s="733"/>
      <c r="BDM646" s="731"/>
      <c r="BDN646" s="732"/>
      <c r="BDO646" s="731"/>
      <c r="BDP646" s="733"/>
      <c r="BDQ646" s="731"/>
      <c r="BDR646" s="732"/>
      <c r="BDS646" s="731"/>
      <c r="BDT646" s="733"/>
      <c r="BDU646" s="731"/>
      <c r="BDV646" s="732"/>
      <c r="BDW646" s="731"/>
      <c r="BDX646" s="733"/>
      <c r="BDY646" s="731"/>
      <c r="BDZ646" s="732"/>
      <c r="BEA646" s="731"/>
      <c r="BEB646" s="733"/>
      <c r="BEC646" s="731"/>
      <c r="BED646" s="732"/>
      <c r="BEE646" s="731"/>
      <c r="BEF646" s="733"/>
      <c r="BEG646" s="731"/>
      <c r="BEH646" s="732"/>
      <c r="BEI646" s="731"/>
      <c r="BEJ646" s="733"/>
      <c r="BEK646" s="731"/>
      <c r="BEL646" s="732"/>
      <c r="BEM646" s="731"/>
      <c r="BEN646" s="733"/>
      <c r="BEO646" s="731"/>
      <c r="BEP646" s="732"/>
      <c r="BEQ646" s="731"/>
      <c r="BER646" s="733"/>
      <c r="BES646" s="731"/>
      <c r="BET646" s="732"/>
      <c r="BEU646" s="731"/>
      <c r="BEV646" s="733"/>
      <c r="BEW646" s="731"/>
      <c r="BEX646" s="732"/>
      <c r="BEY646" s="731"/>
      <c r="BEZ646" s="733"/>
      <c r="BFA646" s="731"/>
      <c r="BFB646" s="732"/>
      <c r="BFC646" s="731"/>
      <c r="BFD646" s="733"/>
      <c r="BFE646" s="731"/>
      <c r="BFF646" s="732"/>
      <c r="BFG646" s="731"/>
      <c r="BFH646" s="733"/>
      <c r="BFI646" s="731"/>
      <c r="BFJ646" s="732"/>
      <c r="BFK646" s="731"/>
      <c r="BFL646" s="733"/>
      <c r="BFM646" s="731"/>
      <c r="BFN646" s="732"/>
      <c r="BFO646" s="731"/>
      <c r="BFP646" s="733"/>
      <c r="BFQ646" s="731"/>
      <c r="BFR646" s="732"/>
      <c r="BFS646" s="731"/>
      <c r="BFT646" s="733"/>
      <c r="BFU646" s="731"/>
      <c r="BFV646" s="732"/>
      <c r="BFW646" s="731"/>
      <c r="BFX646" s="733"/>
      <c r="BFY646" s="731"/>
      <c r="BFZ646" s="732"/>
      <c r="BGA646" s="731"/>
      <c r="BGB646" s="733"/>
      <c r="BGC646" s="731"/>
      <c r="BGD646" s="732"/>
      <c r="BGE646" s="731"/>
      <c r="BGF646" s="733"/>
      <c r="BGG646" s="731"/>
      <c r="BGH646" s="732"/>
      <c r="BGI646" s="731"/>
      <c r="BGJ646" s="733"/>
      <c r="BGK646" s="731"/>
      <c r="BGL646" s="732"/>
      <c r="BGM646" s="731"/>
      <c r="BGN646" s="733"/>
      <c r="BGO646" s="731"/>
      <c r="BGP646" s="732"/>
      <c r="BGQ646" s="731"/>
      <c r="BGR646" s="733"/>
      <c r="BGS646" s="731"/>
      <c r="BGT646" s="732"/>
      <c r="BGU646" s="731"/>
      <c r="BGV646" s="733"/>
      <c r="BGW646" s="731"/>
      <c r="BGX646" s="732"/>
      <c r="BGY646" s="731"/>
      <c r="BGZ646" s="733"/>
      <c r="BHA646" s="731"/>
      <c r="BHB646" s="732"/>
      <c r="BHC646" s="731"/>
      <c r="BHD646" s="733"/>
      <c r="BHE646" s="731"/>
      <c r="BHF646" s="732"/>
      <c r="BHG646" s="731"/>
      <c r="BHH646" s="733"/>
      <c r="BHI646" s="731"/>
      <c r="BHJ646" s="732"/>
      <c r="BHK646" s="731"/>
      <c r="BHL646" s="733"/>
      <c r="BHM646" s="731"/>
      <c r="BHN646" s="732"/>
      <c r="BHO646" s="731"/>
      <c r="BHP646" s="733"/>
      <c r="BHQ646" s="731"/>
      <c r="BHR646" s="732"/>
      <c r="BHS646" s="731"/>
      <c r="BHT646" s="733"/>
      <c r="BHU646" s="731"/>
      <c r="BHV646" s="732"/>
      <c r="BHW646" s="731"/>
      <c r="BHX646" s="733"/>
      <c r="BHY646" s="731"/>
      <c r="BHZ646" s="732"/>
      <c r="BIA646" s="731"/>
      <c r="BIB646" s="733"/>
      <c r="BIC646" s="731"/>
      <c r="BID646" s="732"/>
      <c r="BIE646" s="731"/>
      <c r="BIF646" s="733"/>
      <c r="BIG646" s="731"/>
      <c r="BIH646" s="732"/>
      <c r="BII646" s="731"/>
      <c r="BIJ646" s="733"/>
      <c r="BIK646" s="731"/>
      <c r="BIL646" s="732"/>
      <c r="BIM646" s="731"/>
      <c r="BIN646" s="733"/>
      <c r="BIO646" s="731"/>
      <c r="BIP646" s="732"/>
      <c r="BIQ646" s="731"/>
      <c r="BIR646" s="733"/>
      <c r="BIS646" s="731"/>
      <c r="BIT646" s="732"/>
      <c r="BIU646" s="731"/>
      <c r="BIV646" s="733"/>
      <c r="BIW646" s="731"/>
      <c r="BIX646" s="732"/>
      <c r="BIY646" s="731"/>
      <c r="BIZ646" s="733"/>
      <c r="BJA646" s="731"/>
      <c r="BJB646" s="732"/>
      <c r="BJC646" s="731"/>
      <c r="BJD646" s="733"/>
      <c r="BJE646" s="731"/>
      <c r="BJF646" s="732"/>
      <c r="BJG646" s="731"/>
      <c r="BJH646" s="733"/>
      <c r="BJI646" s="731"/>
      <c r="BJJ646" s="732"/>
      <c r="BJK646" s="731"/>
      <c r="BJL646" s="733"/>
      <c r="BJM646" s="731"/>
      <c r="BJN646" s="732"/>
      <c r="BJO646" s="731"/>
      <c r="BJP646" s="733"/>
      <c r="BJQ646" s="731"/>
      <c r="BJR646" s="732"/>
      <c r="BJS646" s="731"/>
      <c r="BJT646" s="733"/>
      <c r="BJU646" s="731"/>
      <c r="BJV646" s="732"/>
      <c r="BJW646" s="731"/>
      <c r="BJX646" s="733"/>
      <c r="BJY646" s="731"/>
      <c r="BJZ646" s="732"/>
      <c r="BKA646" s="731"/>
      <c r="BKB646" s="733"/>
      <c r="BKC646" s="731"/>
      <c r="BKD646" s="732"/>
      <c r="BKE646" s="731"/>
      <c r="BKF646" s="733"/>
      <c r="BKG646" s="731"/>
      <c r="BKH646" s="732"/>
      <c r="BKI646" s="731"/>
      <c r="BKJ646" s="733"/>
      <c r="BKK646" s="731"/>
      <c r="BKL646" s="732"/>
      <c r="BKM646" s="731"/>
      <c r="BKN646" s="733"/>
      <c r="BKO646" s="731"/>
      <c r="BKP646" s="732"/>
      <c r="BKQ646" s="731"/>
      <c r="BKR646" s="733"/>
      <c r="BKS646" s="731"/>
      <c r="BKT646" s="732"/>
      <c r="BKU646" s="731"/>
      <c r="BKV646" s="733"/>
      <c r="BKW646" s="731"/>
      <c r="BKX646" s="732"/>
      <c r="BKY646" s="731"/>
      <c r="BKZ646" s="733"/>
      <c r="BLA646" s="731"/>
      <c r="BLB646" s="732"/>
      <c r="BLC646" s="731"/>
      <c r="BLD646" s="733"/>
      <c r="BLE646" s="731"/>
      <c r="BLF646" s="732"/>
      <c r="BLG646" s="731"/>
      <c r="BLH646" s="733"/>
      <c r="BLI646" s="731"/>
      <c r="BLJ646" s="732"/>
      <c r="BLK646" s="731"/>
      <c r="BLL646" s="733"/>
      <c r="BLM646" s="731"/>
      <c r="BLN646" s="732"/>
      <c r="BLO646" s="731"/>
      <c r="BLP646" s="733"/>
      <c r="BLQ646" s="731"/>
      <c r="BLR646" s="732"/>
      <c r="BLS646" s="731"/>
      <c r="BLT646" s="733"/>
      <c r="BLU646" s="731"/>
      <c r="BLV646" s="732"/>
      <c r="BLW646" s="731"/>
      <c r="BLX646" s="733"/>
      <c r="BLY646" s="731"/>
      <c r="BLZ646" s="732"/>
      <c r="BMA646" s="731"/>
      <c r="BMB646" s="733"/>
      <c r="BMC646" s="731"/>
      <c r="BMD646" s="732"/>
      <c r="BME646" s="731"/>
      <c r="BMF646" s="733"/>
      <c r="BMG646" s="731"/>
      <c r="BMH646" s="732"/>
      <c r="BMI646" s="731"/>
      <c r="BMJ646" s="733"/>
      <c r="BMK646" s="731"/>
      <c r="BML646" s="732"/>
      <c r="BMM646" s="731"/>
      <c r="BMN646" s="733"/>
      <c r="BMO646" s="731"/>
      <c r="BMP646" s="732"/>
      <c r="BMQ646" s="731"/>
      <c r="BMR646" s="733"/>
      <c r="BMS646" s="731"/>
      <c r="BMT646" s="732"/>
      <c r="BMU646" s="731"/>
      <c r="BMV646" s="733"/>
      <c r="BMW646" s="731"/>
      <c r="BMX646" s="732"/>
      <c r="BMY646" s="731"/>
      <c r="BMZ646" s="733"/>
      <c r="BNA646" s="731"/>
      <c r="BNB646" s="732"/>
      <c r="BNC646" s="731"/>
      <c r="BND646" s="733"/>
      <c r="BNE646" s="731"/>
      <c r="BNF646" s="732"/>
      <c r="BNG646" s="731"/>
      <c r="BNH646" s="733"/>
      <c r="BNI646" s="731"/>
      <c r="BNJ646" s="732"/>
      <c r="BNK646" s="731"/>
      <c r="BNL646" s="733"/>
      <c r="BNM646" s="731"/>
      <c r="BNN646" s="732"/>
      <c r="BNO646" s="731"/>
      <c r="BNP646" s="733"/>
      <c r="BNQ646" s="731"/>
      <c r="BNR646" s="732"/>
      <c r="BNS646" s="731"/>
      <c r="BNT646" s="733"/>
      <c r="BNU646" s="731"/>
      <c r="BNV646" s="732"/>
      <c r="BNW646" s="731"/>
      <c r="BNX646" s="733"/>
      <c r="BNY646" s="731"/>
      <c r="BNZ646" s="732"/>
      <c r="BOA646" s="731"/>
      <c r="BOB646" s="733"/>
      <c r="BOC646" s="731"/>
      <c r="BOD646" s="732"/>
      <c r="BOE646" s="731"/>
      <c r="BOF646" s="733"/>
      <c r="BOG646" s="731"/>
      <c r="BOH646" s="732"/>
      <c r="BOI646" s="731"/>
      <c r="BOJ646" s="733"/>
      <c r="BOK646" s="731"/>
      <c r="BOL646" s="732"/>
      <c r="BOM646" s="731"/>
      <c r="BON646" s="733"/>
      <c r="BOO646" s="731"/>
      <c r="BOP646" s="732"/>
      <c r="BOQ646" s="731"/>
      <c r="BOR646" s="733"/>
      <c r="BOS646" s="731"/>
      <c r="BOT646" s="732"/>
      <c r="BOU646" s="731"/>
      <c r="BOV646" s="733"/>
      <c r="BOW646" s="731"/>
      <c r="BOX646" s="732"/>
      <c r="BOY646" s="731"/>
      <c r="BOZ646" s="733"/>
      <c r="BPA646" s="731"/>
      <c r="BPB646" s="732"/>
      <c r="BPC646" s="731"/>
      <c r="BPD646" s="733"/>
      <c r="BPE646" s="731"/>
      <c r="BPF646" s="732"/>
      <c r="BPG646" s="731"/>
      <c r="BPH646" s="733"/>
      <c r="BPI646" s="731"/>
      <c r="BPJ646" s="732"/>
      <c r="BPK646" s="731"/>
      <c r="BPL646" s="733"/>
      <c r="BPM646" s="731"/>
      <c r="BPN646" s="732"/>
      <c r="BPO646" s="731"/>
      <c r="BPP646" s="733"/>
      <c r="BPQ646" s="731"/>
      <c r="BPR646" s="732"/>
      <c r="BPS646" s="731"/>
      <c r="BPT646" s="733"/>
      <c r="BPU646" s="731"/>
      <c r="BPV646" s="732"/>
      <c r="BPW646" s="731"/>
      <c r="BPX646" s="733"/>
      <c r="BPY646" s="731"/>
      <c r="BPZ646" s="732"/>
      <c r="BQA646" s="731"/>
      <c r="BQB646" s="733"/>
      <c r="BQC646" s="731"/>
      <c r="BQD646" s="732"/>
      <c r="BQE646" s="731"/>
      <c r="BQF646" s="733"/>
      <c r="BQG646" s="731"/>
      <c r="BQH646" s="732"/>
      <c r="BQI646" s="731"/>
      <c r="BQJ646" s="733"/>
      <c r="BQK646" s="731"/>
      <c r="BQL646" s="732"/>
      <c r="BQM646" s="731"/>
      <c r="BQN646" s="733"/>
      <c r="BQO646" s="731"/>
      <c r="BQP646" s="732"/>
      <c r="BQQ646" s="731"/>
      <c r="BQR646" s="733"/>
      <c r="BQS646" s="731"/>
      <c r="BQT646" s="732"/>
      <c r="BQU646" s="731"/>
      <c r="BQV646" s="733"/>
      <c r="BQW646" s="731"/>
      <c r="BQX646" s="732"/>
      <c r="BQY646" s="731"/>
      <c r="BQZ646" s="733"/>
      <c r="BRA646" s="731"/>
      <c r="BRB646" s="732"/>
      <c r="BRC646" s="731"/>
      <c r="BRD646" s="733"/>
      <c r="BRE646" s="731"/>
      <c r="BRF646" s="732"/>
      <c r="BRG646" s="731"/>
      <c r="BRH646" s="733"/>
      <c r="BRI646" s="731"/>
      <c r="BRJ646" s="732"/>
      <c r="BRK646" s="731"/>
      <c r="BRL646" s="733"/>
      <c r="BRM646" s="731"/>
      <c r="BRN646" s="732"/>
      <c r="BRO646" s="731"/>
      <c r="BRP646" s="733"/>
      <c r="BRQ646" s="731"/>
      <c r="BRR646" s="732"/>
      <c r="BRS646" s="731"/>
      <c r="BRT646" s="733"/>
      <c r="BRU646" s="731"/>
      <c r="BRV646" s="732"/>
      <c r="BRW646" s="731"/>
      <c r="BRX646" s="733"/>
      <c r="BRY646" s="731"/>
      <c r="BRZ646" s="732"/>
      <c r="BSA646" s="731"/>
      <c r="BSB646" s="733"/>
      <c r="BSC646" s="731"/>
      <c r="BSD646" s="732"/>
      <c r="BSE646" s="731"/>
      <c r="BSF646" s="733"/>
      <c r="BSG646" s="731"/>
      <c r="BSH646" s="732"/>
      <c r="BSI646" s="731"/>
      <c r="BSJ646" s="733"/>
      <c r="BSK646" s="731"/>
      <c r="BSL646" s="732"/>
      <c r="BSM646" s="731"/>
      <c r="BSN646" s="733"/>
      <c r="BSO646" s="731"/>
      <c r="BSP646" s="732"/>
      <c r="BSQ646" s="731"/>
      <c r="BSR646" s="733"/>
      <c r="BSS646" s="731"/>
      <c r="BST646" s="732"/>
      <c r="BSU646" s="731"/>
      <c r="BSV646" s="733"/>
      <c r="BSW646" s="731"/>
      <c r="BSX646" s="732"/>
      <c r="BSY646" s="731"/>
      <c r="BSZ646" s="733"/>
      <c r="BTA646" s="731"/>
      <c r="BTB646" s="732"/>
      <c r="BTC646" s="731"/>
      <c r="BTD646" s="733"/>
      <c r="BTE646" s="731"/>
      <c r="BTF646" s="732"/>
      <c r="BTG646" s="731"/>
      <c r="BTH646" s="733"/>
      <c r="BTI646" s="731"/>
      <c r="BTJ646" s="732"/>
      <c r="BTK646" s="731"/>
      <c r="BTL646" s="733"/>
      <c r="BTM646" s="731"/>
      <c r="BTN646" s="732"/>
      <c r="BTO646" s="731"/>
      <c r="BTP646" s="733"/>
      <c r="BTQ646" s="731"/>
      <c r="BTR646" s="732"/>
      <c r="BTS646" s="731"/>
      <c r="BTT646" s="733"/>
      <c r="BTU646" s="731"/>
      <c r="BTV646" s="732"/>
      <c r="BTW646" s="731"/>
      <c r="BTX646" s="733"/>
      <c r="BTY646" s="731"/>
      <c r="BTZ646" s="732"/>
      <c r="BUA646" s="731"/>
      <c r="BUB646" s="733"/>
      <c r="BUC646" s="731"/>
      <c r="BUD646" s="732"/>
      <c r="BUE646" s="731"/>
      <c r="BUF646" s="733"/>
      <c r="BUG646" s="731"/>
      <c r="BUH646" s="732"/>
      <c r="BUI646" s="731"/>
      <c r="BUJ646" s="733"/>
      <c r="BUK646" s="731"/>
      <c r="BUL646" s="732"/>
      <c r="BUM646" s="731"/>
      <c r="BUN646" s="733"/>
      <c r="BUO646" s="731"/>
      <c r="BUP646" s="732"/>
      <c r="BUQ646" s="731"/>
      <c r="BUR646" s="733"/>
      <c r="BUS646" s="731"/>
      <c r="BUT646" s="732"/>
      <c r="BUU646" s="731"/>
      <c r="BUV646" s="733"/>
      <c r="BUW646" s="731"/>
      <c r="BUX646" s="732"/>
      <c r="BUY646" s="731"/>
      <c r="BUZ646" s="733"/>
      <c r="BVA646" s="731"/>
      <c r="BVB646" s="732"/>
      <c r="BVC646" s="731"/>
      <c r="BVD646" s="733"/>
      <c r="BVE646" s="731"/>
      <c r="BVF646" s="732"/>
      <c r="BVG646" s="731"/>
      <c r="BVH646" s="733"/>
      <c r="BVI646" s="731"/>
      <c r="BVJ646" s="732"/>
      <c r="BVK646" s="731"/>
      <c r="BVL646" s="733"/>
      <c r="BVM646" s="731"/>
      <c r="BVN646" s="732"/>
      <c r="BVO646" s="731"/>
      <c r="BVP646" s="733"/>
      <c r="BVQ646" s="731"/>
      <c r="BVR646" s="732"/>
      <c r="BVS646" s="731"/>
      <c r="BVT646" s="733"/>
      <c r="BVU646" s="731"/>
      <c r="BVV646" s="732"/>
      <c r="BVW646" s="731"/>
      <c r="BVX646" s="733"/>
      <c r="BVY646" s="731"/>
      <c r="BVZ646" s="732"/>
      <c r="BWA646" s="731"/>
      <c r="BWB646" s="733"/>
      <c r="BWC646" s="731"/>
      <c r="BWD646" s="732"/>
      <c r="BWE646" s="731"/>
      <c r="BWF646" s="733"/>
      <c r="BWG646" s="731"/>
      <c r="BWH646" s="732"/>
      <c r="BWI646" s="731"/>
      <c r="BWJ646" s="733"/>
      <c r="BWK646" s="731"/>
      <c r="BWL646" s="732"/>
      <c r="BWM646" s="731"/>
      <c r="BWN646" s="733"/>
      <c r="BWO646" s="731"/>
      <c r="BWP646" s="732"/>
      <c r="BWQ646" s="731"/>
      <c r="BWR646" s="733"/>
      <c r="BWS646" s="731"/>
      <c r="BWT646" s="732"/>
      <c r="BWU646" s="731"/>
      <c r="BWV646" s="733"/>
      <c r="BWW646" s="731"/>
      <c r="BWX646" s="732"/>
      <c r="BWY646" s="731"/>
      <c r="BWZ646" s="733"/>
      <c r="BXA646" s="731"/>
      <c r="BXB646" s="732"/>
      <c r="BXC646" s="731"/>
      <c r="BXD646" s="733"/>
      <c r="BXE646" s="731"/>
      <c r="BXF646" s="732"/>
      <c r="BXG646" s="731"/>
      <c r="BXH646" s="733"/>
      <c r="BXI646" s="731"/>
      <c r="BXJ646" s="732"/>
      <c r="BXK646" s="731"/>
      <c r="BXL646" s="733"/>
      <c r="BXM646" s="731"/>
      <c r="BXN646" s="732"/>
      <c r="BXO646" s="731"/>
      <c r="BXP646" s="733"/>
      <c r="BXQ646" s="731"/>
      <c r="BXR646" s="732"/>
      <c r="BXS646" s="731"/>
      <c r="BXT646" s="733"/>
      <c r="BXU646" s="731"/>
      <c r="BXV646" s="732"/>
      <c r="BXW646" s="731"/>
      <c r="BXX646" s="733"/>
      <c r="BXY646" s="731"/>
      <c r="BXZ646" s="732"/>
      <c r="BYA646" s="731"/>
      <c r="BYB646" s="733"/>
      <c r="BYC646" s="731"/>
      <c r="BYD646" s="732"/>
      <c r="BYE646" s="731"/>
      <c r="BYF646" s="733"/>
      <c r="BYG646" s="731"/>
      <c r="BYH646" s="732"/>
      <c r="BYI646" s="731"/>
      <c r="BYJ646" s="733"/>
      <c r="BYK646" s="731"/>
      <c r="BYL646" s="732"/>
      <c r="BYM646" s="731"/>
      <c r="BYN646" s="733"/>
      <c r="BYO646" s="731"/>
      <c r="BYP646" s="732"/>
      <c r="BYQ646" s="731"/>
      <c r="BYR646" s="733"/>
      <c r="BYS646" s="731"/>
      <c r="BYT646" s="732"/>
      <c r="BYU646" s="731"/>
      <c r="BYV646" s="733"/>
      <c r="BYW646" s="731"/>
      <c r="BYX646" s="732"/>
      <c r="BYY646" s="731"/>
      <c r="BYZ646" s="733"/>
      <c r="BZA646" s="731"/>
      <c r="BZB646" s="732"/>
      <c r="BZC646" s="731"/>
      <c r="BZD646" s="733"/>
      <c r="BZE646" s="731"/>
      <c r="BZF646" s="732"/>
      <c r="BZG646" s="731"/>
      <c r="BZH646" s="733"/>
      <c r="BZI646" s="731"/>
      <c r="BZJ646" s="732"/>
      <c r="BZK646" s="731"/>
      <c r="BZL646" s="733"/>
      <c r="BZM646" s="731"/>
      <c r="BZN646" s="732"/>
      <c r="BZO646" s="731"/>
      <c r="BZP646" s="733"/>
      <c r="BZQ646" s="731"/>
      <c r="BZR646" s="732"/>
      <c r="BZS646" s="731"/>
      <c r="BZT646" s="733"/>
      <c r="BZU646" s="731"/>
      <c r="BZV646" s="732"/>
      <c r="BZW646" s="731"/>
      <c r="BZX646" s="733"/>
      <c r="BZY646" s="731"/>
      <c r="BZZ646" s="732"/>
      <c r="CAA646" s="731"/>
      <c r="CAB646" s="733"/>
      <c r="CAC646" s="731"/>
      <c r="CAD646" s="732"/>
      <c r="CAE646" s="731"/>
      <c r="CAF646" s="733"/>
      <c r="CAG646" s="731"/>
      <c r="CAH646" s="732"/>
      <c r="CAI646" s="731"/>
      <c r="CAJ646" s="733"/>
      <c r="CAK646" s="731"/>
      <c r="CAL646" s="732"/>
      <c r="CAM646" s="731"/>
      <c r="CAN646" s="733"/>
      <c r="CAO646" s="731"/>
      <c r="CAP646" s="732"/>
      <c r="CAQ646" s="731"/>
      <c r="CAR646" s="733"/>
      <c r="CAS646" s="731"/>
      <c r="CAT646" s="732"/>
      <c r="CAU646" s="731"/>
      <c r="CAV646" s="733"/>
      <c r="CAW646" s="731"/>
      <c r="CAX646" s="732"/>
      <c r="CAY646" s="731"/>
      <c r="CAZ646" s="733"/>
      <c r="CBA646" s="731"/>
      <c r="CBB646" s="732"/>
      <c r="CBC646" s="731"/>
      <c r="CBD646" s="733"/>
      <c r="CBE646" s="731"/>
      <c r="CBF646" s="732"/>
      <c r="CBG646" s="731"/>
      <c r="CBH646" s="733"/>
      <c r="CBI646" s="731"/>
      <c r="CBJ646" s="732"/>
      <c r="CBK646" s="731"/>
      <c r="CBL646" s="733"/>
      <c r="CBM646" s="731"/>
      <c r="CBN646" s="732"/>
      <c r="CBO646" s="731"/>
      <c r="CBP646" s="733"/>
      <c r="CBQ646" s="731"/>
      <c r="CBR646" s="732"/>
      <c r="CBS646" s="731"/>
      <c r="CBT646" s="733"/>
      <c r="CBU646" s="731"/>
      <c r="CBV646" s="732"/>
      <c r="CBW646" s="731"/>
      <c r="CBX646" s="733"/>
      <c r="CBY646" s="731"/>
      <c r="CBZ646" s="732"/>
      <c r="CCA646" s="731"/>
      <c r="CCB646" s="733"/>
      <c r="CCC646" s="731"/>
      <c r="CCD646" s="732"/>
      <c r="CCE646" s="731"/>
      <c r="CCF646" s="733"/>
      <c r="CCG646" s="731"/>
      <c r="CCH646" s="732"/>
      <c r="CCI646" s="731"/>
      <c r="CCJ646" s="733"/>
      <c r="CCK646" s="731"/>
      <c r="CCL646" s="732"/>
      <c r="CCM646" s="731"/>
      <c r="CCN646" s="733"/>
      <c r="CCO646" s="731"/>
      <c r="CCP646" s="732"/>
      <c r="CCQ646" s="731"/>
      <c r="CCR646" s="733"/>
      <c r="CCS646" s="731"/>
      <c r="CCT646" s="732"/>
      <c r="CCU646" s="731"/>
      <c r="CCV646" s="733"/>
      <c r="CCW646" s="731"/>
      <c r="CCX646" s="732"/>
      <c r="CCY646" s="731"/>
      <c r="CCZ646" s="733"/>
      <c r="CDA646" s="731"/>
      <c r="CDB646" s="732"/>
      <c r="CDC646" s="731"/>
      <c r="CDD646" s="733"/>
      <c r="CDE646" s="731"/>
      <c r="CDF646" s="732"/>
      <c r="CDG646" s="731"/>
      <c r="CDH646" s="733"/>
      <c r="CDI646" s="731"/>
      <c r="CDJ646" s="732"/>
      <c r="CDK646" s="731"/>
      <c r="CDL646" s="733"/>
      <c r="CDM646" s="731"/>
      <c r="CDN646" s="732"/>
      <c r="CDO646" s="731"/>
      <c r="CDP646" s="733"/>
      <c r="CDQ646" s="731"/>
      <c r="CDR646" s="732"/>
      <c r="CDS646" s="731"/>
      <c r="CDT646" s="733"/>
      <c r="CDU646" s="731"/>
      <c r="CDV646" s="732"/>
      <c r="CDW646" s="731"/>
      <c r="CDX646" s="733"/>
      <c r="CDY646" s="731"/>
      <c r="CDZ646" s="732"/>
      <c r="CEA646" s="731"/>
      <c r="CEB646" s="733"/>
      <c r="CEC646" s="731"/>
      <c r="CED646" s="732"/>
      <c r="CEE646" s="731"/>
      <c r="CEF646" s="733"/>
      <c r="CEG646" s="731"/>
      <c r="CEH646" s="732"/>
      <c r="CEI646" s="731"/>
      <c r="CEJ646" s="733"/>
      <c r="CEK646" s="731"/>
      <c r="CEL646" s="732"/>
      <c r="CEM646" s="731"/>
      <c r="CEN646" s="733"/>
      <c r="CEO646" s="731"/>
      <c r="CEP646" s="732"/>
      <c r="CEQ646" s="731"/>
      <c r="CER646" s="733"/>
      <c r="CES646" s="731"/>
      <c r="CET646" s="732"/>
      <c r="CEU646" s="731"/>
      <c r="CEV646" s="733"/>
      <c r="CEW646" s="731"/>
      <c r="CEX646" s="732"/>
      <c r="CEY646" s="731"/>
      <c r="CEZ646" s="733"/>
      <c r="CFA646" s="731"/>
      <c r="CFB646" s="732"/>
      <c r="CFC646" s="731"/>
      <c r="CFD646" s="733"/>
      <c r="CFE646" s="731"/>
      <c r="CFF646" s="732"/>
      <c r="CFG646" s="731"/>
      <c r="CFH646" s="733"/>
      <c r="CFI646" s="731"/>
      <c r="CFJ646" s="732"/>
      <c r="CFK646" s="731"/>
      <c r="CFL646" s="733"/>
      <c r="CFM646" s="731"/>
      <c r="CFN646" s="732"/>
      <c r="CFO646" s="731"/>
      <c r="CFP646" s="733"/>
      <c r="CFQ646" s="731"/>
      <c r="CFR646" s="732"/>
      <c r="CFS646" s="731"/>
      <c r="CFT646" s="733"/>
      <c r="CFU646" s="731"/>
      <c r="CFV646" s="732"/>
      <c r="CFW646" s="731"/>
      <c r="CFX646" s="733"/>
      <c r="CFY646" s="731"/>
      <c r="CFZ646" s="732"/>
      <c r="CGA646" s="731"/>
      <c r="CGB646" s="733"/>
      <c r="CGC646" s="731"/>
      <c r="CGD646" s="732"/>
      <c r="CGE646" s="731"/>
      <c r="CGF646" s="733"/>
      <c r="CGG646" s="731"/>
      <c r="CGH646" s="732"/>
      <c r="CGI646" s="731"/>
      <c r="CGJ646" s="733"/>
      <c r="CGK646" s="731"/>
      <c r="CGL646" s="732"/>
      <c r="CGM646" s="731"/>
      <c r="CGN646" s="733"/>
      <c r="CGO646" s="731"/>
      <c r="CGP646" s="732"/>
      <c r="CGQ646" s="731"/>
      <c r="CGR646" s="733"/>
      <c r="CGS646" s="731"/>
      <c r="CGT646" s="732"/>
      <c r="CGU646" s="731"/>
      <c r="CGV646" s="733"/>
      <c r="CGW646" s="731"/>
      <c r="CGX646" s="732"/>
      <c r="CGY646" s="731"/>
      <c r="CGZ646" s="733"/>
      <c r="CHA646" s="731"/>
      <c r="CHB646" s="732"/>
      <c r="CHC646" s="731"/>
      <c r="CHD646" s="733"/>
      <c r="CHE646" s="731"/>
      <c r="CHF646" s="732"/>
      <c r="CHG646" s="731"/>
      <c r="CHH646" s="733"/>
      <c r="CHI646" s="731"/>
      <c r="CHJ646" s="732"/>
      <c r="CHK646" s="731"/>
      <c r="CHL646" s="733"/>
      <c r="CHM646" s="731"/>
      <c r="CHN646" s="732"/>
      <c r="CHO646" s="731"/>
      <c r="CHP646" s="733"/>
      <c r="CHQ646" s="731"/>
      <c r="CHR646" s="732"/>
      <c r="CHS646" s="731"/>
      <c r="CHT646" s="733"/>
      <c r="CHU646" s="731"/>
      <c r="CHV646" s="732"/>
      <c r="CHW646" s="731"/>
      <c r="CHX646" s="733"/>
      <c r="CHY646" s="731"/>
      <c r="CHZ646" s="732"/>
      <c r="CIA646" s="731"/>
      <c r="CIB646" s="733"/>
      <c r="CIC646" s="731"/>
      <c r="CID646" s="732"/>
      <c r="CIE646" s="731"/>
      <c r="CIF646" s="733"/>
      <c r="CIG646" s="731"/>
      <c r="CIH646" s="732"/>
      <c r="CII646" s="731"/>
      <c r="CIJ646" s="733"/>
      <c r="CIK646" s="731"/>
      <c r="CIL646" s="732"/>
      <c r="CIM646" s="731"/>
      <c r="CIN646" s="733"/>
      <c r="CIO646" s="731"/>
      <c r="CIP646" s="732"/>
      <c r="CIQ646" s="731"/>
      <c r="CIR646" s="733"/>
      <c r="CIS646" s="731"/>
      <c r="CIT646" s="732"/>
      <c r="CIU646" s="731"/>
      <c r="CIV646" s="733"/>
      <c r="CIW646" s="731"/>
      <c r="CIX646" s="732"/>
      <c r="CIY646" s="731"/>
      <c r="CIZ646" s="733"/>
      <c r="CJA646" s="731"/>
      <c r="CJB646" s="732"/>
      <c r="CJC646" s="731"/>
      <c r="CJD646" s="733"/>
      <c r="CJE646" s="731"/>
      <c r="CJF646" s="732"/>
      <c r="CJG646" s="731"/>
      <c r="CJH646" s="733"/>
      <c r="CJI646" s="731"/>
      <c r="CJJ646" s="732"/>
      <c r="CJK646" s="731"/>
      <c r="CJL646" s="733"/>
      <c r="CJM646" s="731"/>
      <c r="CJN646" s="732"/>
      <c r="CJO646" s="731"/>
      <c r="CJP646" s="733"/>
      <c r="CJQ646" s="731"/>
      <c r="CJR646" s="732"/>
      <c r="CJS646" s="731"/>
      <c r="CJT646" s="733"/>
      <c r="CJU646" s="731"/>
      <c r="CJV646" s="732"/>
      <c r="CJW646" s="731"/>
      <c r="CJX646" s="733"/>
      <c r="CJY646" s="731"/>
      <c r="CJZ646" s="732"/>
      <c r="CKA646" s="731"/>
      <c r="CKB646" s="733"/>
      <c r="CKC646" s="731"/>
      <c r="CKD646" s="732"/>
      <c r="CKE646" s="731"/>
      <c r="CKF646" s="733"/>
      <c r="CKG646" s="731"/>
      <c r="CKH646" s="732"/>
      <c r="CKI646" s="731"/>
      <c r="CKJ646" s="733"/>
      <c r="CKK646" s="731"/>
      <c r="CKL646" s="732"/>
      <c r="CKM646" s="731"/>
      <c r="CKN646" s="733"/>
      <c r="CKO646" s="731"/>
      <c r="CKP646" s="732"/>
      <c r="CKQ646" s="731"/>
      <c r="CKR646" s="733"/>
      <c r="CKS646" s="731"/>
      <c r="CKT646" s="732"/>
      <c r="CKU646" s="731"/>
      <c r="CKV646" s="733"/>
      <c r="CKW646" s="731"/>
      <c r="CKX646" s="732"/>
      <c r="CKY646" s="731"/>
      <c r="CKZ646" s="733"/>
      <c r="CLA646" s="731"/>
      <c r="CLB646" s="732"/>
      <c r="CLC646" s="731"/>
      <c r="CLD646" s="733"/>
      <c r="CLE646" s="731"/>
      <c r="CLF646" s="732"/>
      <c r="CLG646" s="731"/>
      <c r="CLH646" s="733"/>
      <c r="CLI646" s="731"/>
      <c r="CLJ646" s="732"/>
      <c r="CLK646" s="731"/>
      <c r="CLL646" s="733"/>
      <c r="CLM646" s="731"/>
      <c r="CLN646" s="732"/>
      <c r="CLO646" s="731"/>
      <c r="CLP646" s="733"/>
      <c r="CLQ646" s="731"/>
      <c r="CLR646" s="732"/>
      <c r="CLS646" s="731"/>
      <c r="CLT646" s="733"/>
      <c r="CLU646" s="731"/>
      <c r="CLV646" s="732"/>
      <c r="CLW646" s="731"/>
      <c r="CLX646" s="733"/>
      <c r="CLY646" s="731"/>
      <c r="CLZ646" s="732"/>
      <c r="CMA646" s="731"/>
      <c r="CMB646" s="733"/>
      <c r="CMC646" s="731"/>
      <c r="CMD646" s="732"/>
      <c r="CME646" s="731"/>
      <c r="CMF646" s="733"/>
      <c r="CMG646" s="731"/>
      <c r="CMH646" s="732"/>
      <c r="CMI646" s="731"/>
      <c r="CMJ646" s="733"/>
      <c r="CMK646" s="731"/>
      <c r="CML646" s="732"/>
      <c r="CMM646" s="731"/>
      <c r="CMN646" s="733"/>
      <c r="CMO646" s="731"/>
      <c r="CMP646" s="732"/>
      <c r="CMQ646" s="731"/>
      <c r="CMR646" s="733"/>
      <c r="CMS646" s="731"/>
      <c r="CMT646" s="732"/>
      <c r="CMU646" s="731"/>
      <c r="CMV646" s="733"/>
      <c r="CMW646" s="731"/>
      <c r="CMX646" s="732"/>
      <c r="CMY646" s="731"/>
      <c r="CMZ646" s="733"/>
      <c r="CNA646" s="731"/>
      <c r="CNB646" s="732"/>
      <c r="CNC646" s="731"/>
      <c r="CND646" s="733"/>
      <c r="CNE646" s="731"/>
      <c r="CNF646" s="732"/>
      <c r="CNG646" s="731"/>
      <c r="CNH646" s="733"/>
      <c r="CNI646" s="731"/>
      <c r="CNJ646" s="732"/>
      <c r="CNK646" s="731"/>
      <c r="CNL646" s="733"/>
      <c r="CNM646" s="731"/>
      <c r="CNN646" s="732"/>
      <c r="CNO646" s="731"/>
      <c r="CNP646" s="733"/>
      <c r="CNQ646" s="731"/>
      <c r="CNR646" s="732"/>
      <c r="CNS646" s="731"/>
      <c r="CNT646" s="733"/>
      <c r="CNU646" s="731"/>
      <c r="CNV646" s="732"/>
      <c r="CNW646" s="731"/>
      <c r="CNX646" s="733"/>
      <c r="CNY646" s="731"/>
      <c r="CNZ646" s="732"/>
      <c r="COA646" s="731"/>
      <c r="COB646" s="733"/>
      <c r="COC646" s="731"/>
      <c r="COD646" s="732"/>
      <c r="COE646" s="731"/>
      <c r="COF646" s="733"/>
      <c r="COG646" s="731"/>
      <c r="COH646" s="732"/>
      <c r="COI646" s="731"/>
      <c r="COJ646" s="733"/>
      <c r="COK646" s="731"/>
      <c r="COL646" s="732"/>
      <c r="COM646" s="731"/>
      <c r="CON646" s="733"/>
      <c r="COO646" s="731"/>
      <c r="COP646" s="732"/>
      <c r="COQ646" s="731"/>
      <c r="COR646" s="733"/>
      <c r="COS646" s="731"/>
      <c r="COT646" s="732"/>
      <c r="COU646" s="731"/>
      <c r="COV646" s="733"/>
      <c r="COW646" s="731"/>
      <c r="COX646" s="732"/>
      <c r="COY646" s="731"/>
      <c r="COZ646" s="733"/>
      <c r="CPA646" s="731"/>
      <c r="CPB646" s="732"/>
      <c r="CPC646" s="731"/>
      <c r="CPD646" s="733"/>
      <c r="CPE646" s="731"/>
      <c r="CPF646" s="732"/>
      <c r="CPG646" s="731"/>
      <c r="CPH646" s="733"/>
      <c r="CPI646" s="731"/>
      <c r="CPJ646" s="732"/>
      <c r="CPK646" s="731"/>
      <c r="CPL646" s="733"/>
      <c r="CPM646" s="731"/>
      <c r="CPN646" s="732"/>
      <c r="CPO646" s="731"/>
      <c r="CPP646" s="733"/>
      <c r="CPQ646" s="731"/>
      <c r="CPR646" s="732"/>
      <c r="CPS646" s="731"/>
      <c r="CPT646" s="733"/>
      <c r="CPU646" s="731"/>
      <c r="CPV646" s="732"/>
      <c r="CPW646" s="731"/>
      <c r="CPX646" s="733"/>
      <c r="CPY646" s="731"/>
      <c r="CPZ646" s="732"/>
      <c r="CQA646" s="731"/>
      <c r="CQB646" s="733"/>
      <c r="CQC646" s="731"/>
      <c r="CQD646" s="732"/>
      <c r="CQE646" s="731"/>
      <c r="CQF646" s="733"/>
      <c r="CQG646" s="731"/>
      <c r="CQH646" s="732"/>
      <c r="CQI646" s="731"/>
      <c r="CQJ646" s="733"/>
      <c r="CQK646" s="731"/>
      <c r="CQL646" s="732"/>
      <c r="CQM646" s="731"/>
      <c r="CQN646" s="733"/>
      <c r="CQO646" s="731"/>
      <c r="CQP646" s="732"/>
      <c r="CQQ646" s="731"/>
      <c r="CQR646" s="733"/>
      <c r="CQS646" s="731"/>
      <c r="CQT646" s="732"/>
      <c r="CQU646" s="731"/>
      <c r="CQV646" s="733"/>
      <c r="CQW646" s="731"/>
      <c r="CQX646" s="732"/>
      <c r="CQY646" s="731"/>
      <c r="CQZ646" s="733"/>
      <c r="CRA646" s="731"/>
      <c r="CRB646" s="732"/>
      <c r="CRC646" s="731"/>
      <c r="CRD646" s="733"/>
      <c r="CRE646" s="731"/>
      <c r="CRF646" s="732"/>
      <c r="CRG646" s="731"/>
      <c r="CRH646" s="733"/>
      <c r="CRI646" s="731"/>
      <c r="CRJ646" s="732"/>
      <c r="CRK646" s="731"/>
      <c r="CRL646" s="733"/>
      <c r="CRM646" s="731"/>
      <c r="CRN646" s="732"/>
      <c r="CRO646" s="731"/>
      <c r="CRP646" s="733"/>
      <c r="CRQ646" s="731"/>
      <c r="CRR646" s="732"/>
      <c r="CRS646" s="731"/>
      <c r="CRT646" s="733"/>
      <c r="CRU646" s="731"/>
      <c r="CRV646" s="732"/>
      <c r="CRW646" s="731"/>
      <c r="CRX646" s="733"/>
      <c r="CRY646" s="731"/>
      <c r="CRZ646" s="732"/>
      <c r="CSA646" s="731"/>
      <c r="CSB646" s="733"/>
      <c r="CSC646" s="731"/>
      <c r="CSD646" s="732"/>
      <c r="CSE646" s="731"/>
      <c r="CSF646" s="733"/>
      <c r="CSG646" s="731"/>
      <c r="CSH646" s="732"/>
      <c r="CSI646" s="731"/>
      <c r="CSJ646" s="733"/>
      <c r="CSK646" s="731"/>
      <c r="CSL646" s="732"/>
      <c r="CSM646" s="731"/>
      <c r="CSN646" s="733"/>
      <c r="CSO646" s="731"/>
      <c r="CSP646" s="732"/>
      <c r="CSQ646" s="731"/>
      <c r="CSR646" s="733"/>
      <c r="CSS646" s="731"/>
      <c r="CST646" s="732"/>
      <c r="CSU646" s="731"/>
      <c r="CSV646" s="733"/>
      <c r="CSW646" s="731"/>
      <c r="CSX646" s="732"/>
      <c r="CSY646" s="731"/>
      <c r="CSZ646" s="733"/>
      <c r="CTA646" s="731"/>
      <c r="CTB646" s="732"/>
      <c r="CTC646" s="731"/>
      <c r="CTD646" s="733"/>
      <c r="CTE646" s="731"/>
      <c r="CTF646" s="732"/>
      <c r="CTG646" s="731"/>
      <c r="CTH646" s="733"/>
      <c r="CTI646" s="731"/>
      <c r="CTJ646" s="732"/>
      <c r="CTK646" s="731"/>
      <c r="CTL646" s="733"/>
      <c r="CTM646" s="731"/>
      <c r="CTN646" s="732"/>
      <c r="CTO646" s="731"/>
      <c r="CTP646" s="733"/>
      <c r="CTQ646" s="731"/>
      <c r="CTR646" s="732"/>
      <c r="CTS646" s="731"/>
      <c r="CTT646" s="733"/>
      <c r="CTU646" s="731"/>
      <c r="CTV646" s="732"/>
      <c r="CTW646" s="731"/>
      <c r="CTX646" s="733"/>
      <c r="CTY646" s="731"/>
      <c r="CTZ646" s="732"/>
      <c r="CUA646" s="731"/>
      <c r="CUB646" s="733"/>
      <c r="CUC646" s="731"/>
      <c r="CUD646" s="732"/>
      <c r="CUE646" s="731"/>
      <c r="CUF646" s="733"/>
      <c r="CUG646" s="731"/>
      <c r="CUH646" s="732"/>
      <c r="CUI646" s="731"/>
      <c r="CUJ646" s="733"/>
      <c r="CUK646" s="731"/>
      <c r="CUL646" s="732"/>
      <c r="CUM646" s="731"/>
      <c r="CUN646" s="733"/>
      <c r="CUO646" s="731"/>
      <c r="CUP646" s="732"/>
      <c r="CUQ646" s="731"/>
      <c r="CUR646" s="733"/>
      <c r="CUS646" s="731"/>
      <c r="CUT646" s="732"/>
      <c r="CUU646" s="731"/>
      <c r="CUV646" s="733"/>
      <c r="CUW646" s="731"/>
      <c r="CUX646" s="732"/>
      <c r="CUY646" s="731"/>
      <c r="CUZ646" s="733"/>
      <c r="CVA646" s="731"/>
      <c r="CVB646" s="732"/>
      <c r="CVC646" s="731"/>
      <c r="CVD646" s="733"/>
      <c r="CVE646" s="731"/>
      <c r="CVF646" s="732"/>
      <c r="CVG646" s="731"/>
      <c r="CVH646" s="733"/>
      <c r="CVI646" s="731"/>
      <c r="CVJ646" s="732"/>
      <c r="CVK646" s="731"/>
      <c r="CVL646" s="733"/>
      <c r="CVM646" s="731"/>
      <c r="CVN646" s="732"/>
      <c r="CVO646" s="731"/>
      <c r="CVP646" s="733"/>
      <c r="CVQ646" s="731"/>
      <c r="CVR646" s="732"/>
      <c r="CVS646" s="731"/>
      <c r="CVT646" s="733"/>
      <c r="CVU646" s="731"/>
      <c r="CVV646" s="732"/>
      <c r="CVW646" s="731"/>
      <c r="CVX646" s="733"/>
      <c r="CVY646" s="731"/>
      <c r="CVZ646" s="732"/>
      <c r="CWA646" s="731"/>
      <c r="CWB646" s="733"/>
      <c r="CWC646" s="731"/>
      <c r="CWD646" s="732"/>
      <c r="CWE646" s="731"/>
      <c r="CWF646" s="733"/>
      <c r="CWG646" s="731"/>
      <c r="CWH646" s="732"/>
      <c r="CWI646" s="731"/>
      <c r="CWJ646" s="733"/>
      <c r="CWK646" s="731"/>
      <c r="CWL646" s="732"/>
      <c r="CWM646" s="731"/>
      <c r="CWN646" s="733"/>
      <c r="CWO646" s="731"/>
      <c r="CWP646" s="732"/>
      <c r="CWQ646" s="731"/>
      <c r="CWR646" s="733"/>
      <c r="CWS646" s="731"/>
      <c r="CWT646" s="732"/>
      <c r="CWU646" s="731"/>
      <c r="CWV646" s="733"/>
      <c r="CWW646" s="731"/>
      <c r="CWX646" s="732"/>
      <c r="CWY646" s="731"/>
      <c r="CWZ646" s="733"/>
      <c r="CXA646" s="731"/>
      <c r="CXB646" s="732"/>
      <c r="CXC646" s="731"/>
      <c r="CXD646" s="733"/>
      <c r="CXE646" s="731"/>
      <c r="CXF646" s="732"/>
      <c r="CXG646" s="731"/>
      <c r="CXH646" s="733"/>
      <c r="CXI646" s="731"/>
      <c r="CXJ646" s="732"/>
      <c r="CXK646" s="731"/>
      <c r="CXL646" s="733"/>
      <c r="CXM646" s="731"/>
      <c r="CXN646" s="732"/>
      <c r="CXO646" s="731"/>
      <c r="CXP646" s="733"/>
      <c r="CXQ646" s="731"/>
      <c r="CXR646" s="732"/>
      <c r="CXS646" s="731"/>
      <c r="CXT646" s="733"/>
      <c r="CXU646" s="731"/>
      <c r="CXV646" s="732"/>
      <c r="CXW646" s="731"/>
      <c r="CXX646" s="733"/>
      <c r="CXY646" s="731"/>
      <c r="CXZ646" s="732"/>
      <c r="CYA646" s="731"/>
      <c r="CYB646" s="733"/>
      <c r="CYC646" s="731"/>
      <c r="CYD646" s="732"/>
      <c r="CYE646" s="731"/>
      <c r="CYF646" s="733"/>
      <c r="CYG646" s="731"/>
      <c r="CYH646" s="732"/>
      <c r="CYI646" s="731"/>
      <c r="CYJ646" s="733"/>
      <c r="CYK646" s="731"/>
      <c r="CYL646" s="732"/>
      <c r="CYM646" s="731"/>
      <c r="CYN646" s="733"/>
      <c r="CYO646" s="731"/>
      <c r="CYP646" s="732"/>
      <c r="CYQ646" s="731"/>
      <c r="CYR646" s="733"/>
      <c r="CYS646" s="731"/>
      <c r="CYT646" s="732"/>
      <c r="CYU646" s="731"/>
      <c r="CYV646" s="733"/>
      <c r="CYW646" s="731"/>
      <c r="CYX646" s="732"/>
      <c r="CYY646" s="731"/>
      <c r="CYZ646" s="733"/>
      <c r="CZA646" s="731"/>
      <c r="CZB646" s="732"/>
      <c r="CZC646" s="731"/>
      <c r="CZD646" s="733"/>
      <c r="CZE646" s="731"/>
      <c r="CZF646" s="732"/>
      <c r="CZG646" s="731"/>
      <c r="CZH646" s="733"/>
      <c r="CZI646" s="731"/>
      <c r="CZJ646" s="732"/>
      <c r="CZK646" s="731"/>
      <c r="CZL646" s="733"/>
      <c r="CZM646" s="731"/>
      <c r="CZN646" s="732"/>
      <c r="CZO646" s="731"/>
      <c r="CZP646" s="733"/>
      <c r="CZQ646" s="731"/>
      <c r="CZR646" s="732"/>
      <c r="CZS646" s="731"/>
      <c r="CZT646" s="733"/>
      <c r="CZU646" s="731"/>
      <c r="CZV646" s="732"/>
      <c r="CZW646" s="731"/>
      <c r="CZX646" s="733"/>
      <c r="CZY646" s="731"/>
      <c r="CZZ646" s="732"/>
      <c r="DAA646" s="731"/>
      <c r="DAB646" s="733"/>
      <c r="DAC646" s="731"/>
      <c r="DAD646" s="732"/>
      <c r="DAE646" s="731"/>
      <c r="DAF646" s="733"/>
      <c r="DAG646" s="731"/>
      <c r="DAH646" s="732"/>
      <c r="DAI646" s="731"/>
      <c r="DAJ646" s="733"/>
      <c r="DAK646" s="731"/>
      <c r="DAL646" s="732"/>
      <c r="DAM646" s="731"/>
      <c r="DAN646" s="733"/>
      <c r="DAO646" s="731"/>
      <c r="DAP646" s="732"/>
      <c r="DAQ646" s="731"/>
      <c r="DAR646" s="733"/>
      <c r="DAS646" s="731"/>
      <c r="DAT646" s="732"/>
      <c r="DAU646" s="731"/>
      <c r="DAV646" s="733"/>
      <c r="DAW646" s="731"/>
      <c r="DAX646" s="732"/>
      <c r="DAY646" s="731"/>
      <c r="DAZ646" s="733"/>
      <c r="DBA646" s="731"/>
      <c r="DBB646" s="732"/>
      <c r="DBC646" s="731"/>
      <c r="DBD646" s="733"/>
      <c r="DBE646" s="731"/>
      <c r="DBF646" s="732"/>
      <c r="DBG646" s="731"/>
      <c r="DBH646" s="733"/>
      <c r="DBI646" s="731"/>
      <c r="DBJ646" s="732"/>
      <c r="DBK646" s="731"/>
      <c r="DBL646" s="733"/>
      <c r="DBM646" s="731"/>
      <c r="DBN646" s="732"/>
      <c r="DBO646" s="731"/>
      <c r="DBP646" s="733"/>
      <c r="DBQ646" s="731"/>
      <c r="DBR646" s="732"/>
      <c r="DBS646" s="731"/>
      <c r="DBT646" s="733"/>
      <c r="DBU646" s="731"/>
      <c r="DBV646" s="732"/>
      <c r="DBW646" s="731"/>
      <c r="DBX646" s="733"/>
      <c r="DBY646" s="731"/>
      <c r="DBZ646" s="732"/>
      <c r="DCA646" s="731"/>
      <c r="DCB646" s="733"/>
      <c r="DCC646" s="731"/>
      <c r="DCD646" s="732"/>
      <c r="DCE646" s="731"/>
      <c r="DCF646" s="733"/>
      <c r="DCG646" s="731"/>
      <c r="DCH646" s="732"/>
      <c r="DCI646" s="731"/>
      <c r="DCJ646" s="733"/>
      <c r="DCK646" s="731"/>
      <c r="DCL646" s="732"/>
      <c r="DCM646" s="731"/>
      <c r="DCN646" s="733"/>
      <c r="DCO646" s="731"/>
      <c r="DCP646" s="732"/>
      <c r="DCQ646" s="731"/>
      <c r="DCR646" s="733"/>
      <c r="DCS646" s="731"/>
      <c r="DCT646" s="732"/>
      <c r="DCU646" s="731"/>
      <c r="DCV646" s="733"/>
      <c r="DCW646" s="731"/>
      <c r="DCX646" s="732"/>
      <c r="DCY646" s="731"/>
      <c r="DCZ646" s="733"/>
      <c r="DDA646" s="731"/>
      <c r="DDB646" s="732"/>
      <c r="DDC646" s="731"/>
      <c r="DDD646" s="733"/>
      <c r="DDE646" s="731"/>
      <c r="DDF646" s="732"/>
      <c r="DDG646" s="731"/>
      <c r="DDH646" s="733"/>
      <c r="DDI646" s="731"/>
      <c r="DDJ646" s="732"/>
      <c r="DDK646" s="731"/>
      <c r="DDL646" s="733"/>
      <c r="DDM646" s="731"/>
      <c r="DDN646" s="732"/>
      <c r="DDO646" s="731"/>
      <c r="DDP646" s="733"/>
      <c r="DDQ646" s="731"/>
      <c r="DDR646" s="732"/>
      <c r="DDS646" s="731"/>
      <c r="DDT646" s="733"/>
      <c r="DDU646" s="731"/>
      <c r="DDV646" s="732"/>
      <c r="DDW646" s="731"/>
      <c r="DDX646" s="733"/>
      <c r="DDY646" s="731"/>
      <c r="DDZ646" s="732"/>
      <c r="DEA646" s="731"/>
      <c r="DEB646" s="733"/>
      <c r="DEC646" s="731"/>
      <c r="DED646" s="732"/>
      <c r="DEE646" s="731"/>
      <c r="DEF646" s="733"/>
      <c r="DEG646" s="731"/>
      <c r="DEH646" s="732"/>
      <c r="DEI646" s="731"/>
      <c r="DEJ646" s="733"/>
      <c r="DEK646" s="731"/>
      <c r="DEL646" s="732"/>
      <c r="DEM646" s="731"/>
      <c r="DEN646" s="733"/>
      <c r="DEO646" s="731"/>
      <c r="DEP646" s="732"/>
      <c r="DEQ646" s="731"/>
      <c r="DER646" s="733"/>
      <c r="DES646" s="731"/>
      <c r="DET646" s="732"/>
      <c r="DEU646" s="731"/>
      <c r="DEV646" s="733"/>
      <c r="DEW646" s="731"/>
      <c r="DEX646" s="732"/>
      <c r="DEY646" s="731"/>
      <c r="DEZ646" s="733"/>
      <c r="DFA646" s="731"/>
      <c r="DFB646" s="732"/>
      <c r="DFC646" s="731"/>
      <c r="DFD646" s="733"/>
      <c r="DFE646" s="731"/>
      <c r="DFF646" s="732"/>
      <c r="DFG646" s="731"/>
      <c r="DFH646" s="733"/>
      <c r="DFI646" s="731"/>
      <c r="DFJ646" s="732"/>
      <c r="DFK646" s="731"/>
      <c r="DFL646" s="733"/>
      <c r="DFM646" s="731"/>
      <c r="DFN646" s="732"/>
      <c r="DFO646" s="731"/>
      <c r="DFP646" s="733"/>
      <c r="DFQ646" s="731"/>
      <c r="DFR646" s="732"/>
      <c r="DFS646" s="731"/>
      <c r="DFT646" s="733"/>
      <c r="DFU646" s="731"/>
      <c r="DFV646" s="732"/>
      <c r="DFW646" s="731"/>
      <c r="DFX646" s="733"/>
      <c r="DFY646" s="731"/>
      <c r="DFZ646" s="732"/>
      <c r="DGA646" s="731"/>
      <c r="DGB646" s="733"/>
      <c r="DGC646" s="731"/>
      <c r="DGD646" s="732"/>
      <c r="DGE646" s="731"/>
      <c r="DGF646" s="733"/>
      <c r="DGG646" s="731"/>
      <c r="DGH646" s="732"/>
      <c r="DGI646" s="731"/>
      <c r="DGJ646" s="733"/>
      <c r="DGK646" s="731"/>
      <c r="DGL646" s="732"/>
      <c r="DGM646" s="731"/>
      <c r="DGN646" s="733"/>
      <c r="DGO646" s="731"/>
      <c r="DGP646" s="732"/>
      <c r="DGQ646" s="731"/>
      <c r="DGR646" s="733"/>
      <c r="DGS646" s="731"/>
      <c r="DGT646" s="732"/>
      <c r="DGU646" s="731"/>
      <c r="DGV646" s="733"/>
      <c r="DGW646" s="731"/>
      <c r="DGX646" s="732"/>
      <c r="DGY646" s="731"/>
      <c r="DGZ646" s="733"/>
      <c r="DHA646" s="731"/>
      <c r="DHB646" s="732"/>
      <c r="DHC646" s="731"/>
      <c r="DHD646" s="733"/>
      <c r="DHE646" s="731"/>
      <c r="DHF646" s="732"/>
      <c r="DHG646" s="731"/>
      <c r="DHH646" s="733"/>
      <c r="DHI646" s="731"/>
      <c r="DHJ646" s="732"/>
      <c r="DHK646" s="731"/>
      <c r="DHL646" s="733"/>
      <c r="DHM646" s="731"/>
      <c r="DHN646" s="732"/>
      <c r="DHO646" s="731"/>
      <c r="DHP646" s="733"/>
      <c r="DHQ646" s="731"/>
      <c r="DHR646" s="732"/>
      <c r="DHS646" s="731"/>
      <c r="DHT646" s="733"/>
      <c r="DHU646" s="731"/>
      <c r="DHV646" s="732"/>
      <c r="DHW646" s="731"/>
      <c r="DHX646" s="733"/>
      <c r="DHY646" s="731"/>
      <c r="DHZ646" s="732"/>
      <c r="DIA646" s="731"/>
      <c r="DIB646" s="733"/>
      <c r="DIC646" s="731"/>
      <c r="DID646" s="732"/>
      <c r="DIE646" s="731"/>
      <c r="DIF646" s="733"/>
      <c r="DIG646" s="731"/>
      <c r="DIH646" s="732"/>
      <c r="DII646" s="731"/>
      <c r="DIJ646" s="733"/>
      <c r="DIK646" s="731"/>
      <c r="DIL646" s="732"/>
      <c r="DIM646" s="731"/>
      <c r="DIN646" s="733"/>
      <c r="DIO646" s="731"/>
      <c r="DIP646" s="732"/>
      <c r="DIQ646" s="731"/>
      <c r="DIR646" s="733"/>
      <c r="DIS646" s="731"/>
      <c r="DIT646" s="732"/>
      <c r="DIU646" s="731"/>
      <c r="DIV646" s="733"/>
      <c r="DIW646" s="731"/>
      <c r="DIX646" s="732"/>
      <c r="DIY646" s="731"/>
      <c r="DIZ646" s="733"/>
      <c r="DJA646" s="731"/>
      <c r="DJB646" s="732"/>
      <c r="DJC646" s="731"/>
      <c r="DJD646" s="733"/>
      <c r="DJE646" s="731"/>
      <c r="DJF646" s="732"/>
      <c r="DJG646" s="731"/>
      <c r="DJH646" s="733"/>
      <c r="DJI646" s="731"/>
      <c r="DJJ646" s="732"/>
      <c r="DJK646" s="731"/>
      <c r="DJL646" s="733"/>
      <c r="DJM646" s="731"/>
      <c r="DJN646" s="732"/>
      <c r="DJO646" s="731"/>
      <c r="DJP646" s="733"/>
      <c r="DJQ646" s="731"/>
      <c r="DJR646" s="732"/>
      <c r="DJS646" s="731"/>
      <c r="DJT646" s="733"/>
      <c r="DJU646" s="731"/>
      <c r="DJV646" s="732"/>
      <c r="DJW646" s="731"/>
      <c r="DJX646" s="733"/>
      <c r="DJY646" s="731"/>
      <c r="DJZ646" s="732"/>
      <c r="DKA646" s="731"/>
      <c r="DKB646" s="733"/>
      <c r="DKC646" s="731"/>
      <c r="DKD646" s="732"/>
      <c r="DKE646" s="731"/>
      <c r="DKF646" s="733"/>
      <c r="DKG646" s="731"/>
      <c r="DKH646" s="732"/>
      <c r="DKI646" s="731"/>
      <c r="DKJ646" s="733"/>
      <c r="DKK646" s="731"/>
      <c r="DKL646" s="732"/>
      <c r="DKM646" s="731"/>
      <c r="DKN646" s="733"/>
      <c r="DKO646" s="731"/>
      <c r="DKP646" s="732"/>
      <c r="DKQ646" s="731"/>
      <c r="DKR646" s="733"/>
      <c r="DKS646" s="731"/>
      <c r="DKT646" s="732"/>
      <c r="DKU646" s="731"/>
      <c r="DKV646" s="733"/>
      <c r="DKW646" s="731"/>
      <c r="DKX646" s="732"/>
      <c r="DKY646" s="731"/>
      <c r="DKZ646" s="733"/>
      <c r="DLA646" s="731"/>
      <c r="DLB646" s="732"/>
      <c r="DLC646" s="731"/>
      <c r="DLD646" s="733"/>
      <c r="DLE646" s="731"/>
      <c r="DLF646" s="732"/>
      <c r="DLG646" s="731"/>
      <c r="DLH646" s="733"/>
      <c r="DLI646" s="731"/>
      <c r="DLJ646" s="732"/>
      <c r="DLK646" s="731"/>
      <c r="DLL646" s="733"/>
      <c r="DLM646" s="731"/>
      <c r="DLN646" s="732"/>
      <c r="DLO646" s="731"/>
      <c r="DLP646" s="733"/>
      <c r="DLQ646" s="731"/>
      <c r="DLR646" s="732"/>
      <c r="DLS646" s="731"/>
      <c r="DLT646" s="733"/>
      <c r="DLU646" s="731"/>
      <c r="DLV646" s="732"/>
      <c r="DLW646" s="731"/>
      <c r="DLX646" s="733"/>
      <c r="DLY646" s="731"/>
      <c r="DLZ646" s="732"/>
      <c r="DMA646" s="731"/>
      <c r="DMB646" s="733"/>
      <c r="DMC646" s="731"/>
      <c r="DMD646" s="732"/>
      <c r="DME646" s="731"/>
      <c r="DMF646" s="733"/>
      <c r="DMG646" s="731"/>
      <c r="DMH646" s="732"/>
      <c r="DMI646" s="731"/>
      <c r="DMJ646" s="733"/>
      <c r="DMK646" s="731"/>
      <c r="DML646" s="732"/>
      <c r="DMM646" s="731"/>
      <c r="DMN646" s="733"/>
      <c r="DMO646" s="731"/>
      <c r="DMP646" s="732"/>
      <c r="DMQ646" s="731"/>
      <c r="DMR646" s="733"/>
      <c r="DMS646" s="731"/>
      <c r="DMT646" s="732"/>
      <c r="DMU646" s="731"/>
      <c r="DMV646" s="733"/>
      <c r="DMW646" s="731"/>
      <c r="DMX646" s="732"/>
      <c r="DMY646" s="731"/>
      <c r="DMZ646" s="733"/>
      <c r="DNA646" s="731"/>
      <c r="DNB646" s="732"/>
      <c r="DNC646" s="731"/>
      <c r="DND646" s="733"/>
      <c r="DNE646" s="731"/>
      <c r="DNF646" s="732"/>
      <c r="DNG646" s="731"/>
      <c r="DNH646" s="733"/>
      <c r="DNI646" s="731"/>
      <c r="DNJ646" s="732"/>
      <c r="DNK646" s="731"/>
      <c r="DNL646" s="733"/>
      <c r="DNM646" s="731"/>
      <c r="DNN646" s="732"/>
      <c r="DNO646" s="731"/>
      <c r="DNP646" s="733"/>
      <c r="DNQ646" s="731"/>
      <c r="DNR646" s="732"/>
      <c r="DNS646" s="731"/>
      <c r="DNT646" s="733"/>
      <c r="DNU646" s="731"/>
      <c r="DNV646" s="732"/>
      <c r="DNW646" s="731"/>
      <c r="DNX646" s="733"/>
      <c r="DNY646" s="731"/>
      <c r="DNZ646" s="732"/>
      <c r="DOA646" s="731"/>
      <c r="DOB646" s="733"/>
      <c r="DOC646" s="731"/>
      <c r="DOD646" s="732"/>
      <c r="DOE646" s="731"/>
      <c r="DOF646" s="733"/>
      <c r="DOG646" s="731"/>
      <c r="DOH646" s="732"/>
      <c r="DOI646" s="731"/>
      <c r="DOJ646" s="733"/>
      <c r="DOK646" s="731"/>
      <c r="DOL646" s="732"/>
      <c r="DOM646" s="731"/>
      <c r="DON646" s="733"/>
      <c r="DOO646" s="731"/>
      <c r="DOP646" s="732"/>
      <c r="DOQ646" s="731"/>
      <c r="DOR646" s="733"/>
      <c r="DOS646" s="731"/>
      <c r="DOT646" s="732"/>
      <c r="DOU646" s="731"/>
      <c r="DOV646" s="733"/>
      <c r="DOW646" s="731"/>
      <c r="DOX646" s="732"/>
      <c r="DOY646" s="731"/>
      <c r="DOZ646" s="733"/>
      <c r="DPA646" s="731"/>
      <c r="DPB646" s="732"/>
      <c r="DPC646" s="731"/>
      <c r="DPD646" s="733"/>
      <c r="DPE646" s="731"/>
      <c r="DPF646" s="732"/>
      <c r="DPG646" s="731"/>
      <c r="DPH646" s="733"/>
      <c r="DPI646" s="731"/>
      <c r="DPJ646" s="732"/>
      <c r="DPK646" s="731"/>
      <c r="DPL646" s="733"/>
      <c r="DPM646" s="731"/>
      <c r="DPN646" s="732"/>
      <c r="DPO646" s="731"/>
      <c r="DPP646" s="733"/>
      <c r="DPQ646" s="731"/>
      <c r="DPR646" s="732"/>
      <c r="DPS646" s="731"/>
      <c r="DPT646" s="733"/>
      <c r="DPU646" s="731"/>
      <c r="DPV646" s="732"/>
      <c r="DPW646" s="731"/>
      <c r="DPX646" s="733"/>
      <c r="DPY646" s="731"/>
      <c r="DPZ646" s="732"/>
      <c r="DQA646" s="731"/>
      <c r="DQB646" s="733"/>
      <c r="DQC646" s="731"/>
      <c r="DQD646" s="732"/>
      <c r="DQE646" s="731"/>
      <c r="DQF646" s="733"/>
      <c r="DQG646" s="731"/>
      <c r="DQH646" s="732"/>
      <c r="DQI646" s="731"/>
      <c r="DQJ646" s="733"/>
      <c r="DQK646" s="731"/>
      <c r="DQL646" s="732"/>
      <c r="DQM646" s="731"/>
      <c r="DQN646" s="733"/>
      <c r="DQO646" s="731"/>
      <c r="DQP646" s="732"/>
      <c r="DQQ646" s="731"/>
      <c r="DQR646" s="733"/>
      <c r="DQS646" s="731"/>
      <c r="DQT646" s="732"/>
      <c r="DQU646" s="731"/>
      <c r="DQV646" s="733"/>
      <c r="DQW646" s="731"/>
      <c r="DQX646" s="732"/>
      <c r="DQY646" s="731"/>
      <c r="DQZ646" s="733"/>
      <c r="DRA646" s="731"/>
      <c r="DRB646" s="732"/>
      <c r="DRC646" s="731"/>
      <c r="DRD646" s="733"/>
      <c r="DRE646" s="731"/>
      <c r="DRF646" s="732"/>
      <c r="DRG646" s="731"/>
      <c r="DRH646" s="733"/>
      <c r="DRI646" s="731"/>
      <c r="DRJ646" s="732"/>
      <c r="DRK646" s="731"/>
      <c r="DRL646" s="733"/>
      <c r="DRM646" s="731"/>
      <c r="DRN646" s="732"/>
      <c r="DRO646" s="731"/>
      <c r="DRP646" s="733"/>
      <c r="DRQ646" s="731"/>
      <c r="DRR646" s="732"/>
      <c r="DRS646" s="731"/>
      <c r="DRT646" s="733"/>
      <c r="DRU646" s="731"/>
      <c r="DRV646" s="732"/>
      <c r="DRW646" s="731"/>
      <c r="DRX646" s="733"/>
      <c r="DRY646" s="731"/>
      <c r="DRZ646" s="732"/>
      <c r="DSA646" s="731"/>
      <c r="DSB646" s="733"/>
      <c r="DSC646" s="731"/>
      <c r="DSD646" s="732"/>
      <c r="DSE646" s="731"/>
      <c r="DSF646" s="733"/>
      <c r="DSG646" s="731"/>
      <c r="DSH646" s="732"/>
      <c r="DSI646" s="731"/>
      <c r="DSJ646" s="733"/>
      <c r="DSK646" s="731"/>
      <c r="DSL646" s="732"/>
      <c r="DSM646" s="731"/>
      <c r="DSN646" s="733"/>
      <c r="DSO646" s="731"/>
      <c r="DSP646" s="732"/>
      <c r="DSQ646" s="731"/>
      <c r="DSR646" s="733"/>
      <c r="DSS646" s="731"/>
      <c r="DST646" s="732"/>
      <c r="DSU646" s="731"/>
      <c r="DSV646" s="733"/>
      <c r="DSW646" s="731"/>
      <c r="DSX646" s="732"/>
      <c r="DSY646" s="731"/>
      <c r="DSZ646" s="733"/>
      <c r="DTA646" s="731"/>
      <c r="DTB646" s="732"/>
      <c r="DTC646" s="731"/>
      <c r="DTD646" s="733"/>
      <c r="DTE646" s="731"/>
      <c r="DTF646" s="732"/>
      <c r="DTG646" s="731"/>
      <c r="DTH646" s="733"/>
      <c r="DTI646" s="731"/>
      <c r="DTJ646" s="732"/>
      <c r="DTK646" s="731"/>
      <c r="DTL646" s="733"/>
      <c r="DTM646" s="731"/>
      <c r="DTN646" s="732"/>
      <c r="DTO646" s="731"/>
      <c r="DTP646" s="733"/>
      <c r="DTQ646" s="731"/>
      <c r="DTR646" s="732"/>
      <c r="DTS646" s="731"/>
      <c r="DTT646" s="733"/>
      <c r="DTU646" s="731"/>
      <c r="DTV646" s="732"/>
      <c r="DTW646" s="731"/>
      <c r="DTX646" s="733"/>
      <c r="DTY646" s="731"/>
      <c r="DTZ646" s="732"/>
      <c r="DUA646" s="731"/>
      <c r="DUB646" s="733"/>
      <c r="DUC646" s="731"/>
      <c r="DUD646" s="732"/>
      <c r="DUE646" s="731"/>
      <c r="DUF646" s="733"/>
      <c r="DUG646" s="731"/>
      <c r="DUH646" s="732"/>
      <c r="DUI646" s="731"/>
      <c r="DUJ646" s="733"/>
      <c r="DUK646" s="731"/>
      <c r="DUL646" s="732"/>
      <c r="DUM646" s="731"/>
      <c r="DUN646" s="733"/>
      <c r="DUO646" s="731"/>
      <c r="DUP646" s="732"/>
      <c r="DUQ646" s="731"/>
      <c r="DUR646" s="733"/>
      <c r="DUS646" s="731"/>
      <c r="DUT646" s="732"/>
      <c r="DUU646" s="731"/>
      <c r="DUV646" s="733"/>
      <c r="DUW646" s="731"/>
      <c r="DUX646" s="732"/>
      <c r="DUY646" s="731"/>
      <c r="DUZ646" s="733"/>
      <c r="DVA646" s="731"/>
      <c r="DVB646" s="732"/>
      <c r="DVC646" s="731"/>
      <c r="DVD646" s="733"/>
      <c r="DVE646" s="731"/>
      <c r="DVF646" s="732"/>
      <c r="DVG646" s="731"/>
      <c r="DVH646" s="733"/>
      <c r="DVI646" s="731"/>
      <c r="DVJ646" s="732"/>
      <c r="DVK646" s="731"/>
      <c r="DVL646" s="733"/>
      <c r="DVM646" s="731"/>
      <c r="DVN646" s="732"/>
      <c r="DVO646" s="731"/>
      <c r="DVP646" s="733"/>
      <c r="DVQ646" s="731"/>
      <c r="DVR646" s="732"/>
      <c r="DVS646" s="731"/>
      <c r="DVT646" s="733"/>
      <c r="DVU646" s="731"/>
      <c r="DVV646" s="732"/>
      <c r="DVW646" s="731"/>
      <c r="DVX646" s="733"/>
      <c r="DVY646" s="731"/>
      <c r="DVZ646" s="732"/>
      <c r="DWA646" s="731"/>
      <c r="DWB646" s="733"/>
      <c r="DWC646" s="731"/>
      <c r="DWD646" s="732"/>
      <c r="DWE646" s="731"/>
      <c r="DWF646" s="733"/>
      <c r="DWG646" s="731"/>
      <c r="DWH646" s="732"/>
      <c r="DWI646" s="731"/>
      <c r="DWJ646" s="733"/>
      <c r="DWK646" s="731"/>
      <c r="DWL646" s="732"/>
      <c r="DWM646" s="731"/>
      <c r="DWN646" s="733"/>
      <c r="DWO646" s="731"/>
      <c r="DWP646" s="732"/>
      <c r="DWQ646" s="731"/>
      <c r="DWR646" s="733"/>
      <c r="DWS646" s="731"/>
      <c r="DWT646" s="732"/>
      <c r="DWU646" s="731"/>
      <c r="DWV646" s="733"/>
      <c r="DWW646" s="731"/>
      <c r="DWX646" s="732"/>
      <c r="DWY646" s="731"/>
      <c r="DWZ646" s="733"/>
      <c r="DXA646" s="731"/>
      <c r="DXB646" s="732"/>
      <c r="DXC646" s="731"/>
      <c r="DXD646" s="733"/>
      <c r="DXE646" s="731"/>
      <c r="DXF646" s="732"/>
      <c r="DXG646" s="731"/>
      <c r="DXH646" s="733"/>
      <c r="DXI646" s="731"/>
      <c r="DXJ646" s="732"/>
      <c r="DXK646" s="731"/>
      <c r="DXL646" s="733"/>
      <c r="DXM646" s="731"/>
      <c r="DXN646" s="732"/>
      <c r="DXO646" s="731"/>
      <c r="DXP646" s="733"/>
      <c r="DXQ646" s="731"/>
      <c r="DXR646" s="732"/>
      <c r="DXS646" s="731"/>
      <c r="DXT646" s="733"/>
      <c r="DXU646" s="731"/>
      <c r="DXV646" s="732"/>
      <c r="DXW646" s="731"/>
      <c r="DXX646" s="733"/>
      <c r="DXY646" s="731"/>
      <c r="DXZ646" s="732"/>
      <c r="DYA646" s="731"/>
      <c r="DYB646" s="733"/>
      <c r="DYC646" s="731"/>
      <c r="DYD646" s="732"/>
      <c r="DYE646" s="731"/>
      <c r="DYF646" s="733"/>
      <c r="DYG646" s="731"/>
      <c r="DYH646" s="732"/>
      <c r="DYI646" s="731"/>
      <c r="DYJ646" s="733"/>
      <c r="DYK646" s="731"/>
      <c r="DYL646" s="732"/>
      <c r="DYM646" s="731"/>
      <c r="DYN646" s="733"/>
      <c r="DYO646" s="731"/>
      <c r="DYP646" s="732"/>
      <c r="DYQ646" s="731"/>
      <c r="DYR646" s="733"/>
      <c r="DYS646" s="731"/>
      <c r="DYT646" s="732"/>
      <c r="DYU646" s="731"/>
      <c r="DYV646" s="733"/>
      <c r="DYW646" s="731"/>
      <c r="DYX646" s="732"/>
      <c r="DYY646" s="731"/>
      <c r="DYZ646" s="733"/>
      <c r="DZA646" s="731"/>
      <c r="DZB646" s="732"/>
      <c r="DZC646" s="731"/>
      <c r="DZD646" s="733"/>
      <c r="DZE646" s="731"/>
      <c r="DZF646" s="732"/>
      <c r="DZG646" s="731"/>
      <c r="DZH646" s="733"/>
      <c r="DZI646" s="731"/>
      <c r="DZJ646" s="732"/>
      <c r="DZK646" s="731"/>
      <c r="DZL646" s="733"/>
      <c r="DZM646" s="731"/>
      <c r="DZN646" s="732"/>
      <c r="DZO646" s="731"/>
      <c r="DZP646" s="733"/>
      <c r="DZQ646" s="731"/>
      <c r="DZR646" s="732"/>
      <c r="DZS646" s="731"/>
      <c r="DZT646" s="733"/>
      <c r="DZU646" s="731"/>
      <c r="DZV646" s="732"/>
      <c r="DZW646" s="731"/>
      <c r="DZX646" s="733"/>
      <c r="DZY646" s="731"/>
      <c r="DZZ646" s="732"/>
      <c r="EAA646" s="731"/>
      <c r="EAB646" s="733"/>
      <c r="EAC646" s="731"/>
      <c r="EAD646" s="732"/>
      <c r="EAE646" s="731"/>
      <c r="EAF646" s="733"/>
      <c r="EAG646" s="731"/>
      <c r="EAH646" s="732"/>
      <c r="EAI646" s="731"/>
      <c r="EAJ646" s="733"/>
      <c r="EAK646" s="731"/>
      <c r="EAL646" s="732"/>
      <c r="EAM646" s="731"/>
      <c r="EAN646" s="733"/>
      <c r="EAO646" s="731"/>
      <c r="EAP646" s="732"/>
      <c r="EAQ646" s="731"/>
      <c r="EAR646" s="733"/>
      <c r="EAS646" s="731"/>
      <c r="EAT646" s="732"/>
      <c r="EAU646" s="731"/>
      <c r="EAV646" s="733"/>
      <c r="EAW646" s="731"/>
      <c r="EAX646" s="732"/>
      <c r="EAY646" s="731"/>
      <c r="EAZ646" s="733"/>
      <c r="EBA646" s="731"/>
      <c r="EBB646" s="732"/>
      <c r="EBC646" s="731"/>
      <c r="EBD646" s="733"/>
      <c r="EBE646" s="731"/>
      <c r="EBF646" s="732"/>
      <c r="EBG646" s="731"/>
      <c r="EBH646" s="733"/>
      <c r="EBI646" s="731"/>
      <c r="EBJ646" s="732"/>
      <c r="EBK646" s="731"/>
      <c r="EBL646" s="733"/>
      <c r="EBM646" s="731"/>
      <c r="EBN646" s="732"/>
      <c r="EBO646" s="731"/>
      <c r="EBP646" s="733"/>
      <c r="EBQ646" s="731"/>
      <c r="EBR646" s="732"/>
      <c r="EBS646" s="731"/>
      <c r="EBT646" s="733"/>
      <c r="EBU646" s="731"/>
      <c r="EBV646" s="732"/>
      <c r="EBW646" s="731"/>
      <c r="EBX646" s="733"/>
      <c r="EBY646" s="731"/>
      <c r="EBZ646" s="732"/>
      <c r="ECA646" s="731"/>
      <c r="ECB646" s="733"/>
      <c r="ECC646" s="731"/>
      <c r="ECD646" s="732"/>
      <c r="ECE646" s="731"/>
      <c r="ECF646" s="733"/>
      <c r="ECG646" s="731"/>
      <c r="ECH646" s="732"/>
      <c r="ECI646" s="731"/>
      <c r="ECJ646" s="733"/>
      <c r="ECK646" s="731"/>
      <c r="ECL646" s="732"/>
      <c r="ECM646" s="731"/>
      <c r="ECN646" s="733"/>
      <c r="ECO646" s="731"/>
      <c r="ECP646" s="732"/>
      <c r="ECQ646" s="731"/>
      <c r="ECR646" s="733"/>
      <c r="ECS646" s="731"/>
      <c r="ECT646" s="732"/>
      <c r="ECU646" s="731"/>
      <c r="ECV646" s="733"/>
      <c r="ECW646" s="731"/>
      <c r="ECX646" s="732"/>
      <c r="ECY646" s="731"/>
      <c r="ECZ646" s="733"/>
      <c r="EDA646" s="731"/>
      <c r="EDB646" s="732"/>
      <c r="EDC646" s="731"/>
      <c r="EDD646" s="733"/>
      <c r="EDE646" s="731"/>
      <c r="EDF646" s="732"/>
      <c r="EDG646" s="731"/>
      <c r="EDH646" s="733"/>
      <c r="EDI646" s="731"/>
      <c r="EDJ646" s="732"/>
      <c r="EDK646" s="731"/>
      <c r="EDL646" s="733"/>
      <c r="EDM646" s="731"/>
      <c r="EDN646" s="732"/>
      <c r="EDO646" s="731"/>
      <c r="EDP646" s="733"/>
      <c r="EDQ646" s="731"/>
      <c r="EDR646" s="732"/>
      <c r="EDS646" s="731"/>
      <c r="EDT646" s="733"/>
      <c r="EDU646" s="731"/>
      <c r="EDV646" s="732"/>
      <c r="EDW646" s="731"/>
      <c r="EDX646" s="733"/>
      <c r="EDY646" s="731"/>
      <c r="EDZ646" s="732"/>
      <c r="EEA646" s="731"/>
      <c r="EEB646" s="733"/>
      <c r="EEC646" s="731"/>
      <c r="EED646" s="732"/>
      <c r="EEE646" s="731"/>
      <c r="EEF646" s="733"/>
      <c r="EEG646" s="731"/>
      <c r="EEH646" s="732"/>
      <c r="EEI646" s="731"/>
      <c r="EEJ646" s="733"/>
      <c r="EEK646" s="731"/>
      <c r="EEL646" s="732"/>
      <c r="EEM646" s="731"/>
      <c r="EEN646" s="733"/>
      <c r="EEO646" s="731"/>
      <c r="EEP646" s="732"/>
      <c r="EEQ646" s="731"/>
      <c r="EER646" s="733"/>
      <c r="EES646" s="731"/>
      <c r="EET646" s="732"/>
      <c r="EEU646" s="731"/>
      <c r="EEV646" s="733"/>
      <c r="EEW646" s="731"/>
      <c r="EEX646" s="732"/>
      <c r="EEY646" s="731"/>
      <c r="EEZ646" s="733"/>
      <c r="EFA646" s="731"/>
      <c r="EFB646" s="732"/>
      <c r="EFC646" s="731"/>
      <c r="EFD646" s="733"/>
      <c r="EFE646" s="731"/>
      <c r="EFF646" s="732"/>
      <c r="EFG646" s="731"/>
      <c r="EFH646" s="733"/>
      <c r="EFI646" s="731"/>
      <c r="EFJ646" s="732"/>
      <c r="EFK646" s="731"/>
      <c r="EFL646" s="733"/>
      <c r="EFM646" s="731"/>
      <c r="EFN646" s="732"/>
      <c r="EFO646" s="731"/>
      <c r="EFP646" s="733"/>
      <c r="EFQ646" s="731"/>
      <c r="EFR646" s="732"/>
      <c r="EFS646" s="731"/>
      <c r="EFT646" s="733"/>
      <c r="EFU646" s="731"/>
      <c r="EFV646" s="732"/>
      <c r="EFW646" s="731"/>
      <c r="EFX646" s="733"/>
      <c r="EFY646" s="731"/>
      <c r="EFZ646" s="732"/>
      <c r="EGA646" s="731"/>
      <c r="EGB646" s="733"/>
      <c r="EGC646" s="731"/>
      <c r="EGD646" s="732"/>
      <c r="EGE646" s="731"/>
      <c r="EGF646" s="733"/>
      <c r="EGG646" s="731"/>
      <c r="EGH646" s="732"/>
      <c r="EGI646" s="731"/>
      <c r="EGJ646" s="733"/>
      <c r="EGK646" s="731"/>
      <c r="EGL646" s="732"/>
      <c r="EGM646" s="731"/>
      <c r="EGN646" s="733"/>
      <c r="EGO646" s="731"/>
      <c r="EGP646" s="732"/>
      <c r="EGQ646" s="731"/>
      <c r="EGR646" s="733"/>
      <c r="EGS646" s="731"/>
      <c r="EGT646" s="732"/>
      <c r="EGU646" s="731"/>
      <c r="EGV646" s="733"/>
      <c r="EGW646" s="731"/>
      <c r="EGX646" s="732"/>
      <c r="EGY646" s="731"/>
      <c r="EGZ646" s="733"/>
      <c r="EHA646" s="731"/>
      <c r="EHB646" s="732"/>
      <c r="EHC646" s="731"/>
      <c r="EHD646" s="733"/>
      <c r="EHE646" s="731"/>
      <c r="EHF646" s="732"/>
      <c r="EHG646" s="731"/>
      <c r="EHH646" s="733"/>
      <c r="EHI646" s="731"/>
      <c r="EHJ646" s="732"/>
      <c r="EHK646" s="731"/>
      <c r="EHL646" s="733"/>
      <c r="EHM646" s="731"/>
      <c r="EHN646" s="732"/>
      <c r="EHO646" s="731"/>
      <c r="EHP646" s="733"/>
      <c r="EHQ646" s="731"/>
      <c r="EHR646" s="732"/>
      <c r="EHS646" s="731"/>
      <c r="EHT646" s="733"/>
      <c r="EHU646" s="731"/>
      <c r="EHV646" s="732"/>
      <c r="EHW646" s="731"/>
      <c r="EHX646" s="733"/>
      <c r="EHY646" s="731"/>
      <c r="EHZ646" s="732"/>
      <c r="EIA646" s="731"/>
      <c r="EIB646" s="733"/>
      <c r="EIC646" s="731"/>
      <c r="EID646" s="732"/>
      <c r="EIE646" s="731"/>
      <c r="EIF646" s="733"/>
      <c r="EIG646" s="731"/>
      <c r="EIH646" s="732"/>
      <c r="EII646" s="731"/>
      <c r="EIJ646" s="733"/>
      <c r="EIK646" s="731"/>
      <c r="EIL646" s="732"/>
      <c r="EIM646" s="731"/>
      <c r="EIN646" s="733"/>
      <c r="EIO646" s="731"/>
      <c r="EIP646" s="732"/>
      <c r="EIQ646" s="731"/>
      <c r="EIR646" s="733"/>
      <c r="EIS646" s="731"/>
      <c r="EIT646" s="732"/>
      <c r="EIU646" s="731"/>
      <c r="EIV646" s="733"/>
      <c r="EIW646" s="731"/>
      <c r="EIX646" s="732"/>
      <c r="EIY646" s="731"/>
      <c r="EIZ646" s="733"/>
      <c r="EJA646" s="731"/>
      <c r="EJB646" s="732"/>
      <c r="EJC646" s="731"/>
      <c r="EJD646" s="733"/>
      <c r="EJE646" s="731"/>
      <c r="EJF646" s="732"/>
      <c r="EJG646" s="731"/>
      <c r="EJH646" s="733"/>
      <c r="EJI646" s="731"/>
      <c r="EJJ646" s="732"/>
      <c r="EJK646" s="731"/>
      <c r="EJL646" s="733"/>
      <c r="EJM646" s="731"/>
      <c r="EJN646" s="732"/>
      <c r="EJO646" s="731"/>
      <c r="EJP646" s="733"/>
      <c r="EJQ646" s="731"/>
      <c r="EJR646" s="732"/>
      <c r="EJS646" s="731"/>
      <c r="EJT646" s="733"/>
      <c r="EJU646" s="731"/>
      <c r="EJV646" s="732"/>
      <c r="EJW646" s="731"/>
      <c r="EJX646" s="733"/>
      <c r="EJY646" s="731"/>
      <c r="EJZ646" s="732"/>
      <c r="EKA646" s="731"/>
      <c r="EKB646" s="733"/>
      <c r="EKC646" s="731"/>
      <c r="EKD646" s="732"/>
      <c r="EKE646" s="731"/>
      <c r="EKF646" s="733"/>
      <c r="EKG646" s="731"/>
      <c r="EKH646" s="732"/>
      <c r="EKI646" s="731"/>
      <c r="EKJ646" s="733"/>
      <c r="EKK646" s="731"/>
      <c r="EKL646" s="732"/>
      <c r="EKM646" s="731"/>
      <c r="EKN646" s="733"/>
      <c r="EKO646" s="731"/>
      <c r="EKP646" s="732"/>
      <c r="EKQ646" s="731"/>
      <c r="EKR646" s="733"/>
      <c r="EKS646" s="731"/>
      <c r="EKT646" s="732"/>
      <c r="EKU646" s="731"/>
      <c r="EKV646" s="733"/>
      <c r="EKW646" s="731"/>
      <c r="EKX646" s="732"/>
      <c r="EKY646" s="731"/>
      <c r="EKZ646" s="733"/>
      <c r="ELA646" s="731"/>
      <c r="ELB646" s="732"/>
      <c r="ELC646" s="731"/>
      <c r="ELD646" s="733"/>
      <c r="ELE646" s="731"/>
      <c r="ELF646" s="732"/>
      <c r="ELG646" s="731"/>
      <c r="ELH646" s="733"/>
      <c r="ELI646" s="731"/>
      <c r="ELJ646" s="732"/>
      <c r="ELK646" s="731"/>
      <c r="ELL646" s="733"/>
      <c r="ELM646" s="731"/>
      <c r="ELN646" s="732"/>
      <c r="ELO646" s="731"/>
      <c r="ELP646" s="733"/>
      <c r="ELQ646" s="731"/>
      <c r="ELR646" s="732"/>
      <c r="ELS646" s="731"/>
      <c r="ELT646" s="733"/>
      <c r="ELU646" s="731"/>
      <c r="ELV646" s="732"/>
      <c r="ELW646" s="731"/>
      <c r="ELX646" s="733"/>
      <c r="ELY646" s="731"/>
      <c r="ELZ646" s="732"/>
      <c r="EMA646" s="731"/>
      <c r="EMB646" s="733"/>
      <c r="EMC646" s="731"/>
      <c r="EMD646" s="732"/>
      <c r="EME646" s="731"/>
      <c r="EMF646" s="733"/>
      <c r="EMG646" s="731"/>
      <c r="EMH646" s="732"/>
      <c r="EMI646" s="731"/>
      <c r="EMJ646" s="733"/>
      <c r="EMK646" s="731"/>
      <c r="EML646" s="732"/>
      <c r="EMM646" s="731"/>
      <c r="EMN646" s="733"/>
      <c r="EMO646" s="731"/>
      <c r="EMP646" s="732"/>
      <c r="EMQ646" s="731"/>
      <c r="EMR646" s="733"/>
      <c r="EMS646" s="731"/>
      <c r="EMT646" s="732"/>
      <c r="EMU646" s="731"/>
      <c r="EMV646" s="733"/>
      <c r="EMW646" s="731"/>
      <c r="EMX646" s="732"/>
      <c r="EMY646" s="731"/>
      <c r="EMZ646" s="733"/>
      <c r="ENA646" s="731"/>
      <c r="ENB646" s="732"/>
      <c r="ENC646" s="731"/>
      <c r="END646" s="733"/>
      <c r="ENE646" s="731"/>
      <c r="ENF646" s="732"/>
      <c r="ENG646" s="731"/>
      <c r="ENH646" s="733"/>
      <c r="ENI646" s="731"/>
      <c r="ENJ646" s="732"/>
      <c r="ENK646" s="731"/>
      <c r="ENL646" s="733"/>
      <c r="ENM646" s="731"/>
      <c r="ENN646" s="732"/>
      <c r="ENO646" s="731"/>
      <c r="ENP646" s="733"/>
      <c r="ENQ646" s="731"/>
      <c r="ENR646" s="732"/>
      <c r="ENS646" s="731"/>
      <c r="ENT646" s="733"/>
      <c r="ENU646" s="731"/>
      <c r="ENV646" s="732"/>
      <c r="ENW646" s="731"/>
      <c r="ENX646" s="733"/>
      <c r="ENY646" s="731"/>
      <c r="ENZ646" s="732"/>
      <c r="EOA646" s="731"/>
      <c r="EOB646" s="733"/>
      <c r="EOC646" s="731"/>
      <c r="EOD646" s="732"/>
      <c r="EOE646" s="731"/>
      <c r="EOF646" s="733"/>
      <c r="EOG646" s="731"/>
      <c r="EOH646" s="732"/>
      <c r="EOI646" s="731"/>
      <c r="EOJ646" s="733"/>
      <c r="EOK646" s="731"/>
      <c r="EOL646" s="732"/>
      <c r="EOM646" s="731"/>
      <c r="EON646" s="733"/>
      <c r="EOO646" s="731"/>
      <c r="EOP646" s="732"/>
      <c r="EOQ646" s="731"/>
      <c r="EOR646" s="733"/>
      <c r="EOS646" s="731"/>
      <c r="EOT646" s="732"/>
      <c r="EOU646" s="731"/>
      <c r="EOV646" s="733"/>
      <c r="EOW646" s="731"/>
      <c r="EOX646" s="732"/>
      <c r="EOY646" s="731"/>
      <c r="EOZ646" s="733"/>
      <c r="EPA646" s="731"/>
      <c r="EPB646" s="732"/>
      <c r="EPC646" s="731"/>
      <c r="EPD646" s="733"/>
      <c r="EPE646" s="731"/>
      <c r="EPF646" s="732"/>
      <c r="EPG646" s="731"/>
      <c r="EPH646" s="733"/>
      <c r="EPI646" s="731"/>
      <c r="EPJ646" s="732"/>
      <c r="EPK646" s="731"/>
      <c r="EPL646" s="733"/>
      <c r="EPM646" s="731"/>
      <c r="EPN646" s="732"/>
      <c r="EPO646" s="731"/>
      <c r="EPP646" s="733"/>
      <c r="EPQ646" s="731"/>
      <c r="EPR646" s="732"/>
      <c r="EPS646" s="731"/>
      <c r="EPT646" s="733"/>
      <c r="EPU646" s="731"/>
      <c r="EPV646" s="732"/>
      <c r="EPW646" s="731"/>
      <c r="EPX646" s="733"/>
      <c r="EPY646" s="731"/>
      <c r="EPZ646" s="732"/>
      <c r="EQA646" s="731"/>
      <c r="EQB646" s="733"/>
      <c r="EQC646" s="731"/>
      <c r="EQD646" s="732"/>
      <c r="EQE646" s="731"/>
      <c r="EQF646" s="733"/>
      <c r="EQG646" s="731"/>
      <c r="EQH646" s="732"/>
      <c r="EQI646" s="731"/>
      <c r="EQJ646" s="733"/>
      <c r="EQK646" s="731"/>
      <c r="EQL646" s="732"/>
      <c r="EQM646" s="731"/>
      <c r="EQN646" s="733"/>
      <c r="EQO646" s="731"/>
      <c r="EQP646" s="732"/>
      <c r="EQQ646" s="731"/>
      <c r="EQR646" s="733"/>
      <c r="EQS646" s="731"/>
      <c r="EQT646" s="732"/>
      <c r="EQU646" s="731"/>
      <c r="EQV646" s="733"/>
      <c r="EQW646" s="731"/>
      <c r="EQX646" s="732"/>
      <c r="EQY646" s="731"/>
      <c r="EQZ646" s="733"/>
      <c r="ERA646" s="731"/>
      <c r="ERB646" s="732"/>
      <c r="ERC646" s="731"/>
      <c r="ERD646" s="733"/>
      <c r="ERE646" s="731"/>
      <c r="ERF646" s="732"/>
      <c r="ERG646" s="731"/>
      <c r="ERH646" s="733"/>
      <c r="ERI646" s="731"/>
      <c r="ERJ646" s="732"/>
      <c r="ERK646" s="731"/>
      <c r="ERL646" s="733"/>
      <c r="ERM646" s="731"/>
      <c r="ERN646" s="732"/>
      <c r="ERO646" s="731"/>
      <c r="ERP646" s="733"/>
      <c r="ERQ646" s="731"/>
      <c r="ERR646" s="732"/>
      <c r="ERS646" s="731"/>
      <c r="ERT646" s="733"/>
      <c r="ERU646" s="731"/>
      <c r="ERV646" s="732"/>
      <c r="ERW646" s="731"/>
      <c r="ERX646" s="733"/>
      <c r="ERY646" s="731"/>
      <c r="ERZ646" s="732"/>
      <c r="ESA646" s="731"/>
      <c r="ESB646" s="733"/>
      <c r="ESC646" s="731"/>
      <c r="ESD646" s="732"/>
      <c r="ESE646" s="731"/>
      <c r="ESF646" s="733"/>
      <c r="ESG646" s="731"/>
      <c r="ESH646" s="732"/>
      <c r="ESI646" s="731"/>
      <c r="ESJ646" s="733"/>
      <c r="ESK646" s="731"/>
      <c r="ESL646" s="732"/>
      <c r="ESM646" s="731"/>
      <c r="ESN646" s="733"/>
      <c r="ESO646" s="731"/>
      <c r="ESP646" s="732"/>
      <c r="ESQ646" s="731"/>
      <c r="ESR646" s="733"/>
      <c r="ESS646" s="731"/>
      <c r="EST646" s="732"/>
      <c r="ESU646" s="731"/>
      <c r="ESV646" s="733"/>
      <c r="ESW646" s="731"/>
      <c r="ESX646" s="732"/>
      <c r="ESY646" s="731"/>
      <c r="ESZ646" s="733"/>
      <c r="ETA646" s="731"/>
      <c r="ETB646" s="732"/>
      <c r="ETC646" s="731"/>
      <c r="ETD646" s="733"/>
      <c r="ETE646" s="731"/>
      <c r="ETF646" s="732"/>
      <c r="ETG646" s="731"/>
      <c r="ETH646" s="733"/>
      <c r="ETI646" s="731"/>
      <c r="ETJ646" s="732"/>
      <c r="ETK646" s="731"/>
      <c r="ETL646" s="733"/>
      <c r="ETM646" s="731"/>
      <c r="ETN646" s="732"/>
      <c r="ETO646" s="731"/>
      <c r="ETP646" s="733"/>
      <c r="ETQ646" s="731"/>
      <c r="ETR646" s="732"/>
      <c r="ETS646" s="731"/>
      <c r="ETT646" s="733"/>
      <c r="ETU646" s="731"/>
      <c r="ETV646" s="732"/>
      <c r="ETW646" s="731"/>
      <c r="ETX646" s="733"/>
      <c r="ETY646" s="731"/>
      <c r="ETZ646" s="732"/>
      <c r="EUA646" s="731"/>
      <c r="EUB646" s="733"/>
      <c r="EUC646" s="731"/>
      <c r="EUD646" s="732"/>
      <c r="EUE646" s="731"/>
      <c r="EUF646" s="733"/>
      <c r="EUG646" s="731"/>
      <c r="EUH646" s="732"/>
      <c r="EUI646" s="731"/>
      <c r="EUJ646" s="733"/>
      <c r="EUK646" s="731"/>
      <c r="EUL646" s="732"/>
      <c r="EUM646" s="731"/>
      <c r="EUN646" s="733"/>
      <c r="EUO646" s="731"/>
      <c r="EUP646" s="732"/>
      <c r="EUQ646" s="731"/>
      <c r="EUR646" s="733"/>
      <c r="EUS646" s="731"/>
      <c r="EUT646" s="732"/>
      <c r="EUU646" s="731"/>
      <c r="EUV646" s="733"/>
      <c r="EUW646" s="731"/>
      <c r="EUX646" s="732"/>
      <c r="EUY646" s="731"/>
      <c r="EUZ646" s="733"/>
      <c r="EVA646" s="731"/>
      <c r="EVB646" s="732"/>
      <c r="EVC646" s="731"/>
      <c r="EVD646" s="733"/>
      <c r="EVE646" s="731"/>
      <c r="EVF646" s="732"/>
      <c r="EVG646" s="731"/>
      <c r="EVH646" s="733"/>
      <c r="EVI646" s="731"/>
      <c r="EVJ646" s="732"/>
      <c r="EVK646" s="731"/>
      <c r="EVL646" s="733"/>
      <c r="EVM646" s="731"/>
      <c r="EVN646" s="732"/>
      <c r="EVO646" s="731"/>
      <c r="EVP646" s="733"/>
      <c r="EVQ646" s="731"/>
      <c r="EVR646" s="732"/>
      <c r="EVS646" s="731"/>
      <c r="EVT646" s="733"/>
      <c r="EVU646" s="731"/>
      <c r="EVV646" s="732"/>
      <c r="EVW646" s="731"/>
      <c r="EVX646" s="733"/>
      <c r="EVY646" s="731"/>
      <c r="EVZ646" s="732"/>
      <c r="EWA646" s="731"/>
      <c r="EWB646" s="733"/>
      <c r="EWC646" s="731"/>
      <c r="EWD646" s="732"/>
      <c r="EWE646" s="731"/>
      <c r="EWF646" s="733"/>
      <c r="EWG646" s="731"/>
      <c r="EWH646" s="732"/>
      <c r="EWI646" s="731"/>
      <c r="EWJ646" s="733"/>
      <c r="EWK646" s="731"/>
      <c r="EWL646" s="732"/>
      <c r="EWM646" s="731"/>
      <c r="EWN646" s="733"/>
      <c r="EWO646" s="731"/>
      <c r="EWP646" s="732"/>
      <c r="EWQ646" s="731"/>
      <c r="EWR646" s="733"/>
      <c r="EWS646" s="731"/>
      <c r="EWT646" s="732"/>
      <c r="EWU646" s="731"/>
      <c r="EWV646" s="733"/>
      <c r="EWW646" s="731"/>
      <c r="EWX646" s="732"/>
      <c r="EWY646" s="731"/>
      <c r="EWZ646" s="733"/>
      <c r="EXA646" s="731"/>
      <c r="EXB646" s="732"/>
      <c r="EXC646" s="731"/>
      <c r="EXD646" s="733"/>
      <c r="EXE646" s="731"/>
      <c r="EXF646" s="732"/>
      <c r="EXG646" s="731"/>
      <c r="EXH646" s="733"/>
      <c r="EXI646" s="731"/>
      <c r="EXJ646" s="732"/>
      <c r="EXK646" s="731"/>
      <c r="EXL646" s="733"/>
      <c r="EXM646" s="731"/>
      <c r="EXN646" s="732"/>
      <c r="EXO646" s="731"/>
      <c r="EXP646" s="733"/>
      <c r="EXQ646" s="731"/>
      <c r="EXR646" s="732"/>
      <c r="EXS646" s="731"/>
      <c r="EXT646" s="733"/>
      <c r="EXU646" s="731"/>
      <c r="EXV646" s="732"/>
      <c r="EXW646" s="731"/>
      <c r="EXX646" s="733"/>
      <c r="EXY646" s="731"/>
      <c r="EXZ646" s="732"/>
      <c r="EYA646" s="731"/>
      <c r="EYB646" s="733"/>
      <c r="EYC646" s="731"/>
      <c r="EYD646" s="732"/>
      <c r="EYE646" s="731"/>
      <c r="EYF646" s="733"/>
      <c r="EYG646" s="731"/>
      <c r="EYH646" s="732"/>
      <c r="EYI646" s="731"/>
      <c r="EYJ646" s="733"/>
      <c r="EYK646" s="731"/>
      <c r="EYL646" s="732"/>
      <c r="EYM646" s="731"/>
      <c r="EYN646" s="733"/>
      <c r="EYO646" s="731"/>
      <c r="EYP646" s="732"/>
      <c r="EYQ646" s="731"/>
      <c r="EYR646" s="733"/>
      <c r="EYS646" s="731"/>
      <c r="EYT646" s="732"/>
      <c r="EYU646" s="731"/>
      <c r="EYV646" s="733"/>
      <c r="EYW646" s="731"/>
      <c r="EYX646" s="732"/>
      <c r="EYY646" s="731"/>
      <c r="EYZ646" s="733"/>
      <c r="EZA646" s="731"/>
      <c r="EZB646" s="732"/>
      <c r="EZC646" s="731"/>
      <c r="EZD646" s="733"/>
      <c r="EZE646" s="731"/>
      <c r="EZF646" s="732"/>
      <c r="EZG646" s="731"/>
      <c r="EZH646" s="733"/>
      <c r="EZI646" s="731"/>
      <c r="EZJ646" s="732"/>
      <c r="EZK646" s="731"/>
      <c r="EZL646" s="733"/>
      <c r="EZM646" s="731"/>
      <c r="EZN646" s="732"/>
      <c r="EZO646" s="731"/>
      <c r="EZP646" s="733"/>
      <c r="EZQ646" s="731"/>
      <c r="EZR646" s="732"/>
      <c r="EZS646" s="731"/>
      <c r="EZT646" s="733"/>
      <c r="EZU646" s="731"/>
      <c r="EZV646" s="732"/>
      <c r="EZW646" s="731"/>
      <c r="EZX646" s="733"/>
      <c r="EZY646" s="731"/>
      <c r="EZZ646" s="732"/>
      <c r="FAA646" s="731"/>
      <c r="FAB646" s="733"/>
      <c r="FAC646" s="731"/>
      <c r="FAD646" s="732"/>
      <c r="FAE646" s="731"/>
      <c r="FAF646" s="733"/>
      <c r="FAG646" s="731"/>
      <c r="FAH646" s="732"/>
      <c r="FAI646" s="731"/>
      <c r="FAJ646" s="733"/>
      <c r="FAK646" s="731"/>
      <c r="FAL646" s="732"/>
      <c r="FAM646" s="731"/>
      <c r="FAN646" s="733"/>
      <c r="FAO646" s="731"/>
      <c r="FAP646" s="732"/>
      <c r="FAQ646" s="731"/>
      <c r="FAR646" s="733"/>
      <c r="FAS646" s="731"/>
      <c r="FAT646" s="732"/>
      <c r="FAU646" s="731"/>
      <c r="FAV646" s="733"/>
      <c r="FAW646" s="731"/>
      <c r="FAX646" s="732"/>
      <c r="FAY646" s="731"/>
      <c r="FAZ646" s="733"/>
      <c r="FBA646" s="731"/>
      <c r="FBB646" s="732"/>
      <c r="FBC646" s="731"/>
      <c r="FBD646" s="733"/>
      <c r="FBE646" s="731"/>
      <c r="FBF646" s="732"/>
      <c r="FBG646" s="731"/>
      <c r="FBH646" s="733"/>
      <c r="FBI646" s="731"/>
      <c r="FBJ646" s="732"/>
      <c r="FBK646" s="731"/>
      <c r="FBL646" s="733"/>
      <c r="FBM646" s="731"/>
      <c r="FBN646" s="732"/>
      <c r="FBO646" s="731"/>
      <c r="FBP646" s="733"/>
      <c r="FBQ646" s="731"/>
      <c r="FBR646" s="732"/>
      <c r="FBS646" s="731"/>
      <c r="FBT646" s="733"/>
      <c r="FBU646" s="731"/>
      <c r="FBV646" s="732"/>
      <c r="FBW646" s="731"/>
      <c r="FBX646" s="733"/>
      <c r="FBY646" s="731"/>
      <c r="FBZ646" s="732"/>
      <c r="FCA646" s="731"/>
      <c r="FCB646" s="733"/>
      <c r="FCC646" s="731"/>
      <c r="FCD646" s="732"/>
      <c r="FCE646" s="731"/>
      <c r="FCF646" s="733"/>
      <c r="FCG646" s="731"/>
      <c r="FCH646" s="732"/>
      <c r="FCI646" s="731"/>
      <c r="FCJ646" s="733"/>
      <c r="FCK646" s="731"/>
      <c r="FCL646" s="732"/>
      <c r="FCM646" s="731"/>
      <c r="FCN646" s="733"/>
      <c r="FCO646" s="731"/>
      <c r="FCP646" s="732"/>
      <c r="FCQ646" s="731"/>
      <c r="FCR646" s="733"/>
      <c r="FCS646" s="731"/>
      <c r="FCT646" s="732"/>
      <c r="FCU646" s="731"/>
      <c r="FCV646" s="733"/>
      <c r="FCW646" s="731"/>
      <c r="FCX646" s="732"/>
      <c r="FCY646" s="731"/>
      <c r="FCZ646" s="733"/>
      <c r="FDA646" s="731"/>
      <c r="FDB646" s="732"/>
      <c r="FDC646" s="731"/>
      <c r="FDD646" s="733"/>
      <c r="FDE646" s="731"/>
      <c r="FDF646" s="732"/>
      <c r="FDG646" s="731"/>
      <c r="FDH646" s="733"/>
      <c r="FDI646" s="731"/>
      <c r="FDJ646" s="732"/>
      <c r="FDK646" s="731"/>
      <c r="FDL646" s="733"/>
      <c r="FDM646" s="731"/>
      <c r="FDN646" s="732"/>
      <c r="FDO646" s="731"/>
      <c r="FDP646" s="733"/>
      <c r="FDQ646" s="731"/>
      <c r="FDR646" s="732"/>
      <c r="FDS646" s="731"/>
      <c r="FDT646" s="733"/>
      <c r="FDU646" s="731"/>
      <c r="FDV646" s="732"/>
      <c r="FDW646" s="731"/>
      <c r="FDX646" s="733"/>
      <c r="FDY646" s="731"/>
      <c r="FDZ646" s="732"/>
      <c r="FEA646" s="731"/>
      <c r="FEB646" s="733"/>
      <c r="FEC646" s="731"/>
      <c r="FED646" s="732"/>
      <c r="FEE646" s="731"/>
      <c r="FEF646" s="733"/>
      <c r="FEG646" s="731"/>
      <c r="FEH646" s="732"/>
      <c r="FEI646" s="731"/>
      <c r="FEJ646" s="733"/>
      <c r="FEK646" s="731"/>
      <c r="FEL646" s="732"/>
      <c r="FEM646" s="731"/>
      <c r="FEN646" s="733"/>
      <c r="FEO646" s="731"/>
      <c r="FEP646" s="732"/>
      <c r="FEQ646" s="731"/>
      <c r="FER646" s="733"/>
      <c r="FES646" s="731"/>
      <c r="FET646" s="732"/>
      <c r="FEU646" s="731"/>
      <c r="FEV646" s="733"/>
      <c r="FEW646" s="731"/>
      <c r="FEX646" s="732"/>
      <c r="FEY646" s="731"/>
      <c r="FEZ646" s="733"/>
      <c r="FFA646" s="731"/>
      <c r="FFB646" s="732"/>
      <c r="FFC646" s="731"/>
      <c r="FFD646" s="733"/>
      <c r="FFE646" s="731"/>
      <c r="FFF646" s="732"/>
      <c r="FFG646" s="731"/>
      <c r="FFH646" s="733"/>
      <c r="FFI646" s="731"/>
      <c r="FFJ646" s="732"/>
      <c r="FFK646" s="731"/>
      <c r="FFL646" s="733"/>
      <c r="FFM646" s="731"/>
      <c r="FFN646" s="732"/>
      <c r="FFO646" s="731"/>
      <c r="FFP646" s="733"/>
      <c r="FFQ646" s="731"/>
      <c r="FFR646" s="732"/>
      <c r="FFS646" s="731"/>
      <c r="FFT646" s="733"/>
      <c r="FFU646" s="731"/>
      <c r="FFV646" s="732"/>
      <c r="FFW646" s="731"/>
      <c r="FFX646" s="733"/>
      <c r="FFY646" s="731"/>
      <c r="FFZ646" s="732"/>
      <c r="FGA646" s="731"/>
      <c r="FGB646" s="733"/>
      <c r="FGC646" s="731"/>
      <c r="FGD646" s="732"/>
      <c r="FGE646" s="731"/>
      <c r="FGF646" s="733"/>
      <c r="FGG646" s="731"/>
      <c r="FGH646" s="732"/>
      <c r="FGI646" s="731"/>
      <c r="FGJ646" s="733"/>
      <c r="FGK646" s="731"/>
      <c r="FGL646" s="732"/>
      <c r="FGM646" s="731"/>
      <c r="FGN646" s="733"/>
      <c r="FGO646" s="731"/>
      <c r="FGP646" s="732"/>
      <c r="FGQ646" s="731"/>
      <c r="FGR646" s="733"/>
      <c r="FGS646" s="731"/>
      <c r="FGT646" s="732"/>
      <c r="FGU646" s="731"/>
      <c r="FGV646" s="733"/>
      <c r="FGW646" s="731"/>
      <c r="FGX646" s="732"/>
      <c r="FGY646" s="731"/>
      <c r="FGZ646" s="733"/>
      <c r="FHA646" s="731"/>
      <c r="FHB646" s="732"/>
      <c r="FHC646" s="731"/>
      <c r="FHD646" s="733"/>
      <c r="FHE646" s="731"/>
      <c r="FHF646" s="732"/>
      <c r="FHG646" s="731"/>
      <c r="FHH646" s="733"/>
      <c r="FHI646" s="731"/>
      <c r="FHJ646" s="732"/>
      <c r="FHK646" s="731"/>
      <c r="FHL646" s="733"/>
      <c r="FHM646" s="731"/>
      <c r="FHN646" s="732"/>
      <c r="FHO646" s="731"/>
      <c r="FHP646" s="733"/>
      <c r="FHQ646" s="731"/>
      <c r="FHR646" s="732"/>
      <c r="FHS646" s="731"/>
      <c r="FHT646" s="733"/>
      <c r="FHU646" s="731"/>
      <c r="FHV646" s="732"/>
      <c r="FHW646" s="731"/>
      <c r="FHX646" s="733"/>
      <c r="FHY646" s="731"/>
      <c r="FHZ646" s="732"/>
      <c r="FIA646" s="731"/>
      <c r="FIB646" s="733"/>
      <c r="FIC646" s="731"/>
      <c r="FID646" s="732"/>
      <c r="FIE646" s="731"/>
      <c r="FIF646" s="733"/>
      <c r="FIG646" s="731"/>
      <c r="FIH646" s="732"/>
      <c r="FII646" s="731"/>
      <c r="FIJ646" s="733"/>
      <c r="FIK646" s="731"/>
      <c r="FIL646" s="732"/>
      <c r="FIM646" s="731"/>
      <c r="FIN646" s="733"/>
      <c r="FIO646" s="731"/>
      <c r="FIP646" s="732"/>
      <c r="FIQ646" s="731"/>
      <c r="FIR646" s="733"/>
      <c r="FIS646" s="731"/>
      <c r="FIT646" s="732"/>
      <c r="FIU646" s="731"/>
      <c r="FIV646" s="733"/>
      <c r="FIW646" s="731"/>
      <c r="FIX646" s="732"/>
      <c r="FIY646" s="731"/>
      <c r="FIZ646" s="733"/>
      <c r="FJA646" s="731"/>
      <c r="FJB646" s="732"/>
      <c r="FJC646" s="731"/>
      <c r="FJD646" s="733"/>
      <c r="FJE646" s="731"/>
      <c r="FJF646" s="732"/>
      <c r="FJG646" s="731"/>
      <c r="FJH646" s="733"/>
      <c r="FJI646" s="731"/>
      <c r="FJJ646" s="732"/>
      <c r="FJK646" s="731"/>
      <c r="FJL646" s="733"/>
      <c r="FJM646" s="731"/>
      <c r="FJN646" s="732"/>
      <c r="FJO646" s="731"/>
      <c r="FJP646" s="733"/>
      <c r="FJQ646" s="731"/>
      <c r="FJR646" s="732"/>
      <c r="FJS646" s="731"/>
      <c r="FJT646" s="733"/>
      <c r="FJU646" s="731"/>
      <c r="FJV646" s="732"/>
      <c r="FJW646" s="731"/>
      <c r="FJX646" s="733"/>
      <c r="FJY646" s="731"/>
      <c r="FJZ646" s="732"/>
      <c r="FKA646" s="731"/>
      <c r="FKB646" s="733"/>
      <c r="FKC646" s="731"/>
      <c r="FKD646" s="732"/>
      <c r="FKE646" s="731"/>
      <c r="FKF646" s="733"/>
      <c r="FKG646" s="731"/>
      <c r="FKH646" s="732"/>
      <c r="FKI646" s="731"/>
      <c r="FKJ646" s="733"/>
      <c r="FKK646" s="731"/>
      <c r="FKL646" s="732"/>
      <c r="FKM646" s="731"/>
      <c r="FKN646" s="733"/>
      <c r="FKO646" s="731"/>
      <c r="FKP646" s="732"/>
      <c r="FKQ646" s="731"/>
      <c r="FKR646" s="733"/>
      <c r="FKS646" s="731"/>
      <c r="FKT646" s="732"/>
      <c r="FKU646" s="731"/>
      <c r="FKV646" s="733"/>
      <c r="FKW646" s="731"/>
      <c r="FKX646" s="732"/>
      <c r="FKY646" s="731"/>
      <c r="FKZ646" s="733"/>
      <c r="FLA646" s="731"/>
      <c r="FLB646" s="732"/>
      <c r="FLC646" s="731"/>
      <c r="FLD646" s="733"/>
      <c r="FLE646" s="731"/>
      <c r="FLF646" s="732"/>
      <c r="FLG646" s="731"/>
      <c r="FLH646" s="733"/>
      <c r="FLI646" s="731"/>
      <c r="FLJ646" s="732"/>
      <c r="FLK646" s="731"/>
      <c r="FLL646" s="733"/>
      <c r="FLM646" s="731"/>
      <c r="FLN646" s="732"/>
      <c r="FLO646" s="731"/>
      <c r="FLP646" s="733"/>
      <c r="FLQ646" s="731"/>
      <c r="FLR646" s="732"/>
      <c r="FLS646" s="731"/>
      <c r="FLT646" s="733"/>
      <c r="FLU646" s="731"/>
      <c r="FLV646" s="732"/>
      <c r="FLW646" s="731"/>
      <c r="FLX646" s="733"/>
      <c r="FLY646" s="731"/>
      <c r="FLZ646" s="732"/>
      <c r="FMA646" s="731"/>
      <c r="FMB646" s="733"/>
      <c r="FMC646" s="731"/>
      <c r="FMD646" s="732"/>
      <c r="FME646" s="731"/>
      <c r="FMF646" s="733"/>
      <c r="FMG646" s="731"/>
      <c r="FMH646" s="732"/>
      <c r="FMI646" s="731"/>
      <c r="FMJ646" s="733"/>
      <c r="FMK646" s="731"/>
      <c r="FML646" s="732"/>
      <c r="FMM646" s="731"/>
      <c r="FMN646" s="733"/>
      <c r="FMO646" s="731"/>
      <c r="FMP646" s="732"/>
      <c r="FMQ646" s="731"/>
      <c r="FMR646" s="733"/>
      <c r="FMS646" s="731"/>
      <c r="FMT646" s="732"/>
      <c r="FMU646" s="731"/>
      <c r="FMV646" s="733"/>
      <c r="FMW646" s="731"/>
      <c r="FMX646" s="732"/>
      <c r="FMY646" s="731"/>
      <c r="FMZ646" s="733"/>
      <c r="FNA646" s="731"/>
      <c r="FNB646" s="732"/>
      <c r="FNC646" s="731"/>
      <c r="FND646" s="733"/>
      <c r="FNE646" s="731"/>
      <c r="FNF646" s="732"/>
      <c r="FNG646" s="731"/>
      <c r="FNH646" s="733"/>
      <c r="FNI646" s="731"/>
      <c r="FNJ646" s="732"/>
      <c r="FNK646" s="731"/>
      <c r="FNL646" s="733"/>
      <c r="FNM646" s="731"/>
      <c r="FNN646" s="732"/>
      <c r="FNO646" s="731"/>
      <c r="FNP646" s="733"/>
      <c r="FNQ646" s="731"/>
      <c r="FNR646" s="732"/>
      <c r="FNS646" s="731"/>
      <c r="FNT646" s="733"/>
      <c r="FNU646" s="731"/>
      <c r="FNV646" s="732"/>
      <c r="FNW646" s="731"/>
      <c r="FNX646" s="733"/>
      <c r="FNY646" s="731"/>
      <c r="FNZ646" s="732"/>
      <c r="FOA646" s="731"/>
      <c r="FOB646" s="733"/>
      <c r="FOC646" s="731"/>
      <c r="FOD646" s="732"/>
      <c r="FOE646" s="731"/>
      <c r="FOF646" s="733"/>
      <c r="FOG646" s="731"/>
      <c r="FOH646" s="732"/>
      <c r="FOI646" s="731"/>
      <c r="FOJ646" s="733"/>
      <c r="FOK646" s="731"/>
      <c r="FOL646" s="732"/>
      <c r="FOM646" s="731"/>
      <c r="FON646" s="733"/>
      <c r="FOO646" s="731"/>
      <c r="FOP646" s="732"/>
      <c r="FOQ646" s="731"/>
      <c r="FOR646" s="733"/>
      <c r="FOS646" s="731"/>
      <c r="FOT646" s="732"/>
      <c r="FOU646" s="731"/>
      <c r="FOV646" s="733"/>
      <c r="FOW646" s="731"/>
      <c r="FOX646" s="732"/>
      <c r="FOY646" s="731"/>
      <c r="FOZ646" s="733"/>
      <c r="FPA646" s="731"/>
      <c r="FPB646" s="732"/>
      <c r="FPC646" s="731"/>
      <c r="FPD646" s="733"/>
      <c r="FPE646" s="731"/>
      <c r="FPF646" s="732"/>
      <c r="FPG646" s="731"/>
      <c r="FPH646" s="733"/>
      <c r="FPI646" s="731"/>
      <c r="FPJ646" s="732"/>
      <c r="FPK646" s="731"/>
      <c r="FPL646" s="733"/>
      <c r="FPM646" s="731"/>
      <c r="FPN646" s="732"/>
      <c r="FPO646" s="731"/>
      <c r="FPP646" s="733"/>
      <c r="FPQ646" s="731"/>
      <c r="FPR646" s="732"/>
      <c r="FPS646" s="731"/>
      <c r="FPT646" s="733"/>
      <c r="FPU646" s="731"/>
      <c r="FPV646" s="732"/>
      <c r="FPW646" s="731"/>
      <c r="FPX646" s="733"/>
      <c r="FPY646" s="731"/>
      <c r="FPZ646" s="732"/>
      <c r="FQA646" s="731"/>
      <c r="FQB646" s="733"/>
      <c r="FQC646" s="731"/>
      <c r="FQD646" s="732"/>
      <c r="FQE646" s="731"/>
      <c r="FQF646" s="733"/>
      <c r="FQG646" s="731"/>
      <c r="FQH646" s="732"/>
      <c r="FQI646" s="731"/>
      <c r="FQJ646" s="733"/>
      <c r="FQK646" s="731"/>
      <c r="FQL646" s="732"/>
      <c r="FQM646" s="731"/>
      <c r="FQN646" s="733"/>
      <c r="FQO646" s="731"/>
      <c r="FQP646" s="732"/>
      <c r="FQQ646" s="731"/>
      <c r="FQR646" s="733"/>
      <c r="FQS646" s="731"/>
      <c r="FQT646" s="732"/>
      <c r="FQU646" s="731"/>
      <c r="FQV646" s="733"/>
      <c r="FQW646" s="731"/>
      <c r="FQX646" s="732"/>
      <c r="FQY646" s="731"/>
      <c r="FQZ646" s="733"/>
      <c r="FRA646" s="731"/>
      <c r="FRB646" s="732"/>
      <c r="FRC646" s="731"/>
      <c r="FRD646" s="733"/>
      <c r="FRE646" s="731"/>
      <c r="FRF646" s="732"/>
      <c r="FRG646" s="731"/>
      <c r="FRH646" s="733"/>
      <c r="FRI646" s="731"/>
      <c r="FRJ646" s="732"/>
      <c r="FRK646" s="731"/>
      <c r="FRL646" s="733"/>
      <c r="FRM646" s="731"/>
      <c r="FRN646" s="732"/>
      <c r="FRO646" s="731"/>
      <c r="FRP646" s="733"/>
      <c r="FRQ646" s="731"/>
      <c r="FRR646" s="732"/>
      <c r="FRS646" s="731"/>
      <c r="FRT646" s="733"/>
      <c r="FRU646" s="731"/>
      <c r="FRV646" s="732"/>
      <c r="FRW646" s="731"/>
      <c r="FRX646" s="733"/>
      <c r="FRY646" s="731"/>
      <c r="FRZ646" s="732"/>
      <c r="FSA646" s="731"/>
      <c r="FSB646" s="733"/>
      <c r="FSC646" s="731"/>
      <c r="FSD646" s="732"/>
      <c r="FSE646" s="731"/>
      <c r="FSF646" s="733"/>
      <c r="FSG646" s="731"/>
      <c r="FSH646" s="732"/>
      <c r="FSI646" s="731"/>
      <c r="FSJ646" s="733"/>
      <c r="FSK646" s="731"/>
      <c r="FSL646" s="732"/>
      <c r="FSM646" s="731"/>
      <c r="FSN646" s="733"/>
      <c r="FSO646" s="731"/>
      <c r="FSP646" s="732"/>
      <c r="FSQ646" s="731"/>
      <c r="FSR646" s="733"/>
      <c r="FSS646" s="731"/>
      <c r="FST646" s="732"/>
      <c r="FSU646" s="731"/>
      <c r="FSV646" s="733"/>
      <c r="FSW646" s="731"/>
      <c r="FSX646" s="732"/>
      <c r="FSY646" s="731"/>
      <c r="FSZ646" s="733"/>
      <c r="FTA646" s="731"/>
      <c r="FTB646" s="732"/>
      <c r="FTC646" s="731"/>
      <c r="FTD646" s="733"/>
      <c r="FTE646" s="731"/>
      <c r="FTF646" s="732"/>
      <c r="FTG646" s="731"/>
      <c r="FTH646" s="733"/>
      <c r="FTI646" s="731"/>
      <c r="FTJ646" s="732"/>
      <c r="FTK646" s="731"/>
      <c r="FTL646" s="733"/>
      <c r="FTM646" s="731"/>
      <c r="FTN646" s="732"/>
      <c r="FTO646" s="731"/>
      <c r="FTP646" s="733"/>
      <c r="FTQ646" s="731"/>
      <c r="FTR646" s="732"/>
      <c r="FTS646" s="731"/>
      <c r="FTT646" s="733"/>
      <c r="FTU646" s="731"/>
      <c r="FTV646" s="732"/>
      <c r="FTW646" s="731"/>
      <c r="FTX646" s="733"/>
      <c r="FTY646" s="731"/>
      <c r="FTZ646" s="732"/>
      <c r="FUA646" s="731"/>
      <c r="FUB646" s="733"/>
      <c r="FUC646" s="731"/>
      <c r="FUD646" s="732"/>
      <c r="FUE646" s="731"/>
      <c r="FUF646" s="733"/>
      <c r="FUG646" s="731"/>
      <c r="FUH646" s="732"/>
      <c r="FUI646" s="731"/>
      <c r="FUJ646" s="733"/>
      <c r="FUK646" s="731"/>
      <c r="FUL646" s="732"/>
      <c r="FUM646" s="731"/>
      <c r="FUN646" s="733"/>
      <c r="FUO646" s="731"/>
      <c r="FUP646" s="732"/>
      <c r="FUQ646" s="731"/>
      <c r="FUR646" s="733"/>
      <c r="FUS646" s="731"/>
      <c r="FUT646" s="732"/>
      <c r="FUU646" s="731"/>
      <c r="FUV646" s="733"/>
      <c r="FUW646" s="731"/>
      <c r="FUX646" s="732"/>
      <c r="FUY646" s="731"/>
      <c r="FUZ646" s="733"/>
      <c r="FVA646" s="731"/>
      <c r="FVB646" s="732"/>
      <c r="FVC646" s="731"/>
      <c r="FVD646" s="733"/>
      <c r="FVE646" s="731"/>
      <c r="FVF646" s="732"/>
      <c r="FVG646" s="731"/>
      <c r="FVH646" s="733"/>
      <c r="FVI646" s="731"/>
      <c r="FVJ646" s="732"/>
      <c r="FVK646" s="731"/>
      <c r="FVL646" s="733"/>
      <c r="FVM646" s="731"/>
      <c r="FVN646" s="732"/>
      <c r="FVO646" s="731"/>
      <c r="FVP646" s="733"/>
      <c r="FVQ646" s="731"/>
      <c r="FVR646" s="732"/>
      <c r="FVS646" s="731"/>
      <c r="FVT646" s="733"/>
      <c r="FVU646" s="731"/>
      <c r="FVV646" s="732"/>
      <c r="FVW646" s="731"/>
      <c r="FVX646" s="733"/>
      <c r="FVY646" s="731"/>
      <c r="FVZ646" s="732"/>
      <c r="FWA646" s="731"/>
      <c r="FWB646" s="733"/>
      <c r="FWC646" s="731"/>
      <c r="FWD646" s="732"/>
      <c r="FWE646" s="731"/>
      <c r="FWF646" s="733"/>
      <c r="FWG646" s="731"/>
      <c r="FWH646" s="732"/>
      <c r="FWI646" s="731"/>
      <c r="FWJ646" s="733"/>
      <c r="FWK646" s="731"/>
      <c r="FWL646" s="732"/>
      <c r="FWM646" s="731"/>
      <c r="FWN646" s="733"/>
      <c r="FWO646" s="731"/>
      <c r="FWP646" s="732"/>
      <c r="FWQ646" s="731"/>
      <c r="FWR646" s="733"/>
      <c r="FWS646" s="731"/>
      <c r="FWT646" s="732"/>
      <c r="FWU646" s="731"/>
      <c r="FWV646" s="733"/>
      <c r="FWW646" s="731"/>
      <c r="FWX646" s="732"/>
      <c r="FWY646" s="731"/>
      <c r="FWZ646" s="733"/>
      <c r="FXA646" s="731"/>
      <c r="FXB646" s="732"/>
      <c r="FXC646" s="731"/>
      <c r="FXD646" s="733"/>
      <c r="FXE646" s="731"/>
      <c r="FXF646" s="732"/>
      <c r="FXG646" s="731"/>
      <c r="FXH646" s="733"/>
      <c r="FXI646" s="731"/>
      <c r="FXJ646" s="732"/>
      <c r="FXK646" s="731"/>
      <c r="FXL646" s="733"/>
      <c r="FXM646" s="731"/>
      <c r="FXN646" s="732"/>
      <c r="FXO646" s="731"/>
      <c r="FXP646" s="733"/>
      <c r="FXQ646" s="731"/>
      <c r="FXR646" s="732"/>
      <c r="FXS646" s="731"/>
      <c r="FXT646" s="733"/>
      <c r="FXU646" s="731"/>
      <c r="FXV646" s="732"/>
      <c r="FXW646" s="731"/>
      <c r="FXX646" s="733"/>
      <c r="FXY646" s="731"/>
      <c r="FXZ646" s="732"/>
      <c r="FYA646" s="731"/>
      <c r="FYB646" s="733"/>
      <c r="FYC646" s="731"/>
      <c r="FYD646" s="732"/>
      <c r="FYE646" s="731"/>
      <c r="FYF646" s="733"/>
      <c r="FYG646" s="731"/>
      <c r="FYH646" s="732"/>
      <c r="FYI646" s="731"/>
      <c r="FYJ646" s="733"/>
      <c r="FYK646" s="731"/>
      <c r="FYL646" s="732"/>
      <c r="FYM646" s="731"/>
      <c r="FYN646" s="733"/>
      <c r="FYO646" s="731"/>
      <c r="FYP646" s="732"/>
      <c r="FYQ646" s="731"/>
      <c r="FYR646" s="733"/>
      <c r="FYS646" s="731"/>
      <c r="FYT646" s="732"/>
      <c r="FYU646" s="731"/>
      <c r="FYV646" s="733"/>
      <c r="FYW646" s="731"/>
      <c r="FYX646" s="732"/>
      <c r="FYY646" s="731"/>
      <c r="FYZ646" s="733"/>
      <c r="FZA646" s="731"/>
      <c r="FZB646" s="732"/>
      <c r="FZC646" s="731"/>
      <c r="FZD646" s="733"/>
      <c r="FZE646" s="731"/>
      <c r="FZF646" s="732"/>
      <c r="FZG646" s="731"/>
      <c r="FZH646" s="733"/>
      <c r="FZI646" s="731"/>
      <c r="FZJ646" s="732"/>
      <c r="FZK646" s="731"/>
      <c r="FZL646" s="733"/>
      <c r="FZM646" s="731"/>
      <c r="FZN646" s="732"/>
      <c r="FZO646" s="731"/>
      <c r="FZP646" s="733"/>
      <c r="FZQ646" s="731"/>
      <c r="FZR646" s="732"/>
      <c r="FZS646" s="731"/>
      <c r="FZT646" s="733"/>
      <c r="FZU646" s="731"/>
      <c r="FZV646" s="732"/>
      <c r="FZW646" s="731"/>
      <c r="FZX646" s="733"/>
      <c r="FZY646" s="731"/>
      <c r="FZZ646" s="732"/>
      <c r="GAA646" s="731"/>
      <c r="GAB646" s="733"/>
      <c r="GAC646" s="731"/>
      <c r="GAD646" s="732"/>
      <c r="GAE646" s="731"/>
      <c r="GAF646" s="733"/>
      <c r="GAG646" s="731"/>
      <c r="GAH646" s="732"/>
      <c r="GAI646" s="731"/>
      <c r="GAJ646" s="733"/>
      <c r="GAK646" s="731"/>
      <c r="GAL646" s="732"/>
      <c r="GAM646" s="731"/>
      <c r="GAN646" s="733"/>
      <c r="GAO646" s="731"/>
      <c r="GAP646" s="732"/>
      <c r="GAQ646" s="731"/>
      <c r="GAR646" s="733"/>
      <c r="GAS646" s="731"/>
      <c r="GAT646" s="732"/>
      <c r="GAU646" s="731"/>
      <c r="GAV646" s="733"/>
      <c r="GAW646" s="731"/>
      <c r="GAX646" s="732"/>
      <c r="GAY646" s="731"/>
      <c r="GAZ646" s="733"/>
      <c r="GBA646" s="731"/>
      <c r="GBB646" s="732"/>
      <c r="GBC646" s="731"/>
      <c r="GBD646" s="733"/>
      <c r="GBE646" s="731"/>
      <c r="GBF646" s="732"/>
      <c r="GBG646" s="731"/>
      <c r="GBH646" s="733"/>
      <c r="GBI646" s="731"/>
      <c r="GBJ646" s="732"/>
      <c r="GBK646" s="731"/>
      <c r="GBL646" s="733"/>
      <c r="GBM646" s="731"/>
      <c r="GBN646" s="732"/>
      <c r="GBO646" s="731"/>
      <c r="GBP646" s="733"/>
      <c r="GBQ646" s="731"/>
      <c r="GBR646" s="732"/>
      <c r="GBS646" s="731"/>
      <c r="GBT646" s="733"/>
      <c r="GBU646" s="731"/>
      <c r="GBV646" s="732"/>
      <c r="GBW646" s="731"/>
      <c r="GBX646" s="733"/>
      <c r="GBY646" s="731"/>
      <c r="GBZ646" s="732"/>
      <c r="GCA646" s="731"/>
      <c r="GCB646" s="733"/>
      <c r="GCC646" s="731"/>
      <c r="GCD646" s="732"/>
      <c r="GCE646" s="731"/>
      <c r="GCF646" s="733"/>
      <c r="GCG646" s="731"/>
      <c r="GCH646" s="732"/>
      <c r="GCI646" s="731"/>
      <c r="GCJ646" s="733"/>
      <c r="GCK646" s="731"/>
      <c r="GCL646" s="732"/>
      <c r="GCM646" s="731"/>
      <c r="GCN646" s="733"/>
      <c r="GCO646" s="731"/>
      <c r="GCP646" s="732"/>
      <c r="GCQ646" s="731"/>
      <c r="GCR646" s="733"/>
      <c r="GCS646" s="731"/>
      <c r="GCT646" s="732"/>
      <c r="GCU646" s="731"/>
      <c r="GCV646" s="733"/>
      <c r="GCW646" s="731"/>
      <c r="GCX646" s="732"/>
      <c r="GCY646" s="731"/>
      <c r="GCZ646" s="733"/>
      <c r="GDA646" s="731"/>
      <c r="GDB646" s="732"/>
      <c r="GDC646" s="731"/>
      <c r="GDD646" s="733"/>
      <c r="GDE646" s="731"/>
      <c r="GDF646" s="732"/>
      <c r="GDG646" s="731"/>
      <c r="GDH646" s="733"/>
      <c r="GDI646" s="731"/>
      <c r="GDJ646" s="732"/>
      <c r="GDK646" s="731"/>
      <c r="GDL646" s="733"/>
      <c r="GDM646" s="731"/>
      <c r="GDN646" s="732"/>
      <c r="GDO646" s="731"/>
      <c r="GDP646" s="733"/>
      <c r="GDQ646" s="731"/>
      <c r="GDR646" s="732"/>
      <c r="GDS646" s="731"/>
      <c r="GDT646" s="733"/>
      <c r="GDU646" s="731"/>
      <c r="GDV646" s="732"/>
      <c r="GDW646" s="731"/>
      <c r="GDX646" s="733"/>
      <c r="GDY646" s="731"/>
      <c r="GDZ646" s="732"/>
      <c r="GEA646" s="731"/>
      <c r="GEB646" s="733"/>
      <c r="GEC646" s="731"/>
      <c r="GED646" s="732"/>
      <c r="GEE646" s="731"/>
      <c r="GEF646" s="733"/>
      <c r="GEG646" s="731"/>
      <c r="GEH646" s="732"/>
      <c r="GEI646" s="731"/>
      <c r="GEJ646" s="733"/>
      <c r="GEK646" s="731"/>
      <c r="GEL646" s="732"/>
      <c r="GEM646" s="731"/>
      <c r="GEN646" s="733"/>
      <c r="GEO646" s="731"/>
      <c r="GEP646" s="732"/>
      <c r="GEQ646" s="731"/>
      <c r="GER646" s="733"/>
      <c r="GES646" s="731"/>
      <c r="GET646" s="732"/>
      <c r="GEU646" s="731"/>
      <c r="GEV646" s="733"/>
      <c r="GEW646" s="731"/>
      <c r="GEX646" s="732"/>
      <c r="GEY646" s="731"/>
      <c r="GEZ646" s="733"/>
      <c r="GFA646" s="731"/>
      <c r="GFB646" s="732"/>
      <c r="GFC646" s="731"/>
      <c r="GFD646" s="733"/>
      <c r="GFE646" s="731"/>
      <c r="GFF646" s="732"/>
      <c r="GFG646" s="731"/>
      <c r="GFH646" s="733"/>
      <c r="GFI646" s="731"/>
      <c r="GFJ646" s="732"/>
      <c r="GFK646" s="731"/>
      <c r="GFL646" s="733"/>
      <c r="GFM646" s="731"/>
      <c r="GFN646" s="732"/>
      <c r="GFO646" s="731"/>
      <c r="GFP646" s="733"/>
      <c r="GFQ646" s="731"/>
      <c r="GFR646" s="732"/>
      <c r="GFS646" s="731"/>
      <c r="GFT646" s="733"/>
      <c r="GFU646" s="731"/>
      <c r="GFV646" s="732"/>
      <c r="GFW646" s="731"/>
      <c r="GFX646" s="733"/>
      <c r="GFY646" s="731"/>
      <c r="GFZ646" s="732"/>
      <c r="GGA646" s="731"/>
      <c r="GGB646" s="733"/>
      <c r="GGC646" s="731"/>
      <c r="GGD646" s="732"/>
      <c r="GGE646" s="731"/>
      <c r="GGF646" s="733"/>
      <c r="GGG646" s="731"/>
      <c r="GGH646" s="732"/>
      <c r="GGI646" s="731"/>
      <c r="GGJ646" s="733"/>
      <c r="GGK646" s="731"/>
      <c r="GGL646" s="732"/>
      <c r="GGM646" s="731"/>
      <c r="GGN646" s="733"/>
      <c r="GGO646" s="731"/>
      <c r="GGP646" s="732"/>
      <c r="GGQ646" s="731"/>
      <c r="GGR646" s="733"/>
      <c r="GGS646" s="731"/>
      <c r="GGT646" s="732"/>
      <c r="GGU646" s="731"/>
      <c r="GGV646" s="733"/>
      <c r="GGW646" s="731"/>
      <c r="GGX646" s="732"/>
      <c r="GGY646" s="731"/>
      <c r="GGZ646" s="733"/>
      <c r="GHA646" s="731"/>
      <c r="GHB646" s="732"/>
      <c r="GHC646" s="731"/>
      <c r="GHD646" s="733"/>
      <c r="GHE646" s="731"/>
      <c r="GHF646" s="732"/>
      <c r="GHG646" s="731"/>
      <c r="GHH646" s="733"/>
      <c r="GHI646" s="731"/>
      <c r="GHJ646" s="732"/>
      <c r="GHK646" s="731"/>
      <c r="GHL646" s="733"/>
      <c r="GHM646" s="731"/>
      <c r="GHN646" s="732"/>
      <c r="GHO646" s="731"/>
      <c r="GHP646" s="733"/>
      <c r="GHQ646" s="731"/>
      <c r="GHR646" s="732"/>
      <c r="GHS646" s="731"/>
      <c r="GHT646" s="733"/>
      <c r="GHU646" s="731"/>
      <c r="GHV646" s="732"/>
      <c r="GHW646" s="731"/>
      <c r="GHX646" s="733"/>
      <c r="GHY646" s="731"/>
      <c r="GHZ646" s="732"/>
      <c r="GIA646" s="731"/>
      <c r="GIB646" s="733"/>
      <c r="GIC646" s="731"/>
      <c r="GID646" s="732"/>
      <c r="GIE646" s="731"/>
      <c r="GIF646" s="733"/>
      <c r="GIG646" s="731"/>
      <c r="GIH646" s="732"/>
      <c r="GII646" s="731"/>
      <c r="GIJ646" s="733"/>
      <c r="GIK646" s="731"/>
      <c r="GIL646" s="732"/>
      <c r="GIM646" s="731"/>
      <c r="GIN646" s="733"/>
      <c r="GIO646" s="731"/>
      <c r="GIP646" s="732"/>
      <c r="GIQ646" s="731"/>
      <c r="GIR646" s="733"/>
      <c r="GIS646" s="731"/>
      <c r="GIT646" s="732"/>
      <c r="GIU646" s="731"/>
      <c r="GIV646" s="733"/>
      <c r="GIW646" s="731"/>
      <c r="GIX646" s="732"/>
      <c r="GIY646" s="731"/>
      <c r="GIZ646" s="733"/>
      <c r="GJA646" s="731"/>
      <c r="GJB646" s="732"/>
      <c r="GJC646" s="731"/>
      <c r="GJD646" s="733"/>
      <c r="GJE646" s="731"/>
      <c r="GJF646" s="732"/>
      <c r="GJG646" s="731"/>
      <c r="GJH646" s="733"/>
      <c r="GJI646" s="731"/>
      <c r="GJJ646" s="732"/>
      <c r="GJK646" s="731"/>
      <c r="GJL646" s="733"/>
      <c r="GJM646" s="731"/>
      <c r="GJN646" s="732"/>
      <c r="GJO646" s="731"/>
      <c r="GJP646" s="733"/>
      <c r="GJQ646" s="731"/>
      <c r="GJR646" s="732"/>
      <c r="GJS646" s="731"/>
      <c r="GJT646" s="733"/>
      <c r="GJU646" s="731"/>
      <c r="GJV646" s="732"/>
      <c r="GJW646" s="731"/>
      <c r="GJX646" s="733"/>
      <c r="GJY646" s="731"/>
      <c r="GJZ646" s="732"/>
      <c r="GKA646" s="731"/>
      <c r="GKB646" s="733"/>
      <c r="GKC646" s="731"/>
      <c r="GKD646" s="732"/>
      <c r="GKE646" s="731"/>
      <c r="GKF646" s="733"/>
      <c r="GKG646" s="731"/>
      <c r="GKH646" s="732"/>
      <c r="GKI646" s="731"/>
      <c r="GKJ646" s="733"/>
      <c r="GKK646" s="731"/>
      <c r="GKL646" s="732"/>
      <c r="GKM646" s="731"/>
      <c r="GKN646" s="733"/>
      <c r="GKO646" s="731"/>
      <c r="GKP646" s="732"/>
      <c r="GKQ646" s="731"/>
      <c r="GKR646" s="733"/>
      <c r="GKS646" s="731"/>
      <c r="GKT646" s="732"/>
      <c r="GKU646" s="731"/>
      <c r="GKV646" s="733"/>
      <c r="GKW646" s="731"/>
      <c r="GKX646" s="732"/>
      <c r="GKY646" s="731"/>
      <c r="GKZ646" s="733"/>
      <c r="GLA646" s="731"/>
      <c r="GLB646" s="732"/>
      <c r="GLC646" s="731"/>
      <c r="GLD646" s="733"/>
      <c r="GLE646" s="731"/>
      <c r="GLF646" s="732"/>
      <c r="GLG646" s="731"/>
      <c r="GLH646" s="733"/>
      <c r="GLI646" s="731"/>
      <c r="GLJ646" s="732"/>
      <c r="GLK646" s="731"/>
      <c r="GLL646" s="733"/>
      <c r="GLM646" s="731"/>
      <c r="GLN646" s="732"/>
      <c r="GLO646" s="731"/>
      <c r="GLP646" s="733"/>
      <c r="GLQ646" s="731"/>
      <c r="GLR646" s="732"/>
      <c r="GLS646" s="731"/>
      <c r="GLT646" s="733"/>
      <c r="GLU646" s="731"/>
      <c r="GLV646" s="732"/>
      <c r="GLW646" s="731"/>
      <c r="GLX646" s="733"/>
      <c r="GLY646" s="731"/>
      <c r="GLZ646" s="732"/>
      <c r="GMA646" s="731"/>
      <c r="GMB646" s="733"/>
      <c r="GMC646" s="731"/>
      <c r="GMD646" s="732"/>
      <c r="GME646" s="731"/>
      <c r="GMF646" s="733"/>
      <c r="GMG646" s="731"/>
      <c r="GMH646" s="732"/>
      <c r="GMI646" s="731"/>
      <c r="GMJ646" s="733"/>
      <c r="GMK646" s="731"/>
      <c r="GML646" s="732"/>
      <c r="GMM646" s="731"/>
      <c r="GMN646" s="733"/>
      <c r="GMO646" s="731"/>
      <c r="GMP646" s="732"/>
      <c r="GMQ646" s="731"/>
      <c r="GMR646" s="733"/>
      <c r="GMS646" s="731"/>
      <c r="GMT646" s="732"/>
      <c r="GMU646" s="731"/>
      <c r="GMV646" s="733"/>
      <c r="GMW646" s="731"/>
      <c r="GMX646" s="732"/>
      <c r="GMY646" s="731"/>
      <c r="GMZ646" s="733"/>
      <c r="GNA646" s="731"/>
      <c r="GNB646" s="732"/>
      <c r="GNC646" s="731"/>
      <c r="GND646" s="733"/>
      <c r="GNE646" s="731"/>
      <c r="GNF646" s="732"/>
      <c r="GNG646" s="731"/>
      <c r="GNH646" s="733"/>
      <c r="GNI646" s="731"/>
      <c r="GNJ646" s="732"/>
      <c r="GNK646" s="731"/>
      <c r="GNL646" s="733"/>
      <c r="GNM646" s="731"/>
      <c r="GNN646" s="732"/>
      <c r="GNO646" s="731"/>
      <c r="GNP646" s="733"/>
      <c r="GNQ646" s="731"/>
      <c r="GNR646" s="732"/>
      <c r="GNS646" s="731"/>
      <c r="GNT646" s="733"/>
      <c r="GNU646" s="731"/>
      <c r="GNV646" s="732"/>
      <c r="GNW646" s="731"/>
      <c r="GNX646" s="733"/>
      <c r="GNY646" s="731"/>
      <c r="GNZ646" s="732"/>
      <c r="GOA646" s="731"/>
      <c r="GOB646" s="733"/>
      <c r="GOC646" s="731"/>
      <c r="GOD646" s="732"/>
      <c r="GOE646" s="731"/>
      <c r="GOF646" s="733"/>
      <c r="GOG646" s="731"/>
      <c r="GOH646" s="732"/>
      <c r="GOI646" s="731"/>
      <c r="GOJ646" s="733"/>
      <c r="GOK646" s="731"/>
      <c r="GOL646" s="732"/>
      <c r="GOM646" s="731"/>
      <c r="GON646" s="733"/>
      <c r="GOO646" s="731"/>
      <c r="GOP646" s="732"/>
      <c r="GOQ646" s="731"/>
      <c r="GOR646" s="733"/>
      <c r="GOS646" s="731"/>
      <c r="GOT646" s="732"/>
      <c r="GOU646" s="731"/>
      <c r="GOV646" s="733"/>
      <c r="GOW646" s="731"/>
      <c r="GOX646" s="732"/>
      <c r="GOY646" s="731"/>
      <c r="GOZ646" s="733"/>
      <c r="GPA646" s="731"/>
      <c r="GPB646" s="732"/>
      <c r="GPC646" s="731"/>
      <c r="GPD646" s="733"/>
      <c r="GPE646" s="731"/>
      <c r="GPF646" s="732"/>
      <c r="GPG646" s="731"/>
      <c r="GPH646" s="733"/>
      <c r="GPI646" s="731"/>
      <c r="GPJ646" s="732"/>
      <c r="GPK646" s="731"/>
      <c r="GPL646" s="733"/>
      <c r="GPM646" s="731"/>
      <c r="GPN646" s="732"/>
      <c r="GPO646" s="731"/>
      <c r="GPP646" s="733"/>
      <c r="GPQ646" s="731"/>
      <c r="GPR646" s="732"/>
      <c r="GPS646" s="731"/>
      <c r="GPT646" s="733"/>
      <c r="GPU646" s="731"/>
      <c r="GPV646" s="732"/>
      <c r="GPW646" s="731"/>
      <c r="GPX646" s="733"/>
      <c r="GPY646" s="731"/>
      <c r="GPZ646" s="732"/>
      <c r="GQA646" s="731"/>
      <c r="GQB646" s="733"/>
      <c r="GQC646" s="731"/>
      <c r="GQD646" s="732"/>
      <c r="GQE646" s="731"/>
      <c r="GQF646" s="733"/>
      <c r="GQG646" s="731"/>
      <c r="GQH646" s="732"/>
      <c r="GQI646" s="731"/>
      <c r="GQJ646" s="733"/>
      <c r="GQK646" s="731"/>
      <c r="GQL646" s="732"/>
      <c r="GQM646" s="731"/>
      <c r="GQN646" s="733"/>
      <c r="GQO646" s="731"/>
      <c r="GQP646" s="732"/>
      <c r="GQQ646" s="731"/>
      <c r="GQR646" s="733"/>
      <c r="GQS646" s="731"/>
      <c r="GQT646" s="732"/>
      <c r="GQU646" s="731"/>
      <c r="GQV646" s="733"/>
      <c r="GQW646" s="731"/>
      <c r="GQX646" s="732"/>
      <c r="GQY646" s="731"/>
      <c r="GQZ646" s="733"/>
      <c r="GRA646" s="731"/>
      <c r="GRB646" s="732"/>
      <c r="GRC646" s="731"/>
      <c r="GRD646" s="733"/>
      <c r="GRE646" s="731"/>
      <c r="GRF646" s="732"/>
      <c r="GRG646" s="731"/>
      <c r="GRH646" s="733"/>
      <c r="GRI646" s="731"/>
      <c r="GRJ646" s="732"/>
      <c r="GRK646" s="731"/>
      <c r="GRL646" s="733"/>
      <c r="GRM646" s="731"/>
      <c r="GRN646" s="732"/>
      <c r="GRO646" s="731"/>
      <c r="GRP646" s="733"/>
      <c r="GRQ646" s="731"/>
      <c r="GRR646" s="732"/>
      <c r="GRS646" s="731"/>
      <c r="GRT646" s="733"/>
      <c r="GRU646" s="731"/>
      <c r="GRV646" s="732"/>
      <c r="GRW646" s="731"/>
      <c r="GRX646" s="733"/>
      <c r="GRY646" s="731"/>
      <c r="GRZ646" s="732"/>
      <c r="GSA646" s="731"/>
      <c r="GSB646" s="733"/>
      <c r="GSC646" s="731"/>
      <c r="GSD646" s="732"/>
      <c r="GSE646" s="731"/>
      <c r="GSF646" s="733"/>
      <c r="GSG646" s="731"/>
      <c r="GSH646" s="732"/>
      <c r="GSI646" s="731"/>
      <c r="GSJ646" s="733"/>
      <c r="GSK646" s="731"/>
      <c r="GSL646" s="732"/>
      <c r="GSM646" s="731"/>
      <c r="GSN646" s="733"/>
      <c r="GSO646" s="731"/>
      <c r="GSP646" s="732"/>
      <c r="GSQ646" s="731"/>
      <c r="GSR646" s="733"/>
      <c r="GSS646" s="731"/>
      <c r="GST646" s="732"/>
      <c r="GSU646" s="731"/>
      <c r="GSV646" s="733"/>
      <c r="GSW646" s="731"/>
      <c r="GSX646" s="732"/>
      <c r="GSY646" s="731"/>
      <c r="GSZ646" s="733"/>
      <c r="GTA646" s="731"/>
      <c r="GTB646" s="732"/>
      <c r="GTC646" s="731"/>
      <c r="GTD646" s="733"/>
      <c r="GTE646" s="731"/>
      <c r="GTF646" s="732"/>
      <c r="GTG646" s="731"/>
      <c r="GTH646" s="733"/>
      <c r="GTI646" s="731"/>
      <c r="GTJ646" s="732"/>
      <c r="GTK646" s="731"/>
      <c r="GTL646" s="733"/>
      <c r="GTM646" s="731"/>
      <c r="GTN646" s="732"/>
      <c r="GTO646" s="731"/>
      <c r="GTP646" s="733"/>
      <c r="GTQ646" s="731"/>
      <c r="GTR646" s="732"/>
      <c r="GTS646" s="731"/>
      <c r="GTT646" s="733"/>
      <c r="GTU646" s="731"/>
      <c r="GTV646" s="732"/>
      <c r="GTW646" s="731"/>
      <c r="GTX646" s="733"/>
      <c r="GTY646" s="731"/>
      <c r="GTZ646" s="732"/>
      <c r="GUA646" s="731"/>
      <c r="GUB646" s="733"/>
      <c r="GUC646" s="731"/>
      <c r="GUD646" s="732"/>
      <c r="GUE646" s="731"/>
      <c r="GUF646" s="733"/>
      <c r="GUG646" s="731"/>
      <c r="GUH646" s="732"/>
      <c r="GUI646" s="731"/>
      <c r="GUJ646" s="733"/>
      <c r="GUK646" s="731"/>
      <c r="GUL646" s="732"/>
      <c r="GUM646" s="731"/>
      <c r="GUN646" s="733"/>
      <c r="GUO646" s="731"/>
      <c r="GUP646" s="732"/>
      <c r="GUQ646" s="731"/>
      <c r="GUR646" s="733"/>
      <c r="GUS646" s="731"/>
      <c r="GUT646" s="732"/>
      <c r="GUU646" s="731"/>
      <c r="GUV646" s="733"/>
      <c r="GUW646" s="731"/>
      <c r="GUX646" s="732"/>
      <c r="GUY646" s="731"/>
      <c r="GUZ646" s="733"/>
      <c r="GVA646" s="731"/>
      <c r="GVB646" s="732"/>
      <c r="GVC646" s="731"/>
      <c r="GVD646" s="733"/>
      <c r="GVE646" s="731"/>
      <c r="GVF646" s="732"/>
      <c r="GVG646" s="731"/>
      <c r="GVH646" s="733"/>
      <c r="GVI646" s="731"/>
      <c r="GVJ646" s="732"/>
      <c r="GVK646" s="731"/>
      <c r="GVL646" s="733"/>
      <c r="GVM646" s="731"/>
      <c r="GVN646" s="732"/>
      <c r="GVO646" s="731"/>
      <c r="GVP646" s="733"/>
      <c r="GVQ646" s="731"/>
      <c r="GVR646" s="732"/>
      <c r="GVS646" s="731"/>
      <c r="GVT646" s="733"/>
      <c r="GVU646" s="731"/>
      <c r="GVV646" s="732"/>
      <c r="GVW646" s="731"/>
      <c r="GVX646" s="733"/>
      <c r="GVY646" s="731"/>
      <c r="GVZ646" s="732"/>
      <c r="GWA646" s="731"/>
      <c r="GWB646" s="733"/>
      <c r="GWC646" s="731"/>
      <c r="GWD646" s="732"/>
      <c r="GWE646" s="731"/>
      <c r="GWF646" s="733"/>
      <c r="GWG646" s="731"/>
      <c r="GWH646" s="732"/>
      <c r="GWI646" s="731"/>
      <c r="GWJ646" s="733"/>
      <c r="GWK646" s="731"/>
      <c r="GWL646" s="732"/>
      <c r="GWM646" s="731"/>
      <c r="GWN646" s="733"/>
      <c r="GWO646" s="731"/>
      <c r="GWP646" s="732"/>
      <c r="GWQ646" s="731"/>
      <c r="GWR646" s="733"/>
      <c r="GWS646" s="731"/>
      <c r="GWT646" s="732"/>
      <c r="GWU646" s="731"/>
      <c r="GWV646" s="733"/>
      <c r="GWW646" s="731"/>
      <c r="GWX646" s="732"/>
      <c r="GWY646" s="731"/>
      <c r="GWZ646" s="733"/>
      <c r="GXA646" s="731"/>
      <c r="GXB646" s="732"/>
      <c r="GXC646" s="731"/>
      <c r="GXD646" s="733"/>
      <c r="GXE646" s="731"/>
      <c r="GXF646" s="732"/>
      <c r="GXG646" s="731"/>
      <c r="GXH646" s="733"/>
      <c r="GXI646" s="731"/>
      <c r="GXJ646" s="732"/>
      <c r="GXK646" s="731"/>
      <c r="GXL646" s="733"/>
      <c r="GXM646" s="731"/>
      <c r="GXN646" s="732"/>
      <c r="GXO646" s="731"/>
      <c r="GXP646" s="733"/>
      <c r="GXQ646" s="731"/>
      <c r="GXR646" s="732"/>
      <c r="GXS646" s="731"/>
      <c r="GXT646" s="733"/>
      <c r="GXU646" s="731"/>
      <c r="GXV646" s="732"/>
      <c r="GXW646" s="731"/>
      <c r="GXX646" s="733"/>
      <c r="GXY646" s="731"/>
      <c r="GXZ646" s="732"/>
      <c r="GYA646" s="731"/>
      <c r="GYB646" s="733"/>
      <c r="GYC646" s="731"/>
      <c r="GYD646" s="732"/>
      <c r="GYE646" s="731"/>
      <c r="GYF646" s="733"/>
      <c r="GYG646" s="731"/>
      <c r="GYH646" s="732"/>
      <c r="GYI646" s="731"/>
      <c r="GYJ646" s="733"/>
      <c r="GYK646" s="731"/>
      <c r="GYL646" s="732"/>
      <c r="GYM646" s="731"/>
      <c r="GYN646" s="733"/>
      <c r="GYO646" s="731"/>
      <c r="GYP646" s="732"/>
      <c r="GYQ646" s="731"/>
      <c r="GYR646" s="733"/>
      <c r="GYS646" s="731"/>
      <c r="GYT646" s="732"/>
      <c r="GYU646" s="731"/>
      <c r="GYV646" s="733"/>
      <c r="GYW646" s="731"/>
      <c r="GYX646" s="732"/>
      <c r="GYY646" s="731"/>
      <c r="GYZ646" s="733"/>
      <c r="GZA646" s="731"/>
      <c r="GZB646" s="732"/>
      <c r="GZC646" s="731"/>
      <c r="GZD646" s="733"/>
      <c r="GZE646" s="731"/>
      <c r="GZF646" s="732"/>
      <c r="GZG646" s="731"/>
      <c r="GZH646" s="733"/>
      <c r="GZI646" s="731"/>
      <c r="GZJ646" s="732"/>
      <c r="GZK646" s="731"/>
      <c r="GZL646" s="733"/>
      <c r="GZM646" s="731"/>
      <c r="GZN646" s="732"/>
      <c r="GZO646" s="731"/>
      <c r="GZP646" s="733"/>
      <c r="GZQ646" s="731"/>
      <c r="GZR646" s="732"/>
      <c r="GZS646" s="731"/>
      <c r="GZT646" s="733"/>
      <c r="GZU646" s="731"/>
      <c r="GZV646" s="732"/>
      <c r="GZW646" s="731"/>
      <c r="GZX646" s="733"/>
      <c r="GZY646" s="731"/>
      <c r="GZZ646" s="732"/>
      <c r="HAA646" s="731"/>
      <c r="HAB646" s="733"/>
      <c r="HAC646" s="731"/>
      <c r="HAD646" s="732"/>
      <c r="HAE646" s="731"/>
      <c r="HAF646" s="733"/>
      <c r="HAG646" s="731"/>
      <c r="HAH646" s="732"/>
      <c r="HAI646" s="731"/>
      <c r="HAJ646" s="733"/>
      <c r="HAK646" s="731"/>
      <c r="HAL646" s="732"/>
      <c r="HAM646" s="731"/>
      <c r="HAN646" s="733"/>
      <c r="HAO646" s="731"/>
      <c r="HAP646" s="732"/>
      <c r="HAQ646" s="731"/>
      <c r="HAR646" s="733"/>
      <c r="HAS646" s="731"/>
      <c r="HAT646" s="732"/>
      <c r="HAU646" s="731"/>
      <c r="HAV646" s="733"/>
      <c r="HAW646" s="731"/>
      <c r="HAX646" s="732"/>
      <c r="HAY646" s="731"/>
      <c r="HAZ646" s="733"/>
      <c r="HBA646" s="731"/>
      <c r="HBB646" s="732"/>
      <c r="HBC646" s="731"/>
      <c r="HBD646" s="733"/>
      <c r="HBE646" s="731"/>
      <c r="HBF646" s="732"/>
      <c r="HBG646" s="731"/>
      <c r="HBH646" s="733"/>
      <c r="HBI646" s="731"/>
      <c r="HBJ646" s="732"/>
      <c r="HBK646" s="731"/>
      <c r="HBL646" s="733"/>
      <c r="HBM646" s="731"/>
      <c r="HBN646" s="732"/>
      <c r="HBO646" s="731"/>
      <c r="HBP646" s="733"/>
      <c r="HBQ646" s="731"/>
      <c r="HBR646" s="732"/>
      <c r="HBS646" s="731"/>
      <c r="HBT646" s="733"/>
      <c r="HBU646" s="731"/>
      <c r="HBV646" s="732"/>
      <c r="HBW646" s="731"/>
      <c r="HBX646" s="733"/>
      <c r="HBY646" s="731"/>
      <c r="HBZ646" s="732"/>
      <c r="HCA646" s="731"/>
      <c r="HCB646" s="733"/>
      <c r="HCC646" s="731"/>
      <c r="HCD646" s="732"/>
      <c r="HCE646" s="731"/>
      <c r="HCF646" s="733"/>
      <c r="HCG646" s="731"/>
      <c r="HCH646" s="732"/>
      <c r="HCI646" s="731"/>
      <c r="HCJ646" s="733"/>
      <c r="HCK646" s="731"/>
      <c r="HCL646" s="732"/>
      <c r="HCM646" s="731"/>
      <c r="HCN646" s="733"/>
      <c r="HCO646" s="731"/>
      <c r="HCP646" s="732"/>
      <c r="HCQ646" s="731"/>
      <c r="HCR646" s="733"/>
      <c r="HCS646" s="731"/>
      <c r="HCT646" s="732"/>
      <c r="HCU646" s="731"/>
      <c r="HCV646" s="733"/>
      <c r="HCW646" s="731"/>
      <c r="HCX646" s="732"/>
      <c r="HCY646" s="731"/>
      <c r="HCZ646" s="733"/>
      <c r="HDA646" s="731"/>
      <c r="HDB646" s="732"/>
      <c r="HDC646" s="731"/>
      <c r="HDD646" s="733"/>
      <c r="HDE646" s="731"/>
      <c r="HDF646" s="732"/>
      <c r="HDG646" s="731"/>
      <c r="HDH646" s="733"/>
      <c r="HDI646" s="731"/>
      <c r="HDJ646" s="732"/>
      <c r="HDK646" s="731"/>
      <c r="HDL646" s="733"/>
      <c r="HDM646" s="731"/>
      <c r="HDN646" s="732"/>
      <c r="HDO646" s="731"/>
      <c r="HDP646" s="733"/>
      <c r="HDQ646" s="731"/>
      <c r="HDR646" s="732"/>
      <c r="HDS646" s="731"/>
      <c r="HDT646" s="733"/>
      <c r="HDU646" s="731"/>
      <c r="HDV646" s="732"/>
      <c r="HDW646" s="731"/>
      <c r="HDX646" s="733"/>
      <c r="HDY646" s="731"/>
      <c r="HDZ646" s="732"/>
      <c r="HEA646" s="731"/>
      <c r="HEB646" s="733"/>
      <c r="HEC646" s="731"/>
      <c r="HED646" s="732"/>
      <c r="HEE646" s="731"/>
      <c r="HEF646" s="733"/>
      <c r="HEG646" s="731"/>
      <c r="HEH646" s="732"/>
      <c r="HEI646" s="731"/>
      <c r="HEJ646" s="733"/>
      <c r="HEK646" s="731"/>
      <c r="HEL646" s="732"/>
      <c r="HEM646" s="731"/>
      <c r="HEN646" s="733"/>
      <c r="HEO646" s="731"/>
      <c r="HEP646" s="732"/>
      <c r="HEQ646" s="731"/>
      <c r="HER646" s="733"/>
      <c r="HES646" s="731"/>
      <c r="HET646" s="732"/>
      <c r="HEU646" s="731"/>
      <c r="HEV646" s="733"/>
      <c r="HEW646" s="731"/>
      <c r="HEX646" s="732"/>
      <c r="HEY646" s="731"/>
      <c r="HEZ646" s="733"/>
      <c r="HFA646" s="731"/>
      <c r="HFB646" s="732"/>
      <c r="HFC646" s="731"/>
      <c r="HFD646" s="733"/>
      <c r="HFE646" s="731"/>
      <c r="HFF646" s="732"/>
      <c r="HFG646" s="731"/>
      <c r="HFH646" s="733"/>
      <c r="HFI646" s="731"/>
      <c r="HFJ646" s="732"/>
      <c r="HFK646" s="731"/>
      <c r="HFL646" s="733"/>
      <c r="HFM646" s="731"/>
      <c r="HFN646" s="732"/>
      <c r="HFO646" s="731"/>
      <c r="HFP646" s="733"/>
      <c r="HFQ646" s="731"/>
      <c r="HFR646" s="732"/>
      <c r="HFS646" s="731"/>
      <c r="HFT646" s="733"/>
      <c r="HFU646" s="731"/>
      <c r="HFV646" s="732"/>
      <c r="HFW646" s="731"/>
      <c r="HFX646" s="733"/>
      <c r="HFY646" s="731"/>
      <c r="HFZ646" s="732"/>
      <c r="HGA646" s="731"/>
      <c r="HGB646" s="733"/>
      <c r="HGC646" s="731"/>
      <c r="HGD646" s="732"/>
      <c r="HGE646" s="731"/>
      <c r="HGF646" s="733"/>
      <c r="HGG646" s="731"/>
      <c r="HGH646" s="732"/>
      <c r="HGI646" s="731"/>
      <c r="HGJ646" s="733"/>
      <c r="HGK646" s="731"/>
      <c r="HGL646" s="732"/>
      <c r="HGM646" s="731"/>
      <c r="HGN646" s="733"/>
      <c r="HGO646" s="731"/>
      <c r="HGP646" s="732"/>
      <c r="HGQ646" s="731"/>
      <c r="HGR646" s="733"/>
      <c r="HGS646" s="731"/>
      <c r="HGT646" s="732"/>
      <c r="HGU646" s="731"/>
      <c r="HGV646" s="733"/>
      <c r="HGW646" s="731"/>
      <c r="HGX646" s="732"/>
      <c r="HGY646" s="731"/>
      <c r="HGZ646" s="733"/>
      <c r="HHA646" s="731"/>
      <c r="HHB646" s="732"/>
      <c r="HHC646" s="731"/>
      <c r="HHD646" s="733"/>
      <c r="HHE646" s="731"/>
      <c r="HHF646" s="732"/>
      <c r="HHG646" s="731"/>
      <c r="HHH646" s="733"/>
      <c r="HHI646" s="731"/>
      <c r="HHJ646" s="732"/>
      <c r="HHK646" s="731"/>
      <c r="HHL646" s="733"/>
      <c r="HHM646" s="731"/>
      <c r="HHN646" s="732"/>
      <c r="HHO646" s="731"/>
      <c r="HHP646" s="733"/>
      <c r="HHQ646" s="731"/>
      <c r="HHR646" s="732"/>
      <c r="HHS646" s="731"/>
      <c r="HHT646" s="733"/>
      <c r="HHU646" s="731"/>
      <c r="HHV646" s="732"/>
      <c r="HHW646" s="731"/>
      <c r="HHX646" s="733"/>
      <c r="HHY646" s="731"/>
      <c r="HHZ646" s="732"/>
      <c r="HIA646" s="731"/>
      <c r="HIB646" s="733"/>
      <c r="HIC646" s="731"/>
      <c r="HID646" s="732"/>
      <c r="HIE646" s="731"/>
      <c r="HIF646" s="733"/>
      <c r="HIG646" s="731"/>
      <c r="HIH646" s="732"/>
      <c r="HII646" s="731"/>
      <c r="HIJ646" s="733"/>
      <c r="HIK646" s="731"/>
      <c r="HIL646" s="732"/>
      <c r="HIM646" s="731"/>
      <c r="HIN646" s="733"/>
      <c r="HIO646" s="731"/>
      <c r="HIP646" s="732"/>
      <c r="HIQ646" s="731"/>
      <c r="HIR646" s="733"/>
      <c r="HIS646" s="731"/>
      <c r="HIT646" s="732"/>
      <c r="HIU646" s="731"/>
      <c r="HIV646" s="733"/>
      <c r="HIW646" s="731"/>
      <c r="HIX646" s="732"/>
      <c r="HIY646" s="731"/>
      <c r="HIZ646" s="733"/>
      <c r="HJA646" s="731"/>
      <c r="HJB646" s="732"/>
      <c r="HJC646" s="731"/>
      <c r="HJD646" s="733"/>
      <c r="HJE646" s="731"/>
      <c r="HJF646" s="732"/>
      <c r="HJG646" s="731"/>
      <c r="HJH646" s="733"/>
      <c r="HJI646" s="731"/>
      <c r="HJJ646" s="732"/>
      <c r="HJK646" s="731"/>
      <c r="HJL646" s="733"/>
      <c r="HJM646" s="731"/>
      <c r="HJN646" s="732"/>
      <c r="HJO646" s="731"/>
      <c r="HJP646" s="733"/>
      <c r="HJQ646" s="731"/>
      <c r="HJR646" s="732"/>
      <c r="HJS646" s="731"/>
      <c r="HJT646" s="733"/>
      <c r="HJU646" s="731"/>
      <c r="HJV646" s="732"/>
      <c r="HJW646" s="731"/>
      <c r="HJX646" s="733"/>
      <c r="HJY646" s="731"/>
      <c r="HJZ646" s="732"/>
      <c r="HKA646" s="731"/>
      <c r="HKB646" s="733"/>
      <c r="HKC646" s="731"/>
      <c r="HKD646" s="732"/>
      <c r="HKE646" s="731"/>
      <c r="HKF646" s="733"/>
      <c r="HKG646" s="731"/>
      <c r="HKH646" s="732"/>
      <c r="HKI646" s="731"/>
      <c r="HKJ646" s="733"/>
      <c r="HKK646" s="731"/>
      <c r="HKL646" s="732"/>
      <c r="HKM646" s="731"/>
      <c r="HKN646" s="733"/>
      <c r="HKO646" s="731"/>
      <c r="HKP646" s="732"/>
      <c r="HKQ646" s="731"/>
      <c r="HKR646" s="733"/>
      <c r="HKS646" s="731"/>
      <c r="HKT646" s="732"/>
      <c r="HKU646" s="731"/>
      <c r="HKV646" s="733"/>
      <c r="HKW646" s="731"/>
      <c r="HKX646" s="732"/>
      <c r="HKY646" s="731"/>
      <c r="HKZ646" s="733"/>
      <c r="HLA646" s="731"/>
      <c r="HLB646" s="732"/>
      <c r="HLC646" s="731"/>
      <c r="HLD646" s="733"/>
      <c r="HLE646" s="731"/>
      <c r="HLF646" s="732"/>
      <c r="HLG646" s="731"/>
      <c r="HLH646" s="733"/>
      <c r="HLI646" s="731"/>
      <c r="HLJ646" s="732"/>
      <c r="HLK646" s="731"/>
      <c r="HLL646" s="733"/>
      <c r="HLM646" s="731"/>
      <c r="HLN646" s="732"/>
      <c r="HLO646" s="731"/>
      <c r="HLP646" s="733"/>
      <c r="HLQ646" s="731"/>
      <c r="HLR646" s="732"/>
      <c r="HLS646" s="731"/>
      <c r="HLT646" s="733"/>
      <c r="HLU646" s="731"/>
      <c r="HLV646" s="732"/>
      <c r="HLW646" s="731"/>
      <c r="HLX646" s="733"/>
      <c r="HLY646" s="731"/>
      <c r="HLZ646" s="732"/>
      <c r="HMA646" s="731"/>
      <c r="HMB646" s="733"/>
      <c r="HMC646" s="731"/>
      <c r="HMD646" s="732"/>
      <c r="HME646" s="731"/>
      <c r="HMF646" s="733"/>
      <c r="HMG646" s="731"/>
      <c r="HMH646" s="732"/>
      <c r="HMI646" s="731"/>
      <c r="HMJ646" s="733"/>
      <c r="HMK646" s="731"/>
      <c r="HML646" s="732"/>
      <c r="HMM646" s="731"/>
      <c r="HMN646" s="733"/>
      <c r="HMO646" s="731"/>
      <c r="HMP646" s="732"/>
      <c r="HMQ646" s="731"/>
      <c r="HMR646" s="733"/>
      <c r="HMS646" s="731"/>
      <c r="HMT646" s="732"/>
      <c r="HMU646" s="731"/>
      <c r="HMV646" s="733"/>
      <c r="HMW646" s="731"/>
      <c r="HMX646" s="732"/>
      <c r="HMY646" s="731"/>
      <c r="HMZ646" s="733"/>
      <c r="HNA646" s="731"/>
      <c r="HNB646" s="732"/>
      <c r="HNC646" s="731"/>
      <c r="HND646" s="733"/>
      <c r="HNE646" s="731"/>
      <c r="HNF646" s="732"/>
      <c r="HNG646" s="731"/>
      <c r="HNH646" s="733"/>
      <c r="HNI646" s="731"/>
      <c r="HNJ646" s="732"/>
      <c r="HNK646" s="731"/>
      <c r="HNL646" s="733"/>
      <c r="HNM646" s="731"/>
      <c r="HNN646" s="732"/>
      <c r="HNO646" s="731"/>
      <c r="HNP646" s="733"/>
      <c r="HNQ646" s="731"/>
      <c r="HNR646" s="732"/>
      <c r="HNS646" s="731"/>
      <c r="HNT646" s="733"/>
      <c r="HNU646" s="731"/>
      <c r="HNV646" s="732"/>
      <c r="HNW646" s="731"/>
      <c r="HNX646" s="733"/>
      <c r="HNY646" s="731"/>
      <c r="HNZ646" s="732"/>
      <c r="HOA646" s="731"/>
      <c r="HOB646" s="733"/>
      <c r="HOC646" s="731"/>
      <c r="HOD646" s="732"/>
      <c r="HOE646" s="731"/>
      <c r="HOF646" s="733"/>
      <c r="HOG646" s="731"/>
      <c r="HOH646" s="732"/>
      <c r="HOI646" s="731"/>
      <c r="HOJ646" s="733"/>
      <c r="HOK646" s="731"/>
      <c r="HOL646" s="732"/>
      <c r="HOM646" s="731"/>
      <c r="HON646" s="733"/>
      <c r="HOO646" s="731"/>
      <c r="HOP646" s="732"/>
      <c r="HOQ646" s="731"/>
      <c r="HOR646" s="733"/>
      <c r="HOS646" s="731"/>
      <c r="HOT646" s="732"/>
      <c r="HOU646" s="731"/>
      <c r="HOV646" s="733"/>
      <c r="HOW646" s="731"/>
      <c r="HOX646" s="732"/>
      <c r="HOY646" s="731"/>
      <c r="HOZ646" s="733"/>
      <c r="HPA646" s="731"/>
      <c r="HPB646" s="732"/>
      <c r="HPC646" s="731"/>
      <c r="HPD646" s="733"/>
      <c r="HPE646" s="731"/>
      <c r="HPF646" s="732"/>
      <c r="HPG646" s="731"/>
      <c r="HPH646" s="733"/>
      <c r="HPI646" s="731"/>
      <c r="HPJ646" s="732"/>
      <c r="HPK646" s="731"/>
      <c r="HPL646" s="733"/>
      <c r="HPM646" s="731"/>
      <c r="HPN646" s="732"/>
      <c r="HPO646" s="731"/>
      <c r="HPP646" s="733"/>
      <c r="HPQ646" s="731"/>
      <c r="HPR646" s="732"/>
      <c r="HPS646" s="731"/>
      <c r="HPT646" s="733"/>
      <c r="HPU646" s="731"/>
      <c r="HPV646" s="732"/>
      <c r="HPW646" s="731"/>
      <c r="HPX646" s="733"/>
      <c r="HPY646" s="731"/>
      <c r="HPZ646" s="732"/>
      <c r="HQA646" s="731"/>
      <c r="HQB646" s="733"/>
      <c r="HQC646" s="731"/>
      <c r="HQD646" s="732"/>
      <c r="HQE646" s="731"/>
      <c r="HQF646" s="733"/>
      <c r="HQG646" s="731"/>
      <c r="HQH646" s="732"/>
      <c r="HQI646" s="731"/>
      <c r="HQJ646" s="733"/>
      <c r="HQK646" s="731"/>
      <c r="HQL646" s="732"/>
      <c r="HQM646" s="731"/>
      <c r="HQN646" s="733"/>
      <c r="HQO646" s="731"/>
      <c r="HQP646" s="732"/>
      <c r="HQQ646" s="731"/>
      <c r="HQR646" s="733"/>
      <c r="HQS646" s="731"/>
      <c r="HQT646" s="732"/>
      <c r="HQU646" s="731"/>
      <c r="HQV646" s="733"/>
      <c r="HQW646" s="731"/>
      <c r="HQX646" s="732"/>
      <c r="HQY646" s="731"/>
      <c r="HQZ646" s="733"/>
      <c r="HRA646" s="731"/>
      <c r="HRB646" s="732"/>
      <c r="HRC646" s="731"/>
      <c r="HRD646" s="733"/>
      <c r="HRE646" s="731"/>
      <c r="HRF646" s="732"/>
      <c r="HRG646" s="731"/>
      <c r="HRH646" s="733"/>
      <c r="HRI646" s="731"/>
      <c r="HRJ646" s="732"/>
      <c r="HRK646" s="731"/>
      <c r="HRL646" s="733"/>
      <c r="HRM646" s="731"/>
      <c r="HRN646" s="732"/>
      <c r="HRO646" s="731"/>
      <c r="HRP646" s="733"/>
      <c r="HRQ646" s="731"/>
      <c r="HRR646" s="732"/>
      <c r="HRS646" s="731"/>
      <c r="HRT646" s="733"/>
      <c r="HRU646" s="731"/>
      <c r="HRV646" s="732"/>
      <c r="HRW646" s="731"/>
      <c r="HRX646" s="733"/>
      <c r="HRY646" s="731"/>
      <c r="HRZ646" s="732"/>
      <c r="HSA646" s="731"/>
      <c r="HSB646" s="733"/>
      <c r="HSC646" s="731"/>
      <c r="HSD646" s="732"/>
      <c r="HSE646" s="731"/>
      <c r="HSF646" s="733"/>
      <c r="HSG646" s="731"/>
      <c r="HSH646" s="732"/>
      <c r="HSI646" s="731"/>
      <c r="HSJ646" s="733"/>
      <c r="HSK646" s="731"/>
      <c r="HSL646" s="732"/>
      <c r="HSM646" s="731"/>
      <c r="HSN646" s="733"/>
      <c r="HSO646" s="731"/>
      <c r="HSP646" s="732"/>
      <c r="HSQ646" s="731"/>
      <c r="HSR646" s="733"/>
      <c r="HSS646" s="731"/>
      <c r="HST646" s="732"/>
      <c r="HSU646" s="731"/>
      <c r="HSV646" s="733"/>
      <c r="HSW646" s="731"/>
      <c r="HSX646" s="732"/>
      <c r="HSY646" s="731"/>
      <c r="HSZ646" s="733"/>
      <c r="HTA646" s="731"/>
      <c r="HTB646" s="732"/>
      <c r="HTC646" s="731"/>
      <c r="HTD646" s="733"/>
      <c r="HTE646" s="731"/>
      <c r="HTF646" s="732"/>
      <c r="HTG646" s="731"/>
      <c r="HTH646" s="733"/>
      <c r="HTI646" s="731"/>
      <c r="HTJ646" s="732"/>
      <c r="HTK646" s="731"/>
      <c r="HTL646" s="733"/>
      <c r="HTM646" s="731"/>
      <c r="HTN646" s="732"/>
      <c r="HTO646" s="731"/>
      <c r="HTP646" s="733"/>
      <c r="HTQ646" s="731"/>
      <c r="HTR646" s="732"/>
      <c r="HTS646" s="731"/>
      <c r="HTT646" s="733"/>
      <c r="HTU646" s="731"/>
      <c r="HTV646" s="732"/>
      <c r="HTW646" s="731"/>
      <c r="HTX646" s="733"/>
      <c r="HTY646" s="731"/>
      <c r="HTZ646" s="732"/>
      <c r="HUA646" s="731"/>
      <c r="HUB646" s="733"/>
      <c r="HUC646" s="731"/>
      <c r="HUD646" s="732"/>
      <c r="HUE646" s="731"/>
      <c r="HUF646" s="733"/>
      <c r="HUG646" s="731"/>
      <c r="HUH646" s="732"/>
      <c r="HUI646" s="731"/>
      <c r="HUJ646" s="733"/>
      <c r="HUK646" s="731"/>
      <c r="HUL646" s="732"/>
      <c r="HUM646" s="731"/>
      <c r="HUN646" s="733"/>
      <c r="HUO646" s="731"/>
      <c r="HUP646" s="732"/>
      <c r="HUQ646" s="731"/>
      <c r="HUR646" s="733"/>
      <c r="HUS646" s="731"/>
      <c r="HUT646" s="732"/>
      <c r="HUU646" s="731"/>
      <c r="HUV646" s="733"/>
      <c r="HUW646" s="731"/>
      <c r="HUX646" s="732"/>
      <c r="HUY646" s="731"/>
      <c r="HUZ646" s="733"/>
      <c r="HVA646" s="731"/>
      <c r="HVB646" s="732"/>
      <c r="HVC646" s="731"/>
      <c r="HVD646" s="733"/>
      <c r="HVE646" s="731"/>
      <c r="HVF646" s="732"/>
      <c r="HVG646" s="731"/>
      <c r="HVH646" s="733"/>
      <c r="HVI646" s="731"/>
      <c r="HVJ646" s="732"/>
      <c r="HVK646" s="731"/>
      <c r="HVL646" s="733"/>
      <c r="HVM646" s="731"/>
      <c r="HVN646" s="732"/>
      <c r="HVO646" s="731"/>
      <c r="HVP646" s="733"/>
      <c r="HVQ646" s="731"/>
      <c r="HVR646" s="732"/>
      <c r="HVS646" s="731"/>
      <c r="HVT646" s="733"/>
      <c r="HVU646" s="731"/>
      <c r="HVV646" s="732"/>
      <c r="HVW646" s="731"/>
      <c r="HVX646" s="733"/>
      <c r="HVY646" s="731"/>
      <c r="HVZ646" s="732"/>
      <c r="HWA646" s="731"/>
      <c r="HWB646" s="733"/>
      <c r="HWC646" s="731"/>
      <c r="HWD646" s="732"/>
      <c r="HWE646" s="731"/>
      <c r="HWF646" s="733"/>
      <c r="HWG646" s="731"/>
      <c r="HWH646" s="732"/>
      <c r="HWI646" s="731"/>
      <c r="HWJ646" s="733"/>
      <c r="HWK646" s="731"/>
      <c r="HWL646" s="732"/>
      <c r="HWM646" s="731"/>
      <c r="HWN646" s="733"/>
      <c r="HWO646" s="731"/>
      <c r="HWP646" s="732"/>
      <c r="HWQ646" s="731"/>
      <c r="HWR646" s="733"/>
      <c r="HWS646" s="731"/>
      <c r="HWT646" s="732"/>
      <c r="HWU646" s="731"/>
      <c r="HWV646" s="733"/>
      <c r="HWW646" s="731"/>
      <c r="HWX646" s="732"/>
      <c r="HWY646" s="731"/>
      <c r="HWZ646" s="733"/>
      <c r="HXA646" s="731"/>
      <c r="HXB646" s="732"/>
      <c r="HXC646" s="731"/>
      <c r="HXD646" s="733"/>
      <c r="HXE646" s="731"/>
      <c r="HXF646" s="732"/>
      <c r="HXG646" s="731"/>
      <c r="HXH646" s="733"/>
      <c r="HXI646" s="731"/>
      <c r="HXJ646" s="732"/>
      <c r="HXK646" s="731"/>
      <c r="HXL646" s="733"/>
      <c r="HXM646" s="731"/>
      <c r="HXN646" s="732"/>
      <c r="HXO646" s="731"/>
      <c r="HXP646" s="733"/>
      <c r="HXQ646" s="731"/>
      <c r="HXR646" s="732"/>
      <c r="HXS646" s="731"/>
      <c r="HXT646" s="733"/>
      <c r="HXU646" s="731"/>
      <c r="HXV646" s="732"/>
      <c r="HXW646" s="731"/>
      <c r="HXX646" s="733"/>
      <c r="HXY646" s="731"/>
      <c r="HXZ646" s="732"/>
      <c r="HYA646" s="731"/>
      <c r="HYB646" s="733"/>
      <c r="HYC646" s="731"/>
      <c r="HYD646" s="732"/>
      <c r="HYE646" s="731"/>
      <c r="HYF646" s="733"/>
      <c r="HYG646" s="731"/>
      <c r="HYH646" s="732"/>
      <c r="HYI646" s="731"/>
      <c r="HYJ646" s="733"/>
      <c r="HYK646" s="731"/>
      <c r="HYL646" s="732"/>
      <c r="HYM646" s="731"/>
      <c r="HYN646" s="733"/>
      <c r="HYO646" s="731"/>
      <c r="HYP646" s="732"/>
      <c r="HYQ646" s="731"/>
      <c r="HYR646" s="733"/>
      <c r="HYS646" s="731"/>
      <c r="HYT646" s="732"/>
      <c r="HYU646" s="731"/>
      <c r="HYV646" s="733"/>
      <c r="HYW646" s="731"/>
      <c r="HYX646" s="732"/>
      <c r="HYY646" s="731"/>
      <c r="HYZ646" s="733"/>
      <c r="HZA646" s="731"/>
      <c r="HZB646" s="732"/>
      <c r="HZC646" s="731"/>
      <c r="HZD646" s="733"/>
      <c r="HZE646" s="731"/>
      <c r="HZF646" s="732"/>
      <c r="HZG646" s="731"/>
      <c r="HZH646" s="733"/>
      <c r="HZI646" s="731"/>
      <c r="HZJ646" s="732"/>
      <c r="HZK646" s="731"/>
      <c r="HZL646" s="733"/>
      <c r="HZM646" s="731"/>
      <c r="HZN646" s="732"/>
      <c r="HZO646" s="731"/>
      <c r="HZP646" s="733"/>
      <c r="HZQ646" s="731"/>
      <c r="HZR646" s="732"/>
      <c r="HZS646" s="731"/>
      <c r="HZT646" s="733"/>
      <c r="HZU646" s="731"/>
      <c r="HZV646" s="732"/>
      <c r="HZW646" s="731"/>
      <c r="HZX646" s="733"/>
      <c r="HZY646" s="731"/>
      <c r="HZZ646" s="732"/>
      <c r="IAA646" s="731"/>
      <c r="IAB646" s="733"/>
      <c r="IAC646" s="731"/>
      <c r="IAD646" s="732"/>
      <c r="IAE646" s="731"/>
      <c r="IAF646" s="733"/>
      <c r="IAG646" s="731"/>
      <c r="IAH646" s="732"/>
      <c r="IAI646" s="731"/>
      <c r="IAJ646" s="733"/>
      <c r="IAK646" s="731"/>
      <c r="IAL646" s="732"/>
      <c r="IAM646" s="731"/>
      <c r="IAN646" s="733"/>
      <c r="IAO646" s="731"/>
      <c r="IAP646" s="732"/>
      <c r="IAQ646" s="731"/>
      <c r="IAR646" s="733"/>
      <c r="IAS646" s="731"/>
      <c r="IAT646" s="732"/>
      <c r="IAU646" s="731"/>
      <c r="IAV646" s="733"/>
      <c r="IAW646" s="731"/>
      <c r="IAX646" s="732"/>
      <c r="IAY646" s="731"/>
      <c r="IAZ646" s="733"/>
      <c r="IBA646" s="731"/>
      <c r="IBB646" s="732"/>
      <c r="IBC646" s="731"/>
      <c r="IBD646" s="733"/>
      <c r="IBE646" s="731"/>
      <c r="IBF646" s="732"/>
      <c r="IBG646" s="731"/>
      <c r="IBH646" s="733"/>
      <c r="IBI646" s="731"/>
      <c r="IBJ646" s="732"/>
      <c r="IBK646" s="731"/>
      <c r="IBL646" s="733"/>
      <c r="IBM646" s="731"/>
      <c r="IBN646" s="732"/>
      <c r="IBO646" s="731"/>
      <c r="IBP646" s="733"/>
      <c r="IBQ646" s="731"/>
      <c r="IBR646" s="732"/>
      <c r="IBS646" s="731"/>
      <c r="IBT646" s="733"/>
      <c r="IBU646" s="731"/>
      <c r="IBV646" s="732"/>
      <c r="IBW646" s="731"/>
      <c r="IBX646" s="733"/>
      <c r="IBY646" s="731"/>
      <c r="IBZ646" s="732"/>
      <c r="ICA646" s="731"/>
      <c r="ICB646" s="733"/>
      <c r="ICC646" s="731"/>
      <c r="ICD646" s="732"/>
      <c r="ICE646" s="731"/>
      <c r="ICF646" s="733"/>
      <c r="ICG646" s="731"/>
      <c r="ICH646" s="732"/>
      <c r="ICI646" s="731"/>
      <c r="ICJ646" s="733"/>
      <c r="ICK646" s="731"/>
      <c r="ICL646" s="732"/>
      <c r="ICM646" s="731"/>
      <c r="ICN646" s="733"/>
      <c r="ICO646" s="731"/>
      <c r="ICP646" s="732"/>
      <c r="ICQ646" s="731"/>
      <c r="ICR646" s="733"/>
      <c r="ICS646" s="731"/>
      <c r="ICT646" s="732"/>
      <c r="ICU646" s="731"/>
      <c r="ICV646" s="733"/>
      <c r="ICW646" s="731"/>
      <c r="ICX646" s="732"/>
      <c r="ICY646" s="731"/>
      <c r="ICZ646" s="733"/>
      <c r="IDA646" s="731"/>
      <c r="IDB646" s="732"/>
      <c r="IDC646" s="731"/>
      <c r="IDD646" s="733"/>
      <c r="IDE646" s="731"/>
      <c r="IDF646" s="732"/>
      <c r="IDG646" s="731"/>
      <c r="IDH646" s="733"/>
      <c r="IDI646" s="731"/>
      <c r="IDJ646" s="732"/>
      <c r="IDK646" s="731"/>
      <c r="IDL646" s="733"/>
      <c r="IDM646" s="731"/>
      <c r="IDN646" s="732"/>
      <c r="IDO646" s="731"/>
      <c r="IDP646" s="733"/>
      <c r="IDQ646" s="731"/>
      <c r="IDR646" s="732"/>
      <c r="IDS646" s="731"/>
      <c r="IDT646" s="733"/>
      <c r="IDU646" s="731"/>
      <c r="IDV646" s="732"/>
      <c r="IDW646" s="731"/>
      <c r="IDX646" s="733"/>
      <c r="IDY646" s="731"/>
      <c r="IDZ646" s="732"/>
      <c r="IEA646" s="731"/>
      <c r="IEB646" s="733"/>
      <c r="IEC646" s="731"/>
      <c r="IED646" s="732"/>
      <c r="IEE646" s="731"/>
      <c r="IEF646" s="733"/>
      <c r="IEG646" s="731"/>
      <c r="IEH646" s="732"/>
      <c r="IEI646" s="731"/>
      <c r="IEJ646" s="733"/>
      <c r="IEK646" s="731"/>
      <c r="IEL646" s="732"/>
      <c r="IEM646" s="731"/>
      <c r="IEN646" s="733"/>
      <c r="IEO646" s="731"/>
      <c r="IEP646" s="732"/>
      <c r="IEQ646" s="731"/>
      <c r="IER646" s="733"/>
      <c r="IES646" s="731"/>
      <c r="IET646" s="732"/>
      <c r="IEU646" s="731"/>
      <c r="IEV646" s="733"/>
      <c r="IEW646" s="731"/>
      <c r="IEX646" s="732"/>
      <c r="IEY646" s="731"/>
      <c r="IEZ646" s="733"/>
      <c r="IFA646" s="731"/>
      <c r="IFB646" s="732"/>
      <c r="IFC646" s="731"/>
      <c r="IFD646" s="733"/>
      <c r="IFE646" s="731"/>
      <c r="IFF646" s="732"/>
      <c r="IFG646" s="731"/>
      <c r="IFH646" s="733"/>
      <c r="IFI646" s="731"/>
      <c r="IFJ646" s="732"/>
      <c r="IFK646" s="731"/>
      <c r="IFL646" s="733"/>
      <c r="IFM646" s="731"/>
      <c r="IFN646" s="732"/>
      <c r="IFO646" s="731"/>
      <c r="IFP646" s="733"/>
      <c r="IFQ646" s="731"/>
      <c r="IFR646" s="732"/>
      <c r="IFS646" s="731"/>
      <c r="IFT646" s="733"/>
      <c r="IFU646" s="731"/>
      <c r="IFV646" s="732"/>
      <c r="IFW646" s="731"/>
      <c r="IFX646" s="733"/>
      <c r="IFY646" s="731"/>
      <c r="IFZ646" s="732"/>
      <c r="IGA646" s="731"/>
      <c r="IGB646" s="733"/>
      <c r="IGC646" s="731"/>
      <c r="IGD646" s="732"/>
      <c r="IGE646" s="731"/>
      <c r="IGF646" s="733"/>
      <c r="IGG646" s="731"/>
      <c r="IGH646" s="732"/>
      <c r="IGI646" s="731"/>
      <c r="IGJ646" s="733"/>
      <c r="IGK646" s="731"/>
      <c r="IGL646" s="732"/>
      <c r="IGM646" s="731"/>
      <c r="IGN646" s="733"/>
      <c r="IGO646" s="731"/>
      <c r="IGP646" s="732"/>
      <c r="IGQ646" s="731"/>
      <c r="IGR646" s="733"/>
      <c r="IGS646" s="731"/>
      <c r="IGT646" s="732"/>
      <c r="IGU646" s="731"/>
      <c r="IGV646" s="733"/>
      <c r="IGW646" s="731"/>
      <c r="IGX646" s="732"/>
      <c r="IGY646" s="731"/>
      <c r="IGZ646" s="733"/>
      <c r="IHA646" s="731"/>
      <c r="IHB646" s="732"/>
      <c r="IHC646" s="731"/>
      <c r="IHD646" s="733"/>
      <c r="IHE646" s="731"/>
      <c r="IHF646" s="732"/>
      <c r="IHG646" s="731"/>
      <c r="IHH646" s="733"/>
      <c r="IHI646" s="731"/>
      <c r="IHJ646" s="732"/>
      <c r="IHK646" s="731"/>
      <c r="IHL646" s="733"/>
      <c r="IHM646" s="731"/>
      <c r="IHN646" s="732"/>
      <c r="IHO646" s="731"/>
      <c r="IHP646" s="733"/>
      <c r="IHQ646" s="731"/>
      <c r="IHR646" s="732"/>
      <c r="IHS646" s="731"/>
      <c r="IHT646" s="733"/>
      <c r="IHU646" s="731"/>
      <c r="IHV646" s="732"/>
      <c r="IHW646" s="731"/>
      <c r="IHX646" s="733"/>
      <c r="IHY646" s="731"/>
      <c r="IHZ646" s="732"/>
      <c r="IIA646" s="731"/>
      <c r="IIB646" s="733"/>
      <c r="IIC646" s="731"/>
      <c r="IID646" s="732"/>
      <c r="IIE646" s="731"/>
      <c r="IIF646" s="733"/>
      <c r="IIG646" s="731"/>
      <c r="IIH646" s="732"/>
      <c r="III646" s="731"/>
      <c r="IIJ646" s="733"/>
      <c r="IIK646" s="731"/>
      <c r="IIL646" s="732"/>
      <c r="IIM646" s="731"/>
      <c r="IIN646" s="733"/>
      <c r="IIO646" s="731"/>
      <c r="IIP646" s="732"/>
      <c r="IIQ646" s="731"/>
      <c r="IIR646" s="733"/>
      <c r="IIS646" s="731"/>
      <c r="IIT646" s="732"/>
      <c r="IIU646" s="731"/>
      <c r="IIV646" s="733"/>
      <c r="IIW646" s="731"/>
      <c r="IIX646" s="732"/>
      <c r="IIY646" s="731"/>
      <c r="IIZ646" s="733"/>
      <c r="IJA646" s="731"/>
      <c r="IJB646" s="732"/>
      <c r="IJC646" s="731"/>
      <c r="IJD646" s="733"/>
      <c r="IJE646" s="731"/>
      <c r="IJF646" s="732"/>
      <c r="IJG646" s="731"/>
      <c r="IJH646" s="733"/>
      <c r="IJI646" s="731"/>
      <c r="IJJ646" s="732"/>
      <c r="IJK646" s="731"/>
      <c r="IJL646" s="733"/>
      <c r="IJM646" s="731"/>
      <c r="IJN646" s="732"/>
      <c r="IJO646" s="731"/>
      <c r="IJP646" s="733"/>
      <c r="IJQ646" s="731"/>
      <c r="IJR646" s="732"/>
      <c r="IJS646" s="731"/>
      <c r="IJT646" s="733"/>
      <c r="IJU646" s="731"/>
      <c r="IJV646" s="732"/>
      <c r="IJW646" s="731"/>
      <c r="IJX646" s="733"/>
      <c r="IJY646" s="731"/>
      <c r="IJZ646" s="732"/>
      <c r="IKA646" s="731"/>
      <c r="IKB646" s="733"/>
      <c r="IKC646" s="731"/>
      <c r="IKD646" s="732"/>
      <c r="IKE646" s="731"/>
      <c r="IKF646" s="733"/>
      <c r="IKG646" s="731"/>
      <c r="IKH646" s="732"/>
      <c r="IKI646" s="731"/>
      <c r="IKJ646" s="733"/>
      <c r="IKK646" s="731"/>
      <c r="IKL646" s="732"/>
      <c r="IKM646" s="731"/>
      <c r="IKN646" s="733"/>
      <c r="IKO646" s="731"/>
      <c r="IKP646" s="732"/>
      <c r="IKQ646" s="731"/>
      <c r="IKR646" s="733"/>
      <c r="IKS646" s="731"/>
      <c r="IKT646" s="732"/>
      <c r="IKU646" s="731"/>
      <c r="IKV646" s="733"/>
      <c r="IKW646" s="731"/>
      <c r="IKX646" s="732"/>
      <c r="IKY646" s="731"/>
      <c r="IKZ646" s="733"/>
      <c r="ILA646" s="731"/>
      <c r="ILB646" s="732"/>
      <c r="ILC646" s="731"/>
      <c r="ILD646" s="733"/>
      <c r="ILE646" s="731"/>
      <c r="ILF646" s="732"/>
      <c r="ILG646" s="731"/>
      <c r="ILH646" s="733"/>
      <c r="ILI646" s="731"/>
      <c r="ILJ646" s="732"/>
      <c r="ILK646" s="731"/>
      <c r="ILL646" s="733"/>
      <c r="ILM646" s="731"/>
      <c r="ILN646" s="732"/>
      <c r="ILO646" s="731"/>
      <c r="ILP646" s="733"/>
      <c r="ILQ646" s="731"/>
      <c r="ILR646" s="732"/>
      <c r="ILS646" s="731"/>
      <c r="ILT646" s="733"/>
      <c r="ILU646" s="731"/>
      <c r="ILV646" s="732"/>
      <c r="ILW646" s="731"/>
      <c r="ILX646" s="733"/>
      <c r="ILY646" s="731"/>
      <c r="ILZ646" s="732"/>
      <c r="IMA646" s="731"/>
      <c r="IMB646" s="733"/>
      <c r="IMC646" s="731"/>
      <c r="IMD646" s="732"/>
      <c r="IME646" s="731"/>
      <c r="IMF646" s="733"/>
      <c r="IMG646" s="731"/>
      <c r="IMH646" s="732"/>
      <c r="IMI646" s="731"/>
      <c r="IMJ646" s="733"/>
      <c r="IMK646" s="731"/>
      <c r="IML646" s="732"/>
      <c r="IMM646" s="731"/>
      <c r="IMN646" s="733"/>
      <c r="IMO646" s="731"/>
      <c r="IMP646" s="732"/>
      <c r="IMQ646" s="731"/>
      <c r="IMR646" s="733"/>
      <c r="IMS646" s="731"/>
      <c r="IMT646" s="732"/>
      <c r="IMU646" s="731"/>
      <c r="IMV646" s="733"/>
      <c r="IMW646" s="731"/>
      <c r="IMX646" s="732"/>
      <c r="IMY646" s="731"/>
      <c r="IMZ646" s="733"/>
      <c r="INA646" s="731"/>
      <c r="INB646" s="732"/>
      <c r="INC646" s="731"/>
      <c r="IND646" s="733"/>
      <c r="INE646" s="731"/>
      <c r="INF646" s="732"/>
      <c r="ING646" s="731"/>
      <c r="INH646" s="733"/>
      <c r="INI646" s="731"/>
      <c r="INJ646" s="732"/>
      <c r="INK646" s="731"/>
      <c r="INL646" s="733"/>
      <c r="INM646" s="731"/>
      <c r="INN646" s="732"/>
      <c r="INO646" s="731"/>
      <c r="INP646" s="733"/>
      <c r="INQ646" s="731"/>
      <c r="INR646" s="732"/>
      <c r="INS646" s="731"/>
      <c r="INT646" s="733"/>
      <c r="INU646" s="731"/>
      <c r="INV646" s="732"/>
      <c r="INW646" s="731"/>
      <c r="INX646" s="733"/>
      <c r="INY646" s="731"/>
      <c r="INZ646" s="732"/>
      <c r="IOA646" s="731"/>
      <c r="IOB646" s="733"/>
      <c r="IOC646" s="731"/>
      <c r="IOD646" s="732"/>
      <c r="IOE646" s="731"/>
      <c r="IOF646" s="733"/>
      <c r="IOG646" s="731"/>
      <c r="IOH646" s="732"/>
      <c r="IOI646" s="731"/>
      <c r="IOJ646" s="733"/>
      <c r="IOK646" s="731"/>
      <c r="IOL646" s="732"/>
      <c r="IOM646" s="731"/>
      <c r="ION646" s="733"/>
      <c r="IOO646" s="731"/>
      <c r="IOP646" s="732"/>
      <c r="IOQ646" s="731"/>
      <c r="IOR646" s="733"/>
      <c r="IOS646" s="731"/>
      <c r="IOT646" s="732"/>
      <c r="IOU646" s="731"/>
      <c r="IOV646" s="733"/>
      <c r="IOW646" s="731"/>
      <c r="IOX646" s="732"/>
      <c r="IOY646" s="731"/>
      <c r="IOZ646" s="733"/>
      <c r="IPA646" s="731"/>
      <c r="IPB646" s="732"/>
      <c r="IPC646" s="731"/>
      <c r="IPD646" s="733"/>
      <c r="IPE646" s="731"/>
      <c r="IPF646" s="732"/>
      <c r="IPG646" s="731"/>
      <c r="IPH646" s="733"/>
      <c r="IPI646" s="731"/>
      <c r="IPJ646" s="732"/>
      <c r="IPK646" s="731"/>
      <c r="IPL646" s="733"/>
      <c r="IPM646" s="731"/>
      <c r="IPN646" s="732"/>
      <c r="IPO646" s="731"/>
      <c r="IPP646" s="733"/>
      <c r="IPQ646" s="731"/>
      <c r="IPR646" s="732"/>
      <c r="IPS646" s="731"/>
      <c r="IPT646" s="733"/>
      <c r="IPU646" s="731"/>
      <c r="IPV646" s="732"/>
      <c r="IPW646" s="731"/>
      <c r="IPX646" s="733"/>
      <c r="IPY646" s="731"/>
      <c r="IPZ646" s="732"/>
      <c r="IQA646" s="731"/>
      <c r="IQB646" s="733"/>
      <c r="IQC646" s="731"/>
      <c r="IQD646" s="732"/>
      <c r="IQE646" s="731"/>
      <c r="IQF646" s="733"/>
      <c r="IQG646" s="731"/>
      <c r="IQH646" s="732"/>
      <c r="IQI646" s="731"/>
      <c r="IQJ646" s="733"/>
      <c r="IQK646" s="731"/>
      <c r="IQL646" s="732"/>
      <c r="IQM646" s="731"/>
      <c r="IQN646" s="733"/>
      <c r="IQO646" s="731"/>
      <c r="IQP646" s="732"/>
      <c r="IQQ646" s="731"/>
      <c r="IQR646" s="733"/>
      <c r="IQS646" s="731"/>
      <c r="IQT646" s="732"/>
      <c r="IQU646" s="731"/>
      <c r="IQV646" s="733"/>
      <c r="IQW646" s="731"/>
      <c r="IQX646" s="732"/>
      <c r="IQY646" s="731"/>
      <c r="IQZ646" s="733"/>
      <c r="IRA646" s="731"/>
      <c r="IRB646" s="732"/>
      <c r="IRC646" s="731"/>
      <c r="IRD646" s="733"/>
      <c r="IRE646" s="731"/>
      <c r="IRF646" s="732"/>
      <c r="IRG646" s="731"/>
      <c r="IRH646" s="733"/>
      <c r="IRI646" s="731"/>
      <c r="IRJ646" s="732"/>
      <c r="IRK646" s="731"/>
      <c r="IRL646" s="733"/>
      <c r="IRM646" s="731"/>
      <c r="IRN646" s="732"/>
      <c r="IRO646" s="731"/>
      <c r="IRP646" s="733"/>
      <c r="IRQ646" s="731"/>
      <c r="IRR646" s="732"/>
      <c r="IRS646" s="731"/>
      <c r="IRT646" s="733"/>
      <c r="IRU646" s="731"/>
      <c r="IRV646" s="732"/>
      <c r="IRW646" s="731"/>
      <c r="IRX646" s="733"/>
      <c r="IRY646" s="731"/>
      <c r="IRZ646" s="732"/>
      <c r="ISA646" s="731"/>
      <c r="ISB646" s="733"/>
      <c r="ISC646" s="731"/>
      <c r="ISD646" s="732"/>
      <c r="ISE646" s="731"/>
      <c r="ISF646" s="733"/>
      <c r="ISG646" s="731"/>
      <c r="ISH646" s="732"/>
      <c r="ISI646" s="731"/>
      <c r="ISJ646" s="733"/>
      <c r="ISK646" s="731"/>
      <c r="ISL646" s="732"/>
      <c r="ISM646" s="731"/>
      <c r="ISN646" s="733"/>
      <c r="ISO646" s="731"/>
      <c r="ISP646" s="732"/>
      <c r="ISQ646" s="731"/>
      <c r="ISR646" s="733"/>
      <c r="ISS646" s="731"/>
      <c r="IST646" s="732"/>
      <c r="ISU646" s="731"/>
      <c r="ISV646" s="733"/>
      <c r="ISW646" s="731"/>
      <c r="ISX646" s="732"/>
      <c r="ISY646" s="731"/>
      <c r="ISZ646" s="733"/>
      <c r="ITA646" s="731"/>
      <c r="ITB646" s="732"/>
      <c r="ITC646" s="731"/>
      <c r="ITD646" s="733"/>
      <c r="ITE646" s="731"/>
      <c r="ITF646" s="732"/>
      <c r="ITG646" s="731"/>
      <c r="ITH646" s="733"/>
      <c r="ITI646" s="731"/>
      <c r="ITJ646" s="732"/>
      <c r="ITK646" s="731"/>
      <c r="ITL646" s="733"/>
      <c r="ITM646" s="731"/>
      <c r="ITN646" s="732"/>
      <c r="ITO646" s="731"/>
      <c r="ITP646" s="733"/>
      <c r="ITQ646" s="731"/>
      <c r="ITR646" s="732"/>
      <c r="ITS646" s="731"/>
      <c r="ITT646" s="733"/>
      <c r="ITU646" s="731"/>
      <c r="ITV646" s="732"/>
      <c r="ITW646" s="731"/>
      <c r="ITX646" s="733"/>
      <c r="ITY646" s="731"/>
      <c r="ITZ646" s="732"/>
      <c r="IUA646" s="731"/>
      <c r="IUB646" s="733"/>
      <c r="IUC646" s="731"/>
      <c r="IUD646" s="732"/>
      <c r="IUE646" s="731"/>
      <c r="IUF646" s="733"/>
      <c r="IUG646" s="731"/>
      <c r="IUH646" s="732"/>
      <c r="IUI646" s="731"/>
      <c r="IUJ646" s="733"/>
      <c r="IUK646" s="731"/>
      <c r="IUL646" s="732"/>
      <c r="IUM646" s="731"/>
      <c r="IUN646" s="733"/>
      <c r="IUO646" s="731"/>
      <c r="IUP646" s="732"/>
      <c r="IUQ646" s="731"/>
      <c r="IUR646" s="733"/>
      <c r="IUS646" s="731"/>
      <c r="IUT646" s="732"/>
      <c r="IUU646" s="731"/>
      <c r="IUV646" s="733"/>
      <c r="IUW646" s="731"/>
      <c r="IUX646" s="732"/>
      <c r="IUY646" s="731"/>
      <c r="IUZ646" s="733"/>
      <c r="IVA646" s="731"/>
      <c r="IVB646" s="732"/>
      <c r="IVC646" s="731"/>
      <c r="IVD646" s="733"/>
      <c r="IVE646" s="731"/>
      <c r="IVF646" s="732"/>
      <c r="IVG646" s="731"/>
      <c r="IVH646" s="733"/>
      <c r="IVI646" s="731"/>
      <c r="IVJ646" s="732"/>
      <c r="IVK646" s="731"/>
      <c r="IVL646" s="733"/>
      <c r="IVM646" s="731"/>
      <c r="IVN646" s="732"/>
      <c r="IVO646" s="731"/>
      <c r="IVP646" s="733"/>
      <c r="IVQ646" s="731"/>
      <c r="IVR646" s="732"/>
      <c r="IVS646" s="731"/>
      <c r="IVT646" s="733"/>
      <c r="IVU646" s="731"/>
      <c r="IVV646" s="732"/>
      <c r="IVW646" s="731"/>
      <c r="IVX646" s="733"/>
      <c r="IVY646" s="731"/>
      <c r="IVZ646" s="732"/>
      <c r="IWA646" s="731"/>
      <c r="IWB646" s="733"/>
      <c r="IWC646" s="731"/>
      <c r="IWD646" s="732"/>
      <c r="IWE646" s="731"/>
      <c r="IWF646" s="733"/>
      <c r="IWG646" s="731"/>
      <c r="IWH646" s="732"/>
      <c r="IWI646" s="731"/>
      <c r="IWJ646" s="733"/>
      <c r="IWK646" s="731"/>
      <c r="IWL646" s="732"/>
      <c r="IWM646" s="731"/>
      <c r="IWN646" s="733"/>
      <c r="IWO646" s="731"/>
      <c r="IWP646" s="732"/>
      <c r="IWQ646" s="731"/>
      <c r="IWR646" s="733"/>
      <c r="IWS646" s="731"/>
      <c r="IWT646" s="732"/>
      <c r="IWU646" s="731"/>
      <c r="IWV646" s="733"/>
      <c r="IWW646" s="731"/>
      <c r="IWX646" s="732"/>
      <c r="IWY646" s="731"/>
      <c r="IWZ646" s="733"/>
      <c r="IXA646" s="731"/>
      <c r="IXB646" s="732"/>
      <c r="IXC646" s="731"/>
      <c r="IXD646" s="733"/>
      <c r="IXE646" s="731"/>
      <c r="IXF646" s="732"/>
      <c r="IXG646" s="731"/>
      <c r="IXH646" s="733"/>
      <c r="IXI646" s="731"/>
      <c r="IXJ646" s="732"/>
      <c r="IXK646" s="731"/>
      <c r="IXL646" s="733"/>
      <c r="IXM646" s="731"/>
      <c r="IXN646" s="732"/>
      <c r="IXO646" s="731"/>
      <c r="IXP646" s="733"/>
      <c r="IXQ646" s="731"/>
      <c r="IXR646" s="732"/>
      <c r="IXS646" s="731"/>
      <c r="IXT646" s="733"/>
      <c r="IXU646" s="731"/>
      <c r="IXV646" s="732"/>
      <c r="IXW646" s="731"/>
      <c r="IXX646" s="733"/>
      <c r="IXY646" s="731"/>
      <c r="IXZ646" s="732"/>
      <c r="IYA646" s="731"/>
      <c r="IYB646" s="733"/>
      <c r="IYC646" s="731"/>
      <c r="IYD646" s="732"/>
      <c r="IYE646" s="731"/>
      <c r="IYF646" s="733"/>
      <c r="IYG646" s="731"/>
      <c r="IYH646" s="732"/>
      <c r="IYI646" s="731"/>
      <c r="IYJ646" s="733"/>
      <c r="IYK646" s="731"/>
      <c r="IYL646" s="732"/>
      <c r="IYM646" s="731"/>
      <c r="IYN646" s="733"/>
      <c r="IYO646" s="731"/>
      <c r="IYP646" s="732"/>
      <c r="IYQ646" s="731"/>
      <c r="IYR646" s="733"/>
      <c r="IYS646" s="731"/>
      <c r="IYT646" s="732"/>
      <c r="IYU646" s="731"/>
      <c r="IYV646" s="733"/>
      <c r="IYW646" s="731"/>
      <c r="IYX646" s="732"/>
      <c r="IYY646" s="731"/>
      <c r="IYZ646" s="733"/>
      <c r="IZA646" s="731"/>
      <c r="IZB646" s="732"/>
      <c r="IZC646" s="731"/>
      <c r="IZD646" s="733"/>
      <c r="IZE646" s="731"/>
      <c r="IZF646" s="732"/>
      <c r="IZG646" s="731"/>
      <c r="IZH646" s="733"/>
      <c r="IZI646" s="731"/>
      <c r="IZJ646" s="732"/>
      <c r="IZK646" s="731"/>
      <c r="IZL646" s="733"/>
      <c r="IZM646" s="731"/>
      <c r="IZN646" s="732"/>
      <c r="IZO646" s="731"/>
      <c r="IZP646" s="733"/>
      <c r="IZQ646" s="731"/>
      <c r="IZR646" s="732"/>
      <c r="IZS646" s="731"/>
      <c r="IZT646" s="733"/>
      <c r="IZU646" s="731"/>
      <c r="IZV646" s="732"/>
      <c r="IZW646" s="731"/>
      <c r="IZX646" s="733"/>
      <c r="IZY646" s="731"/>
      <c r="IZZ646" s="732"/>
      <c r="JAA646" s="731"/>
      <c r="JAB646" s="733"/>
      <c r="JAC646" s="731"/>
      <c r="JAD646" s="732"/>
      <c r="JAE646" s="731"/>
      <c r="JAF646" s="733"/>
      <c r="JAG646" s="731"/>
      <c r="JAH646" s="732"/>
      <c r="JAI646" s="731"/>
      <c r="JAJ646" s="733"/>
      <c r="JAK646" s="731"/>
      <c r="JAL646" s="732"/>
      <c r="JAM646" s="731"/>
      <c r="JAN646" s="733"/>
      <c r="JAO646" s="731"/>
      <c r="JAP646" s="732"/>
      <c r="JAQ646" s="731"/>
      <c r="JAR646" s="733"/>
      <c r="JAS646" s="731"/>
      <c r="JAT646" s="732"/>
      <c r="JAU646" s="731"/>
      <c r="JAV646" s="733"/>
      <c r="JAW646" s="731"/>
      <c r="JAX646" s="732"/>
      <c r="JAY646" s="731"/>
      <c r="JAZ646" s="733"/>
      <c r="JBA646" s="731"/>
      <c r="JBB646" s="732"/>
      <c r="JBC646" s="731"/>
      <c r="JBD646" s="733"/>
      <c r="JBE646" s="731"/>
      <c r="JBF646" s="732"/>
      <c r="JBG646" s="731"/>
      <c r="JBH646" s="733"/>
      <c r="JBI646" s="731"/>
      <c r="JBJ646" s="732"/>
      <c r="JBK646" s="731"/>
      <c r="JBL646" s="733"/>
      <c r="JBM646" s="731"/>
      <c r="JBN646" s="732"/>
      <c r="JBO646" s="731"/>
      <c r="JBP646" s="733"/>
      <c r="JBQ646" s="731"/>
      <c r="JBR646" s="732"/>
      <c r="JBS646" s="731"/>
      <c r="JBT646" s="733"/>
      <c r="JBU646" s="731"/>
      <c r="JBV646" s="732"/>
      <c r="JBW646" s="731"/>
      <c r="JBX646" s="733"/>
      <c r="JBY646" s="731"/>
      <c r="JBZ646" s="732"/>
      <c r="JCA646" s="731"/>
      <c r="JCB646" s="733"/>
      <c r="JCC646" s="731"/>
      <c r="JCD646" s="732"/>
      <c r="JCE646" s="731"/>
      <c r="JCF646" s="733"/>
      <c r="JCG646" s="731"/>
      <c r="JCH646" s="732"/>
      <c r="JCI646" s="731"/>
      <c r="JCJ646" s="733"/>
      <c r="JCK646" s="731"/>
      <c r="JCL646" s="732"/>
      <c r="JCM646" s="731"/>
      <c r="JCN646" s="733"/>
      <c r="JCO646" s="731"/>
      <c r="JCP646" s="732"/>
      <c r="JCQ646" s="731"/>
      <c r="JCR646" s="733"/>
      <c r="JCS646" s="731"/>
      <c r="JCT646" s="732"/>
      <c r="JCU646" s="731"/>
      <c r="JCV646" s="733"/>
      <c r="JCW646" s="731"/>
      <c r="JCX646" s="732"/>
      <c r="JCY646" s="731"/>
      <c r="JCZ646" s="733"/>
      <c r="JDA646" s="731"/>
      <c r="JDB646" s="732"/>
      <c r="JDC646" s="731"/>
      <c r="JDD646" s="733"/>
      <c r="JDE646" s="731"/>
      <c r="JDF646" s="732"/>
      <c r="JDG646" s="731"/>
      <c r="JDH646" s="733"/>
      <c r="JDI646" s="731"/>
      <c r="JDJ646" s="732"/>
      <c r="JDK646" s="731"/>
      <c r="JDL646" s="733"/>
      <c r="JDM646" s="731"/>
      <c r="JDN646" s="732"/>
      <c r="JDO646" s="731"/>
      <c r="JDP646" s="733"/>
      <c r="JDQ646" s="731"/>
      <c r="JDR646" s="732"/>
      <c r="JDS646" s="731"/>
      <c r="JDT646" s="733"/>
      <c r="JDU646" s="731"/>
      <c r="JDV646" s="732"/>
      <c r="JDW646" s="731"/>
      <c r="JDX646" s="733"/>
      <c r="JDY646" s="731"/>
      <c r="JDZ646" s="732"/>
      <c r="JEA646" s="731"/>
      <c r="JEB646" s="733"/>
      <c r="JEC646" s="731"/>
      <c r="JED646" s="732"/>
      <c r="JEE646" s="731"/>
      <c r="JEF646" s="733"/>
      <c r="JEG646" s="731"/>
      <c r="JEH646" s="732"/>
      <c r="JEI646" s="731"/>
      <c r="JEJ646" s="733"/>
      <c r="JEK646" s="731"/>
      <c r="JEL646" s="732"/>
      <c r="JEM646" s="731"/>
      <c r="JEN646" s="733"/>
      <c r="JEO646" s="731"/>
      <c r="JEP646" s="732"/>
      <c r="JEQ646" s="731"/>
      <c r="JER646" s="733"/>
      <c r="JES646" s="731"/>
      <c r="JET646" s="732"/>
      <c r="JEU646" s="731"/>
      <c r="JEV646" s="733"/>
      <c r="JEW646" s="731"/>
      <c r="JEX646" s="732"/>
      <c r="JEY646" s="731"/>
      <c r="JEZ646" s="733"/>
      <c r="JFA646" s="731"/>
      <c r="JFB646" s="732"/>
      <c r="JFC646" s="731"/>
      <c r="JFD646" s="733"/>
      <c r="JFE646" s="731"/>
      <c r="JFF646" s="732"/>
      <c r="JFG646" s="731"/>
      <c r="JFH646" s="733"/>
      <c r="JFI646" s="731"/>
      <c r="JFJ646" s="732"/>
      <c r="JFK646" s="731"/>
      <c r="JFL646" s="733"/>
      <c r="JFM646" s="731"/>
      <c r="JFN646" s="732"/>
      <c r="JFO646" s="731"/>
      <c r="JFP646" s="733"/>
      <c r="JFQ646" s="731"/>
      <c r="JFR646" s="732"/>
      <c r="JFS646" s="731"/>
      <c r="JFT646" s="733"/>
      <c r="JFU646" s="731"/>
      <c r="JFV646" s="732"/>
      <c r="JFW646" s="731"/>
      <c r="JFX646" s="733"/>
      <c r="JFY646" s="731"/>
      <c r="JFZ646" s="732"/>
      <c r="JGA646" s="731"/>
      <c r="JGB646" s="733"/>
      <c r="JGC646" s="731"/>
      <c r="JGD646" s="732"/>
      <c r="JGE646" s="731"/>
      <c r="JGF646" s="733"/>
      <c r="JGG646" s="731"/>
      <c r="JGH646" s="732"/>
      <c r="JGI646" s="731"/>
      <c r="JGJ646" s="733"/>
      <c r="JGK646" s="731"/>
      <c r="JGL646" s="732"/>
      <c r="JGM646" s="731"/>
      <c r="JGN646" s="733"/>
      <c r="JGO646" s="731"/>
      <c r="JGP646" s="732"/>
      <c r="JGQ646" s="731"/>
      <c r="JGR646" s="733"/>
      <c r="JGS646" s="731"/>
      <c r="JGT646" s="732"/>
      <c r="JGU646" s="731"/>
      <c r="JGV646" s="733"/>
      <c r="JGW646" s="731"/>
      <c r="JGX646" s="732"/>
      <c r="JGY646" s="731"/>
      <c r="JGZ646" s="733"/>
      <c r="JHA646" s="731"/>
      <c r="JHB646" s="732"/>
      <c r="JHC646" s="731"/>
      <c r="JHD646" s="733"/>
      <c r="JHE646" s="731"/>
      <c r="JHF646" s="732"/>
      <c r="JHG646" s="731"/>
      <c r="JHH646" s="733"/>
      <c r="JHI646" s="731"/>
      <c r="JHJ646" s="732"/>
      <c r="JHK646" s="731"/>
      <c r="JHL646" s="733"/>
      <c r="JHM646" s="731"/>
      <c r="JHN646" s="732"/>
      <c r="JHO646" s="731"/>
      <c r="JHP646" s="733"/>
      <c r="JHQ646" s="731"/>
      <c r="JHR646" s="732"/>
      <c r="JHS646" s="731"/>
      <c r="JHT646" s="733"/>
      <c r="JHU646" s="731"/>
      <c r="JHV646" s="732"/>
      <c r="JHW646" s="731"/>
      <c r="JHX646" s="733"/>
      <c r="JHY646" s="731"/>
      <c r="JHZ646" s="732"/>
      <c r="JIA646" s="731"/>
      <c r="JIB646" s="733"/>
      <c r="JIC646" s="731"/>
      <c r="JID646" s="732"/>
      <c r="JIE646" s="731"/>
      <c r="JIF646" s="733"/>
      <c r="JIG646" s="731"/>
      <c r="JIH646" s="732"/>
      <c r="JII646" s="731"/>
      <c r="JIJ646" s="733"/>
      <c r="JIK646" s="731"/>
      <c r="JIL646" s="732"/>
      <c r="JIM646" s="731"/>
      <c r="JIN646" s="733"/>
      <c r="JIO646" s="731"/>
      <c r="JIP646" s="732"/>
      <c r="JIQ646" s="731"/>
      <c r="JIR646" s="733"/>
      <c r="JIS646" s="731"/>
      <c r="JIT646" s="732"/>
      <c r="JIU646" s="731"/>
      <c r="JIV646" s="733"/>
      <c r="JIW646" s="731"/>
      <c r="JIX646" s="732"/>
      <c r="JIY646" s="731"/>
      <c r="JIZ646" s="733"/>
      <c r="JJA646" s="731"/>
      <c r="JJB646" s="732"/>
      <c r="JJC646" s="731"/>
      <c r="JJD646" s="733"/>
      <c r="JJE646" s="731"/>
      <c r="JJF646" s="732"/>
      <c r="JJG646" s="731"/>
      <c r="JJH646" s="733"/>
      <c r="JJI646" s="731"/>
      <c r="JJJ646" s="732"/>
      <c r="JJK646" s="731"/>
      <c r="JJL646" s="733"/>
      <c r="JJM646" s="731"/>
      <c r="JJN646" s="732"/>
      <c r="JJO646" s="731"/>
      <c r="JJP646" s="733"/>
      <c r="JJQ646" s="731"/>
      <c r="JJR646" s="732"/>
      <c r="JJS646" s="731"/>
      <c r="JJT646" s="733"/>
      <c r="JJU646" s="731"/>
      <c r="JJV646" s="732"/>
      <c r="JJW646" s="731"/>
      <c r="JJX646" s="733"/>
      <c r="JJY646" s="731"/>
      <c r="JJZ646" s="732"/>
      <c r="JKA646" s="731"/>
      <c r="JKB646" s="733"/>
      <c r="JKC646" s="731"/>
      <c r="JKD646" s="732"/>
      <c r="JKE646" s="731"/>
      <c r="JKF646" s="733"/>
      <c r="JKG646" s="731"/>
      <c r="JKH646" s="732"/>
      <c r="JKI646" s="731"/>
      <c r="JKJ646" s="733"/>
      <c r="JKK646" s="731"/>
      <c r="JKL646" s="732"/>
      <c r="JKM646" s="731"/>
      <c r="JKN646" s="733"/>
      <c r="JKO646" s="731"/>
      <c r="JKP646" s="732"/>
      <c r="JKQ646" s="731"/>
      <c r="JKR646" s="733"/>
      <c r="JKS646" s="731"/>
      <c r="JKT646" s="732"/>
      <c r="JKU646" s="731"/>
      <c r="JKV646" s="733"/>
      <c r="JKW646" s="731"/>
      <c r="JKX646" s="732"/>
      <c r="JKY646" s="731"/>
      <c r="JKZ646" s="733"/>
      <c r="JLA646" s="731"/>
      <c r="JLB646" s="732"/>
      <c r="JLC646" s="731"/>
      <c r="JLD646" s="733"/>
      <c r="JLE646" s="731"/>
      <c r="JLF646" s="732"/>
      <c r="JLG646" s="731"/>
      <c r="JLH646" s="733"/>
      <c r="JLI646" s="731"/>
      <c r="JLJ646" s="732"/>
      <c r="JLK646" s="731"/>
      <c r="JLL646" s="733"/>
      <c r="JLM646" s="731"/>
      <c r="JLN646" s="732"/>
      <c r="JLO646" s="731"/>
      <c r="JLP646" s="733"/>
      <c r="JLQ646" s="731"/>
      <c r="JLR646" s="732"/>
      <c r="JLS646" s="731"/>
      <c r="JLT646" s="733"/>
      <c r="JLU646" s="731"/>
      <c r="JLV646" s="732"/>
      <c r="JLW646" s="731"/>
      <c r="JLX646" s="733"/>
      <c r="JLY646" s="731"/>
      <c r="JLZ646" s="732"/>
      <c r="JMA646" s="731"/>
      <c r="JMB646" s="733"/>
      <c r="JMC646" s="731"/>
      <c r="JMD646" s="732"/>
      <c r="JME646" s="731"/>
      <c r="JMF646" s="733"/>
      <c r="JMG646" s="731"/>
      <c r="JMH646" s="732"/>
      <c r="JMI646" s="731"/>
      <c r="JMJ646" s="733"/>
      <c r="JMK646" s="731"/>
      <c r="JML646" s="732"/>
      <c r="JMM646" s="731"/>
      <c r="JMN646" s="733"/>
      <c r="JMO646" s="731"/>
      <c r="JMP646" s="732"/>
      <c r="JMQ646" s="731"/>
      <c r="JMR646" s="733"/>
      <c r="JMS646" s="731"/>
      <c r="JMT646" s="732"/>
      <c r="JMU646" s="731"/>
      <c r="JMV646" s="733"/>
      <c r="JMW646" s="731"/>
      <c r="JMX646" s="732"/>
      <c r="JMY646" s="731"/>
      <c r="JMZ646" s="733"/>
      <c r="JNA646" s="731"/>
      <c r="JNB646" s="732"/>
      <c r="JNC646" s="731"/>
      <c r="JND646" s="733"/>
      <c r="JNE646" s="731"/>
      <c r="JNF646" s="732"/>
      <c r="JNG646" s="731"/>
      <c r="JNH646" s="733"/>
      <c r="JNI646" s="731"/>
      <c r="JNJ646" s="732"/>
      <c r="JNK646" s="731"/>
      <c r="JNL646" s="733"/>
      <c r="JNM646" s="731"/>
      <c r="JNN646" s="732"/>
      <c r="JNO646" s="731"/>
      <c r="JNP646" s="733"/>
      <c r="JNQ646" s="731"/>
      <c r="JNR646" s="732"/>
      <c r="JNS646" s="731"/>
      <c r="JNT646" s="733"/>
      <c r="JNU646" s="731"/>
      <c r="JNV646" s="732"/>
      <c r="JNW646" s="731"/>
      <c r="JNX646" s="733"/>
      <c r="JNY646" s="731"/>
      <c r="JNZ646" s="732"/>
      <c r="JOA646" s="731"/>
      <c r="JOB646" s="733"/>
      <c r="JOC646" s="731"/>
      <c r="JOD646" s="732"/>
      <c r="JOE646" s="731"/>
      <c r="JOF646" s="733"/>
      <c r="JOG646" s="731"/>
      <c r="JOH646" s="732"/>
      <c r="JOI646" s="731"/>
      <c r="JOJ646" s="733"/>
      <c r="JOK646" s="731"/>
      <c r="JOL646" s="732"/>
      <c r="JOM646" s="731"/>
      <c r="JON646" s="733"/>
      <c r="JOO646" s="731"/>
      <c r="JOP646" s="732"/>
      <c r="JOQ646" s="731"/>
      <c r="JOR646" s="733"/>
      <c r="JOS646" s="731"/>
      <c r="JOT646" s="732"/>
      <c r="JOU646" s="731"/>
      <c r="JOV646" s="733"/>
      <c r="JOW646" s="731"/>
      <c r="JOX646" s="732"/>
      <c r="JOY646" s="731"/>
      <c r="JOZ646" s="733"/>
      <c r="JPA646" s="731"/>
      <c r="JPB646" s="732"/>
      <c r="JPC646" s="731"/>
      <c r="JPD646" s="733"/>
      <c r="JPE646" s="731"/>
      <c r="JPF646" s="732"/>
      <c r="JPG646" s="731"/>
      <c r="JPH646" s="733"/>
      <c r="JPI646" s="731"/>
      <c r="JPJ646" s="732"/>
      <c r="JPK646" s="731"/>
      <c r="JPL646" s="733"/>
      <c r="JPM646" s="731"/>
      <c r="JPN646" s="732"/>
      <c r="JPO646" s="731"/>
      <c r="JPP646" s="733"/>
      <c r="JPQ646" s="731"/>
      <c r="JPR646" s="732"/>
      <c r="JPS646" s="731"/>
      <c r="JPT646" s="733"/>
      <c r="JPU646" s="731"/>
      <c r="JPV646" s="732"/>
      <c r="JPW646" s="731"/>
      <c r="JPX646" s="733"/>
      <c r="JPY646" s="731"/>
      <c r="JPZ646" s="732"/>
      <c r="JQA646" s="731"/>
      <c r="JQB646" s="733"/>
      <c r="JQC646" s="731"/>
      <c r="JQD646" s="732"/>
      <c r="JQE646" s="731"/>
      <c r="JQF646" s="733"/>
      <c r="JQG646" s="731"/>
      <c r="JQH646" s="732"/>
      <c r="JQI646" s="731"/>
      <c r="JQJ646" s="733"/>
      <c r="JQK646" s="731"/>
      <c r="JQL646" s="732"/>
      <c r="JQM646" s="731"/>
      <c r="JQN646" s="733"/>
      <c r="JQO646" s="731"/>
      <c r="JQP646" s="732"/>
      <c r="JQQ646" s="731"/>
      <c r="JQR646" s="733"/>
      <c r="JQS646" s="731"/>
      <c r="JQT646" s="732"/>
      <c r="JQU646" s="731"/>
      <c r="JQV646" s="733"/>
      <c r="JQW646" s="731"/>
      <c r="JQX646" s="732"/>
      <c r="JQY646" s="731"/>
      <c r="JQZ646" s="733"/>
      <c r="JRA646" s="731"/>
      <c r="JRB646" s="732"/>
      <c r="JRC646" s="731"/>
      <c r="JRD646" s="733"/>
      <c r="JRE646" s="731"/>
      <c r="JRF646" s="732"/>
      <c r="JRG646" s="731"/>
      <c r="JRH646" s="733"/>
      <c r="JRI646" s="731"/>
      <c r="JRJ646" s="732"/>
      <c r="JRK646" s="731"/>
      <c r="JRL646" s="733"/>
      <c r="JRM646" s="731"/>
      <c r="JRN646" s="732"/>
      <c r="JRO646" s="731"/>
      <c r="JRP646" s="733"/>
      <c r="JRQ646" s="731"/>
      <c r="JRR646" s="732"/>
      <c r="JRS646" s="731"/>
      <c r="JRT646" s="733"/>
      <c r="JRU646" s="731"/>
      <c r="JRV646" s="732"/>
      <c r="JRW646" s="731"/>
      <c r="JRX646" s="733"/>
      <c r="JRY646" s="731"/>
      <c r="JRZ646" s="732"/>
      <c r="JSA646" s="731"/>
      <c r="JSB646" s="733"/>
      <c r="JSC646" s="731"/>
      <c r="JSD646" s="732"/>
      <c r="JSE646" s="731"/>
      <c r="JSF646" s="733"/>
      <c r="JSG646" s="731"/>
      <c r="JSH646" s="732"/>
      <c r="JSI646" s="731"/>
      <c r="JSJ646" s="733"/>
      <c r="JSK646" s="731"/>
      <c r="JSL646" s="732"/>
      <c r="JSM646" s="731"/>
      <c r="JSN646" s="733"/>
      <c r="JSO646" s="731"/>
      <c r="JSP646" s="732"/>
      <c r="JSQ646" s="731"/>
      <c r="JSR646" s="733"/>
      <c r="JSS646" s="731"/>
      <c r="JST646" s="732"/>
      <c r="JSU646" s="731"/>
      <c r="JSV646" s="733"/>
      <c r="JSW646" s="731"/>
      <c r="JSX646" s="732"/>
      <c r="JSY646" s="731"/>
      <c r="JSZ646" s="733"/>
      <c r="JTA646" s="731"/>
      <c r="JTB646" s="732"/>
      <c r="JTC646" s="731"/>
      <c r="JTD646" s="733"/>
      <c r="JTE646" s="731"/>
      <c r="JTF646" s="732"/>
      <c r="JTG646" s="731"/>
      <c r="JTH646" s="733"/>
      <c r="JTI646" s="731"/>
      <c r="JTJ646" s="732"/>
      <c r="JTK646" s="731"/>
      <c r="JTL646" s="733"/>
      <c r="JTM646" s="731"/>
      <c r="JTN646" s="732"/>
      <c r="JTO646" s="731"/>
      <c r="JTP646" s="733"/>
      <c r="JTQ646" s="731"/>
      <c r="JTR646" s="732"/>
      <c r="JTS646" s="731"/>
      <c r="JTT646" s="733"/>
      <c r="JTU646" s="731"/>
      <c r="JTV646" s="732"/>
      <c r="JTW646" s="731"/>
      <c r="JTX646" s="733"/>
      <c r="JTY646" s="731"/>
      <c r="JTZ646" s="732"/>
      <c r="JUA646" s="731"/>
      <c r="JUB646" s="733"/>
      <c r="JUC646" s="731"/>
      <c r="JUD646" s="732"/>
      <c r="JUE646" s="731"/>
      <c r="JUF646" s="733"/>
      <c r="JUG646" s="731"/>
      <c r="JUH646" s="732"/>
      <c r="JUI646" s="731"/>
      <c r="JUJ646" s="733"/>
      <c r="JUK646" s="731"/>
      <c r="JUL646" s="732"/>
      <c r="JUM646" s="731"/>
      <c r="JUN646" s="733"/>
      <c r="JUO646" s="731"/>
      <c r="JUP646" s="732"/>
      <c r="JUQ646" s="731"/>
      <c r="JUR646" s="733"/>
      <c r="JUS646" s="731"/>
      <c r="JUT646" s="732"/>
      <c r="JUU646" s="731"/>
      <c r="JUV646" s="733"/>
      <c r="JUW646" s="731"/>
      <c r="JUX646" s="732"/>
      <c r="JUY646" s="731"/>
      <c r="JUZ646" s="733"/>
      <c r="JVA646" s="731"/>
      <c r="JVB646" s="732"/>
      <c r="JVC646" s="731"/>
      <c r="JVD646" s="733"/>
      <c r="JVE646" s="731"/>
      <c r="JVF646" s="732"/>
      <c r="JVG646" s="731"/>
      <c r="JVH646" s="733"/>
      <c r="JVI646" s="731"/>
      <c r="JVJ646" s="732"/>
      <c r="JVK646" s="731"/>
      <c r="JVL646" s="733"/>
      <c r="JVM646" s="731"/>
      <c r="JVN646" s="732"/>
      <c r="JVO646" s="731"/>
      <c r="JVP646" s="733"/>
      <c r="JVQ646" s="731"/>
      <c r="JVR646" s="732"/>
      <c r="JVS646" s="731"/>
      <c r="JVT646" s="733"/>
      <c r="JVU646" s="731"/>
      <c r="JVV646" s="732"/>
      <c r="JVW646" s="731"/>
      <c r="JVX646" s="733"/>
      <c r="JVY646" s="731"/>
      <c r="JVZ646" s="732"/>
      <c r="JWA646" s="731"/>
      <c r="JWB646" s="733"/>
      <c r="JWC646" s="731"/>
      <c r="JWD646" s="732"/>
      <c r="JWE646" s="731"/>
      <c r="JWF646" s="733"/>
      <c r="JWG646" s="731"/>
      <c r="JWH646" s="732"/>
      <c r="JWI646" s="731"/>
      <c r="JWJ646" s="733"/>
      <c r="JWK646" s="731"/>
      <c r="JWL646" s="732"/>
      <c r="JWM646" s="731"/>
      <c r="JWN646" s="733"/>
      <c r="JWO646" s="731"/>
      <c r="JWP646" s="732"/>
      <c r="JWQ646" s="731"/>
      <c r="JWR646" s="733"/>
      <c r="JWS646" s="731"/>
      <c r="JWT646" s="732"/>
      <c r="JWU646" s="731"/>
      <c r="JWV646" s="733"/>
      <c r="JWW646" s="731"/>
      <c r="JWX646" s="732"/>
      <c r="JWY646" s="731"/>
      <c r="JWZ646" s="733"/>
      <c r="JXA646" s="731"/>
      <c r="JXB646" s="732"/>
      <c r="JXC646" s="731"/>
      <c r="JXD646" s="733"/>
      <c r="JXE646" s="731"/>
      <c r="JXF646" s="732"/>
      <c r="JXG646" s="731"/>
      <c r="JXH646" s="733"/>
      <c r="JXI646" s="731"/>
      <c r="JXJ646" s="732"/>
      <c r="JXK646" s="731"/>
      <c r="JXL646" s="733"/>
      <c r="JXM646" s="731"/>
      <c r="JXN646" s="732"/>
      <c r="JXO646" s="731"/>
      <c r="JXP646" s="733"/>
      <c r="JXQ646" s="731"/>
      <c r="JXR646" s="732"/>
      <c r="JXS646" s="731"/>
      <c r="JXT646" s="733"/>
      <c r="JXU646" s="731"/>
      <c r="JXV646" s="732"/>
      <c r="JXW646" s="731"/>
      <c r="JXX646" s="733"/>
      <c r="JXY646" s="731"/>
      <c r="JXZ646" s="732"/>
      <c r="JYA646" s="731"/>
      <c r="JYB646" s="733"/>
      <c r="JYC646" s="731"/>
      <c r="JYD646" s="732"/>
      <c r="JYE646" s="731"/>
      <c r="JYF646" s="733"/>
      <c r="JYG646" s="731"/>
      <c r="JYH646" s="732"/>
      <c r="JYI646" s="731"/>
      <c r="JYJ646" s="733"/>
      <c r="JYK646" s="731"/>
      <c r="JYL646" s="732"/>
      <c r="JYM646" s="731"/>
      <c r="JYN646" s="733"/>
      <c r="JYO646" s="731"/>
      <c r="JYP646" s="732"/>
      <c r="JYQ646" s="731"/>
      <c r="JYR646" s="733"/>
      <c r="JYS646" s="731"/>
      <c r="JYT646" s="732"/>
      <c r="JYU646" s="731"/>
      <c r="JYV646" s="733"/>
      <c r="JYW646" s="731"/>
      <c r="JYX646" s="732"/>
      <c r="JYY646" s="731"/>
      <c r="JYZ646" s="733"/>
      <c r="JZA646" s="731"/>
      <c r="JZB646" s="732"/>
      <c r="JZC646" s="731"/>
      <c r="JZD646" s="733"/>
      <c r="JZE646" s="731"/>
      <c r="JZF646" s="732"/>
      <c r="JZG646" s="731"/>
      <c r="JZH646" s="733"/>
      <c r="JZI646" s="731"/>
      <c r="JZJ646" s="732"/>
      <c r="JZK646" s="731"/>
      <c r="JZL646" s="733"/>
      <c r="JZM646" s="731"/>
      <c r="JZN646" s="732"/>
      <c r="JZO646" s="731"/>
      <c r="JZP646" s="733"/>
      <c r="JZQ646" s="731"/>
      <c r="JZR646" s="732"/>
      <c r="JZS646" s="731"/>
      <c r="JZT646" s="733"/>
      <c r="JZU646" s="731"/>
      <c r="JZV646" s="732"/>
      <c r="JZW646" s="731"/>
      <c r="JZX646" s="733"/>
      <c r="JZY646" s="731"/>
      <c r="JZZ646" s="732"/>
      <c r="KAA646" s="731"/>
      <c r="KAB646" s="733"/>
      <c r="KAC646" s="731"/>
      <c r="KAD646" s="732"/>
      <c r="KAE646" s="731"/>
      <c r="KAF646" s="733"/>
      <c r="KAG646" s="731"/>
      <c r="KAH646" s="732"/>
      <c r="KAI646" s="731"/>
      <c r="KAJ646" s="733"/>
      <c r="KAK646" s="731"/>
      <c r="KAL646" s="732"/>
      <c r="KAM646" s="731"/>
      <c r="KAN646" s="733"/>
      <c r="KAO646" s="731"/>
      <c r="KAP646" s="732"/>
      <c r="KAQ646" s="731"/>
      <c r="KAR646" s="733"/>
      <c r="KAS646" s="731"/>
      <c r="KAT646" s="732"/>
      <c r="KAU646" s="731"/>
      <c r="KAV646" s="733"/>
      <c r="KAW646" s="731"/>
      <c r="KAX646" s="732"/>
      <c r="KAY646" s="731"/>
      <c r="KAZ646" s="733"/>
      <c r="KBA646" s="731"/>
      <c r="KBB646" s="732"/>
      <c r="KBC646" s="731"/>
      <c r="KBD646" s="733"/>
      <c r="KBE646" s="731"/>
      <c r="KBF646" s="732"/>
      <c r="KBG646" s="731"/>
      <c r="KBH646" s="733"/>
      <c r="KBI646" s="731"/>
      <c r="KBJ646" s="732"/>
      <c r="KBK646" s="731"/>
      <c r="KBL646" s="733"/>
      <c r="KBM646" s="731"/>
      <c r="KBN646" s="732"/>
      <c r="KBO646" s="731"/>
      <c r="KBP646" s="733"/>
      <c r="KBQ646" s="731"/>
      <c r="KBR646" s="732"/>
      <c r="KBS646" s="731"/>
      <c r="KBT646" s="733"/>
      <c r="KBU646" s="731"/>
      <c r="KBV646" s="732"/>
      <c r="KBW646" s="731"/>
      <c r="KBX646" s="733"/>
      <c r="KBY646" s="731"/>
      <c r="KBZ646" s="732"/>
      <c r="KCA646" s="731"/>
      <c r="KCB646" s="733"/>
      <c r="KCC646" s="731"/>
      <c r="KCD646" s="732"/>
      <c r="KCE646" s="731"/>
      <c r="KCF646" s="733"/>
      <c r="KCG646" s="731"/>
      <c r="KCH646" s="732"/>
      <c r="KCI646" s="731"/>
      <c r="KCJ646" s="733"/>
      <c r="KCK646" s="731"/>
      <c r="KCL646" s="732"/>
      <c r="KCM646" s="731"/>
      <c r="KCN646" s="733"/>
      <c r="KCO646" s="731"/>
      <c r="KCP646" s="732"/>
      <c r="KCQ646" s="731"/>
      <c r="KCR646" s="733"/>
      <c r="KCS646" s="731"/>
      <c r="KCT646" s="732"/>
      <c r="KCU646" s="731"/>
      <c r="KCV646" s="733"/>
      <c r="KCW646" s="731"/>
      <c r="KCX646" s="732"/>
      <c r="KCY646" s="731"/>
      <c r="KCZ646" s="733"/>
      <c r="KDA646" s="731"/>
      <c r="KDB646" s="732"/>
      <c r="KDC646" s="731"/>
      <c r="KDD646" s="733"/>
      <c r="KDE646" s="731"/>
      <c r="KDF646" s="732"/>
      <c r="KDG646" s="731"/>
      <c r="KDH646" s="733"/>
      <c r="KDI646" s="731"/>
      <c r="KDJ646" s="732"/>
      <c r="KDK646" s="731"/>
      <c r="KDL646" s="733"/>
      <c r="KDM646" s="731"/>
      <c r="KDN646" s="732"/>
      <c r="KDO646" s="731"/>
      <c r="KDP646" s="733"/>
      <c r="KDQ646" s="731"/>
      <c r="KDR646" s="732"/>
      <c r="KDS646" s="731"/>
      <c r="KDT646" s="733"/>
      <c r="KDU646" s="731"/>
      <c r="KDV646" s="732"/>
      <c r="KDW646" s="731"/>
      <c r="KDX646" s="733"/>
      <c r="KDY646" s="731"/>
      <c r="KDZ646" s="732"/>
      <c r="KEA646" s="731"/>
      <c r="KEB646" s="733"/>
      <c r="KEC646" s="731"/>
      <c r="KED646" s="732"/>
      <c r="KEE646" s="731"/>
      <c r="KEF646" s="733"/>
      <c r="KEG646" s="731"/>
      <c r="KEH646" s="732"/>
      <c r="KEI646" s="731"/>
      <c r="KEJ646" s="733"/>
      <c r="KEK646" s="731"/>
      <c r="KEL646" s="732"/>
      <c r="KEM646" s="731"/>
      <c r="KEN646" s="733"/>
      <c r="KEO646" s="731"/>
      <c r="KEP646" s="732"/>
      <c r="KEQ646" s="731"/>
      <c r="KER646" s="733"/>
      <c r="KES646" s="731"/>
      <c r="KET646" s="732"/>
      <c r="KEU646" s="731"/>
      <c r="KEV646" s="733"/>
      <c r="KEW646" s="731"/>
      <c r="KEX646" s="732"/>
      <c r="KEY646" s="731"/>
      <c r="KEZ646" s="733"/>
      <c r="KFA646" s="731"/>
      <c r="KFB646" s="732"/>
      <c r="KFC646" s="731"/>
      <c r="KFD646" s="733"/>
      <c r="KFE646" s="731"/>
      <c r="KFF646" s="732"/>
      <c r="KFG646" s="731"/>
      <c r="KFH646" s="733"/>
      <c r="KFI646" s="731"/>
      <c r="KFJ646" s="732"/>
      <c r="KFK646" s="731"/>
      <c r="KFL646" s="733"/>
      <c r="KFM646" s="731"/>
      <c r="KFN646" s="732"/>
      <c r="KFO646" s="731"/>
      <c r="KFP646" s="733"/>
      <c r="KFQ646" s="731"/>
      <c r="KFR646" s="732"/>
      <c r="KFS646" s="731"/>
      <c r="KFT646" s="733"/>
      <c r="KFU646" s="731"/>
      <c r="KFV646" s="732"/>
      <c r="KFW646" s="731"/>
      <c r="KFX646" s="733"/>
      <c r="KFY646" s="731"/>
      <c r="KFZ646" s="732"/>
      <c r="KGA646" s="731"/>
      <c r="KGB646" s="733"/>
      <c r="KGC646" s="731"/>
      <c r="KGD646" s="732"/>
      <c r="KGE646" s="731"/>
      <c r="KGF646" s="733"/>
      <c r="KGG646" s="731"/>
      <c r="KGH646" s="732"/>
      <c r="KGI646" s="731"/>
      <c r="KGJ646" s="733"/>
      <c r="KGK646" s="731"/>
      <c r="KGL646" s="732"/>
      <c r="KGM646" s="731"/>
      <c r="KGN646" s="733"/>
      <c r="KGO646" s="731"/>
      <c r="KGP646" s="732"/>
      <c r="KGQ646" s="731"/>
      <c r="KGR646" s="733"/>
      <c r="KGS646" s="731"/>
      <c r="KGT646" s="732"/>
      <c r="KGU646" s="731"/>
      <c r="KGV646" s="733"/>
      <c r="KGW646" s="731"/>
      <c r="KGX646" s="732"/>
      <c r="KGY646" s="731"/>
      <c r="KGZ646" s="733"/>
      <c r="KHA646" s="731"/>
      <c r="KHB646" s="732"/>
      <c r="KHC646" s="731"/>
      <c r="KHD646" s="733"/>
      <c r="KHE646" s="731"/>
      <c r="KHF646" s="732"/>
      <c r="KHG646" s="731"/>
      <c r="KHH646" s="733"/>
      <c r="KHI646" s="731"/>
      <c r="KHJ646" s="732"/>
      <c r="KHK646" s="731"/>
      <c r="KHL646" s="733"/>
      <c r="KHM646" s="731"/>
      <c r="KHN646" s="732"/>
      <c r="KHO646" s="731"/>
      <c r="KHP646" s="733"/>
      <c r="KHQ646" s="731"/>
      <c r="KHR646" s="732"/>
      <c r="KHS646" s="731"/>
      <c r="KHT646" s="733"/>
      <c r="KHU646" s="731"/>
      <c r="KHV646" s="732"/>
      <c r="KHW646" s="731"/>
      <c r="KHX646" s="733"/>
      <c r="KHY646" s="731"/>
      <c r="KHZ646" s="732"/>
      <c r="KIA646" s="731"/>
      <c r="KIB646" s="733"/>
      <c r="KIC646" s="731"/>
      <c r="KID646" s="732"/>
      <c r="KIE646" s="731"/>
      <c r="KIF646" s="733"/>
      <c r="KIG646" s="731"/>
      <c r="KIH646" s="732"/>
      <c r="KII646" s="731"/>
      <c r="KIJ646" s="733"/>
      <c r="KIK646" s="731"/>
      <c r="KIL646" s="732"/>
      <c r="KIM646" s="731"/>
      <c r="KIN646" s="733"/>
      <c r="KIO646" s="731"/>
      <c r="KIP646" s="732"/>
      <c r="KIQ646" s="731"/>
      <c r="KIR646" s="733"/>
      <c r="KIS646" s="731"/>
      <c r="KIT646" s="732"/>
      <c r="KIU646" s="731"/>
      <c r="KIV646" s="733"/>
      <c r="KIW646" s="731"/>
      <c r="KIX646" s="732"/>
      <c r="KIY646" s="731"/>
      <c r="KIZ646" s="733"/>
      <c r="KJA646" s="731"/>
      <c r="KJB646" s="732"/>
      <c r="KJC646" s="731"/>
      <c r="KJD646" s="733"/>
      <c r="KJE646" s="731"/>
      <c r="KJF646" s="732"/>
      <c r="KJG646" s="731"/>
      <c r="KJH646" s="733"/>
      <c r="KJI646" s="731"/>
      <c r="KJJ646" s="732"/>
      <c r="KJK646" s="731"/>
      <c r="KJL646" s="733"/>
      <c r="KJM646" s="731"/>
      <c r="KJN646" s="732"/>
      <c r="KJO646" s="731"/>
      <c r="KJP646" s="733"/>
      <c r="KJQ646" s="731"/>
      <c r="KJR646" s="732"/>
      <c r="KJS646" s="731"/>
      <c r="KJT646" s="733"/>
      <c r="KJU646" s="731"/>
      <c r="KJV646" s="732"/>
      <c r="KJW646" s="731"/>
      <c r="KJX646" s="733"/>
      <c r="KJY646" s="731"/>
      <c r="KJZ646" s="732"/>
      <c r="KKA646" s="731"/>
      <c r="KKB646" s="733"/>
      <c r="KKC646" s="731"/>
      <c r="KKD646" s="732"/>
      <c r="KKE646" s="731"/>
      <c r="KKF646" s="733"/>
      <c r="KKG646" s="731"/>
      <c r="KKH646" s="732"/>
      <c r="KKI646" s="731"/>
      <c r="KKJ646" s="733"/>
      <c r="KKK646" s="731"/>
      <c r="KKL646" s="732"/>
      <c r="KKM646" s="731"/>
      <c r="KKN646" s="733"/>
      <c r="KKO646" s="731"/>
      <c r="KKP646" s="732"/>
      <c r="KKQ646" s="731"/>
      <c r="KKR646" s="733"/>
      <c r="KKS646" s="731"/>
      <c r="KKT646" s="732"/>
      <c r="KKU646" s="731"/>
      <c r="KKV646" s="733"/>
      <c r="KKW646" s="731"/>
      <c r="KKX646" s="732"/>
      <c r="KKY646" s="731"/>
      <c r="KKZ646" s="733"/>
      <c r="KLA646" s="731"/>
      <c r="KLB646" s="732"/>
      <c r="KLC646" s="731"/>
      <c r="KLD646" s="733"/>
      <c r="KLE646" s="731"/>
      <c r="KLF646" s="732"/>
      <c r="KLG646" s="731"/>
      <c r="KLH646" s="733"/>
      <c r="KLI646" s="731"/>
      <c r="KLJ646" s="732"/>
      <c r="KLK646" s="731"/>
      <c r="KLL646" s="733"/>
      <c r="KLM646" s="731"/>
      <c r="KLN646" s="732"/>
      <c r="KLO646" s="731"/>
      <c r="KLP646" s="733"/>
      <c r="KLQ646" s="731"/>
      <c r="KLR646" s="732"/>
      <c r="KLS646" s="731"/>
      <c r="KLT646" s="733"/>
      <c r="KLU646" s="731"/>
      <c r="KLV646" s="732"/>
      <c r="KLW646" s="731"/>
      <c r="KLX646" s="733"/>
      <c r="KLY646" s="731"/>
      <c r="KLZ646" s="732"/>
      <c r="KMA646" s="731"/>
      <c r="KMB646" s="733"/>
      <c r="KMC646" s="731"/>
      <c r="KMD646" s="732"/>
      <c r="KME646" s="731"/>
      <c r="KMF646" s="733"/>
      <c r="KMG646" s="731"/>
      <c r="KMH646" s="732"/>
      <c r="KMI646" s="731"/>
      <c r="KMJ646" s="733"/>
      <c r="KMK646" s="731"/>
      <c r="KML646" s="732"/>
      <c r="KMM646" s="731"/>
      <c r="KMN646" s="733"/>
      <c r="KMO646" s="731"/>
      <c r="KMP646" s="732"/>
      <c r="KMQ646" s="731"/>
      <c r="KMR646" s="733"/>
      <c r="KMS646" s="731"/>
      <c r="KMT646" s="732"/>
      <c r="KMU646" s="731"/>
      <c r="KMV646" s="733"/>
      <c r="KMW646" s="731"/>
      <c r="KMX646" s="732"/>
      <c r="KMY646" s="731"/>
      <c r="KMZ646" s="733"/>
      <c r="KNA646" s="731"/>
      <c r="KNB646" s="732"/>
      <c r="KNC646" s="731"/>
      <c r="KND646" s="733"/>
      <c r="KNE646" s="731"/>
      <c r="KNF646" s="732"/>
      <c r="KNG646" s="731"/>
      <c r="KNH646" s="733"/>
      <c r="KNI646" s="731"/>
      <c r="KNJ646" s="732"/>
      <c r="KNK646" s="731"/>
      <c r="KNL646" s="733"/>
      <c r="KNM646" s="731"/>
      <c r="KNN646" s="732"/>
      <c r="KNO646" s="731"/>
      <c r="KNP646" s="733"/>
      <c r="KNQ646" s="731"/>
      <c r="KNR646" s="732"/>
      <c r="KNS646" s="731"/>
      <c r="KNT646" s="733"/>
      <c r="KNU646" s="731"/>
      <c r="KNV646" s="732"/>
      <c r="KNW646" s="731"/>
      <c r="KNX646" s="733"/>
      <c r="KNY646" s="731"/>
      <c r="KNZ646" s="732"/>
      <c r="KOA646" s="731"/>
      <c r="KOB646" s="733"/>
      <c r="KOC646" s="731"/>
      <c r="KOD646" s="732"/>
      <c r="KOE646" s="731"/>
      <c r="KOF646" s="733"/>
      <c r="KOG646" s="731"/>
      <c r="KOH646" s="732"/>
      <c r="KOI646" s="731"/>
      <c r="KOJ646" s="733"/>
      <c r="KOK646" s="731"/>
      <c r="KOL646" s="732"/>
      <c r="KOM646" s="731"/>
      <c r="KON646" s="733"/>
      <c r="KOO646" s="731"/>
      <c r="KOP646" s="732"/>
      <c r="KOQ646" s="731"/>
      <c r="KOR646" s="733"/>
      <c r="KOS646" s="731"/>
      <c r="KOT646" s="732"/>
      <c r="KOU646" s="731"/>
      <c r="KOV646" s="733"/>
      <c r="KOW646" s="731"/>
      <c r="KOX646" s="732"/>
      <c r="KOY646" s="731"/>
      <c r="KOZ646" s="733"/>
      <c r="KPA646" s="731"/>
      <c r="KPB646" s="732"/>
      <c r="KPC646" s="731"/>
      <c r="KPD646" s="733"/>
      <c r="KPE646" s="731"/>
      <c r="KPF646" s="732"/>
      <c r="KPG646" s="731"/>
      <c r="KPH646" s="733"/>
      <c r="KPI646" s="731"/>
      <c r="KPJ646" s="732"/>
      <c r="KPK646" s="731"/>
      <c r="KPL646" s="733"/>
      <c r="KPM646" s="731"/>
      <c r="KPN646" s="732"/>
      <c r="KPO646" s="731"/>
      <c r="KPP646" s="733"/>
      <c r="KPQ646" s="731"/>
      <c r="KPR646" s="732"/>
      <c r="KPS646" s="731"/>
      <c r="KPT646" s="733"/>
      <c r="KPU646" s="731"/>
      <c r="KPV646" s="732"/>
      <c r="KPW646" s="731"/>
      <c r="KPX646" s="733"/>
      <c r="KPY646" s="731"/>
      <c r="KPZ646" s="732"/>
      <c r="KQA646" s="731"/>
      <c r="KQB646" s="733"/>
      <c r="KQC646" s="731"/>
      <c r="KQD646" s="732"/>
      <c r="KQE646" s="731"/>
      <c r="KQF646" s="733"/>
      <c r="KQG646" s="731"/>
      <c r="KQH646" s="732"/>
      <c r="KQI646" s="731"/>
      <c r="KQJ646" s="733"/>
      <c r="KQK646" s="731"/>
      <c r="KQL646" s="732"/>
      <c r="KQM646" s="731"/>
      <c r="KQN646" s="733"/>
      <c r="KQO646" s="731"/>
      <c r="KQP646" s="732"/>
      <c r="KQQ646" s="731"/>
      <c r="KQR646" s="733"/>
      <c r="KQS646" s="731"/>
      <c r="KQT646" s="732"/>
      <c r="KQU646" s="731"/>
      <c r="KQV646" s="733"/>
      <c r="KQW646" s="731"/>
      <c r="KQX646" s="732"/>
      <c r="KQY646" s="731"/>
      <c r="KQZ646" s="733"/>
      <c r="KRA646" s="731"/>
      <c r="KRB646" s="732"/>
      <c r="KRC646" s="731"/>
      <c r="KRD646" s="733"/>
      <c r="KRE646" s="731"/>
      <c r="KRF646" s="732"/>
      <c r="KRG646" s="731"/>
      <c r="KRH646" s="733"/>
      <c r="KRI646" s="731"/>
      <c r="KRJ646" s="732"/>
      <c r="KRK646" s="731"/>
      <c r="KRL646" s="733"/>
      <c r="KRM646" s="731"/>
      <c r="KRN646" s="732"/>
      <c r="KRO646" s="731"/>
      <c r="KRP646" s="733"/>
      <c r="KRQ646" s="731"/>
      <c r="KRR646" s="732"/>
      <c r="KRS646" s="731"/>
      <c r="KRT646" s="733"/>
      <c r="KRU646" s="731"/>
      <c r="KRV646" s="732"/>
      <c r="KRW646" s="731"/>
      <c r="KRX646" s="733"/>
      <c r="KRY646" s="731"/>
      <c r="KRZ646" s="732"/>
      <c r="KSA646" s="731"/>
      <c r="KSB646" s="733"/>
      <c r="KSC646" s="731"/>
      <c r="KSD646" s="732"/>
      <c r="KSE646" s="731"/>
      <c r="KSF646" s="733"/>
      <c r="KSG646" s="731"/>
      <c r="KSH646" s="732"/>
      <c r="KSI646" s="731"/>
      <c r="KSJ646" s="733"/>
      <c r="KSK646" s="731"/>
      <c r="KSL646" s="732"/>
      <c r="KSM646" s="731"/>
      <c r="KSN646" s="733"/>
      <c r="KSO646" s="731"/>
      <c r="KSP646" s="732"/>
      <c r="KSQ646" s="731"/>
      <c r="KSR646" s="733"/>
      <c r="KSS646" s="731"/>
      <c r="KST646" s="732"/>
      <c r="KSU646" s="731"/>
      <c r="KSV646" s="733"/>
      <c r="KSW646" s="731"/>
      <c r="KSX646" s="732"/>
      <c r="KSY646" s="731"/>
      <c r="KSZ646" s="733"/>
      <c r="KTA646" s="731"/>
      <c r="KTB646" s="732"/>
      <c r="KTC646" s="731"/>
      <c r="KTD646" s="733"/>
      <c r="KTE646" s="731"/>
      <c r="KTF646" s="732"/>
      <c r="KTG646" s="731"/>
      <c r="KTH646" s="733"/>
      <c r="KTI646" s="731"/>
      <c r="KTJ646" s="732"/>
      <c r="KTK646" s="731"/>
      <c r="KTL646" s="733"/>
      <c r="KTM646" s="731"/>
      <c r="KTN646" s="732"/>
      <c r="KTO646" s="731"/>
      <c r="KTP646" s="733"/>
      <c r="KTQ646" s="731"/>
      <c r="KTR646" s="732"/>
      <c r="KTS646" s="731"/>
      <c r="KTT646" s="733"/>
      <c r="KTU646" s="731"/>
      <c r="KTV646" s="732"/>
      <c r="KTW646" s="731"/>
      <c r="KTX646" s="733"/>
      <c r="KTY646" s="731"/>
      <c r="KTZ646" s="732"/>
      <c r="KUA646" s="731"/>
      <c r="KUB646" s="733"/>
      <c r="KUC646" s="731"/>
      <c r="KUD646" s="732"/>
      <c r="KUE646" s="731"/>
      <c r="KUF646" s="733"/>
      <c r="KUG646" s="731"/>
      <c r="KUH646" s="732"/>
      <c r="KUI646" s="731"/>
      <c r="KUJ646" s="733"/>
      <c r="KUK646" s="731"/>
      <c r="KUL646" s="732"/>
      <c r="KUM646" s="731"/>
      <c r="KUN646" s="733"/>
      <c r="KUO646" s="731"/>
      <c r="KUP646" s="732"/>
      <c r="KUQ646" s="731"/>
      <c r="KUR646" s="733"/>
      <c r="KUS646" s="731"/>
      <c r="KUT646" s="732"/>
      <c r="KUU646" s="731"/>
      <c r="KUV646" s="733"/>
      <c r="KUW646" s="731"/>
      <c r="KUX646" s="732"/>
      <c r="KUY646" s="731"/>
      <c r="KUZ646" s="733"/>
      <c r="KVA646" s="731"/>
      <c r="KVB646" s="732"/>
      <c r="KVC646" s="731"/>
      <c r="KVD646" s="733"/>
      <c r="KVE646" s="731"/>
      <c r="KVF646" s="732"/>
      <c r="KVG646" s="731"/>
      <c r="KVH646" s="733"/>
      <c r="KVI646" s="731"/>
      <c r="KVJ646" s="732"/>
      <c r="KVK646" s="731"/>
      <c r="KVL646" s="733"/>
      <c r="KVM646" s="731"/>
      <c r="KVN646" s="732"/>
      <c r="KVO646" s="731"/>
      <c r="KVP646" s="733"/>
      <c r="KVQ646" s="731"/>
      <c r="KVR646" s="732"/>
      <c r="KVS646" s="731"/>
      <c r="KVT646" s="733"/>
      <c r="KVU646" s="731"/>
      <c r="KVV646" s="732"/>
      <c r="KVW646" s="731"/>
      <c r="KVX646" s="733"/>
      <c r="KVY646" s="731"/>
      <c r="KVZ646" s="732"/>
      <c r="KWA646" s="731"/>
      <c r="KWB646" s="733"/>
      <c r="KWC646" s="731"/>
      <c r="KWD646" s="732"/>
      <c r="KWE646" s="731"/>
      <c r="KWF646" s="733"/>
      <c r="KWG646" s="731"/>
      <c r="KWH646" s="732"/>
      <c r="KWI646" s="731"/>
      <c r="KWJ646" s="733"/>
      <c r="KWK646" s="731"/>
      <c r="KWL646" s="732"/>
      <c r="KWM646" s="731"/>
      <c r="KWN646" s="733"/>
      <c r="KWO646" s="731"/>
      <c r="KWP646" s="732"/>
      <c r="KWQ646" s="731"/>
      <c r="KWR646" s="733"/>
      <c r="KWS646" s="731"/>
      <c r="KWT646" s="732"/>
      <c r="KWU646" s="731"/>
      <c r="KWV646" s="733"/>
      <c r="KWW646" s="731"/>
      <c r="KWX646" s="732"/>
      <c r="KWY646" s="731"/>
      <c r="KWZ646" s="733"/>
      <c r="KXA646" s="731"/>
      <c r="KXB646" s="732"/>
      <c r="KXC646" s="731"/>
      <c r="KXD646" s="733"/>
      <c r="KXE646" s="731"/>
      <c r="KXF646" s="732"/>
      <c r="KXG646" s="731"/>
      <c r="KXH646" s="733"/>
      <c r="KXI646" s="731"/>
      <c r="KXJ646" s="732"/>
      <c r="KXK646" s="731"/>
      <c r="KXL646" s="733"/>
      <c r="KXM646" s="731"/>
      <c r="KXN646" s="732"/>
      <c r="KXO646" s="731"/>
      <c r="KXP646" s="733"/>
      <c r="KXQ646" s="731"/>
      <c r="KXR646" s="732"/>
      <c r="KXS646" s="731"/>
      <c r="KXT646" s="733"/>
      <c r="KXU646" s="731"/>
      <c r="KXV646" s="732"/>
      <c r="KXW646" s="731"/>
      <c r="KXX646" s="733"/>
      <c r="KXY646" s="731"/>
      <c r="KXZ646" s="732"/>
      <c r="KYA646" s="731"/>
      <c r="KYB646" s="733"/>
      <c r="KYC646" s="731"/>
      <c r="KYD646" s="732"/>
      <c r="KYE646" s="731"/>
      <c r="KYF646" s="733"/>
      <c r="KYG646" s="731"/>
      <c r="KYH646" s="732"/>
      <c r="KYI646" s="731"/>
      <c r="KYJ646" s="733"/>
      <c r="KYK646" s="731"/>
      <c r="KYL646" s="732"/>
      <c r="KYM646" s="731"/>
      <c r="KYN646" s="733"/>
      <c r="KYO646" s="731"/>
      <c r="KYP646" s="732"/>
      <c r="KYQ646" s="731"/>
      <c r="KYR646" s="733"/>
      <c r="KYS646" s="731"/>
      <c r="KYT646" s="732"/>
      <c r="KYU646" s="731"/>
      <c r="KYV646" s="733"/>
      <c r="KYW646" s="731"/>
      <c r="KYX646" s="732"/>
      <c r="KYY646" s="731"/>
      <c r="KYZ646" s="733"/>
      <c r="KZA646" s="731"/>
      <c r="KZB646" s="732"/>
      <c r="KZC646" s="731"/>
      <c r="KZD646" s="733"/>
      <c r="KZE646" s="731"/>
      <c r="KZF646" s="732"/>
      <c r="KZG646" s="731"/>
      <c r="KZH646" s="733"/>
      <c r="KZI646" s="731"/>
      <c r="KZJ646" s="732"/>
      <c r="KZK646" s="731"/>
      <c r="KZL646" s="733"/>
      <c r="KZM646" s="731"/>
      <c r="KZN646" s="732"/>
      <c r="KZO646" s="731"/>
      <c r="KZP646" s="733"/>
      <c r="KZQ646" s="731"/>
      <c r="KZR646" s="732"/>
      <c r="KZS646" s="731"/>
      <c r="KZT646" s="733"/>
      <c r="KZU646" s="731"/>
      <c r="KZV646" s="732"/>
      <c r="KZW646" s="731"/>
      <c r="KZX646" s="733"/>
      <c r="KZY646" s="731"/>
      <c r="KZZ646" s="732"/>
      <c r="LAA646" s="731"/>
      <c r="LAB646" s="733"/>
      <c r="LAC646" s="731"/>
      <c r="LAD646" s="732"/>
      <c r="LAE646" s="731"/>
      <c r="LAF646" s="733"/>
      <c r="LAG646" s="731"/>
      <c r="LAH646" s="732"/>
      <c r="LAI646" s="731"/>
      <c r="LAJ646" s="733"/>
      <c r="LAK646" s="731"/>
      <c r="LAL646" s="732"/>
      <c r="LAM646" s="731"/>
      <c r="LAN646" s="733"/>
      <c r="LAO646" s="731"/>
      <c r="LAP646" s="732"/>
      <c r="LAQ646" s="731"/>
      <c r="LAR646" s="733"/>
      <c r="LAS646" s="731"/>
      <c r="LAT646" s="732"/>
      <c r="LAU646" s="731"/>
      <c r="LAV646" s="733"/>
      <c r="LAW646" s="731"/>
      <c r="LAX646" s="732"/>
      <c r="LAY646" s="731"/>
      <c r="LAZ646" s="733"/>
      <c r="LBA646" s="731"/>
      <c r="LBB646" s="732"/>
      <c r="LBC646" s="731"/>
      <c r="LBD646" s="733"/>
      <c r="LBE646" s="731"/>
      <c r="LBF646" s="732"/>
      <c r="LBG646" s="731"/>
      <c r="LBH646" s="733"/>
      <c r="LBI646" s="731"/>
      <c r="LBJ646" s="732"/>
      <c r="LBK646" s="731"/>
      <c r="LBL646" s="733"/>
      <c r="LBM646" s="731"/>
      <c r="LBN646" s="732"/>
      <c r="LBO646" s="731"/>
      <c r="LBP646" s="733"/>
      <c r="LBQ646" s="731"/>
      <c r="LBR646" s="732"/>
      <c r="LBS646" s="731"/>
      <c r="LBT646" s="733"/>
      <c r="LBU646" s="731"/>
      <c r="LBV646" s="732"/>
      <c r="LBW646" s="731"/>
      <c r="LBX646" s="733"/>
      <c r="LBY646" s="731"/>
      <c r="LBZ646" s="732"/>
      <c r="LCA646" s="731"/>
      <c r="LCB646" s="733"/>
      <c r="LCC646" s="731"/>
      <c r="LCD646" s="732"/>
      <c r="LCE646" s="731"/>
      <c r="LCF646" s="733"/>
      <c r="LCG646" s="731"/>
      <c r="LCH646" s="732"/>
      <c r="LCI646" s="731"/>
      <c r="LCJ646" s="733"/>
      <c r="LCK646" s="731"/>
      <c r="LCL646" s="732"/>
      <c r="LCM646" s="731"/>
      <c r="LCN646" s="733"/>
      <c r="LCO646" s="731"/>
      <c r="LCP646" s="732"/>
      <c r="LCQ646" s="731"/>
      <c r="LCR646" s="733"/>
      <c r="LCS646" s="731"/>
      <c r="LCT646" s="732"/>
      <c r="LCU646" s="731"/>
      <c r="LCV646" s="733"/>
      <c r="LCW646" s="731"/>
      <c r="LCX646" s="732"/>
      <c r="LCY646" s="731"/>
      <c r="LCZ646" s="733"/>
      <c r="LDA646" s="731"/>
      <c r="LDB646" s="732"/>
      <c r="LDC646" s="731"/>
      <c r="LDD646" s="733"/>
      <c r="LDE646" s="731"/>
      <c r="LDF646" s="732"/>
      <c r="LDG646" s="731"/>
      <c r="LDH646" s="733"/>
      <c r="LDI646" s="731"/>
      <c r="LDJ646" s="732"/>
      <c r="LDK646" s="731"/>
      <c r="LDL646" s="733"/>
      <c r="LDM646" s="731"/>
      <c r="LDN646" s="732"/>
      <c r="LDO646" s="731"/>
      <c r="LDP646" s="733"/>
      <c r="LDQ646" s="731"/>
      <c r="LDR646" s="732"/>
      <c r="LDS646" s="731"/>
      <c r="LDT646" s="733"/>
      <c r="LDU646" s="731"/>
      <c r="LDV646" s="732"/>
      <c r="LDW646" s="731"/>
      <c r="LDX646" s="733"/>
      <c r="LDY646" s="731"/>
      <c r="LDZ646" s="732"/>
      <c r="LEA646" s="731"/>
      <c r="LEB646" s="733"/>
      <c r="LEC646" s="731"/>
      <c r="LED646" s="732"/>
      <c r="LEE646" s="731"/>
      <c r="LEF646" s="733"/>
      <c r="LEG646" s="731"/>
      <c r="LEH646" s="732"/>
      <c r="LEI646" s="731"/>
      <c r="LEJ646" s="733"/>
      <c r="LEK646" s="731"/>
      <c r="LEL646" s="732"/>
      <c r="LEM646" s="731"/>
      <c r="LEN646" s="733"/>
      <c r="LEO646" s="731"/>
      <c r="LEP646" s="732"/>
      <c r="LEQ646" s="731"/>
      <c r="LER646" s="733"/>
      <c r="LES646" s="731"/>
      <c r="LET646" s="732"/>
      <c r="LEU646" s="731"/>
      <c r="LEV646" s="733"/>
      <c r="LEW646" s="731"/>
      <c r="LEX646" s="732"/>
      <c r="LEY646" s="731"/>
      <c r="LEZ646" s="733"/>
      <c r="LFA646" s="731"/>
      <c r="LFB646" s="732"/>
      <c r="LFC646" s="731"/>
      <c r="LFD646" s="733"/>
      <c r="LFE646" s="731"/>
      <c r="LFF646" s="732"/>
      <c r="LFG646" s="731"/>
      <c r="LFH646" s="733"/>
      <c r="LFI646" s="731"/>
      <c r="LFJ646" s="732"/>
      <c r="LFK646" s="731"/>
      <c r="LFL646" s="733"/>
      <c r="LFM646" s="731"/>
      <c r="LFN646" s="732"/>
      <c r="LFO646" s="731"/>
      <c r="LFP646" s="733"/>
      <c r="LFQ646" s="731"/>
      <c r="LFR646" s="732"/>
      <c r="LFS646" s="731"/>
      <c r="LFT646" s="733"/>
      <c r="LFU646" s="731"/>
      <c r="LFV646" s="732"/>
      <c r="LFW646" s="731"/>
      <c r="LFX646" s="733"/>
      <c r="LFY646" s="731"/>
      <c r="LFZ646" s="732"/>
      <c r="LGA646" s="731"/>
      <c r="LGB646" s="733"/>
      <c r="LGC646" s="731"/>
      <c r="LGD646" s="732"/>
      <c r="LGE646" s="731"/>
      <c r="LGF646" s="733"/>
      <c r="LGG646" s="731"/>
      <c r="LGH646" s="732"/>
      <c r="LGI646" s="731"/>
      <c r="LGJ646" s="733"/>
      <c r="LGK646" s="731"/>
      <c r="LGL646" s="732"/>
      <c r="LGM646" s="731"/>
      <c r="LGN646" s="733"/>
      <c r="LGO646" s="731"/>
      <c r="LGP646" s="732"/>
      <c r="LGQ646" s="731"/>
      <c r="LGR646" s="733"/>
      <c r="LGS646" s="731"/>
      <c r="LGT646" s="732"/>
      <c r="LGU646" s="731"/>
      <c r="LGV646" s="733"/>
      <c r="LGW646" s="731"/>
      <c r="LGX646" s="732"/>
      <c r="LGY646" s="731"/>
      <c r="LGZ646" s="733"/>
      <c r="LHA646" s="731"/>
      <c r="LHB646" s="732"/>
      <c r="LHC646" s="731"/>
      <c r="LHD646" s="733"/>
      <c r="LHE646" s="731"/>
      <c r="LHF646" s="732"/>
      <c r="LHG646" s="731"/>
      <c r="LHH646" s="733"/>
      <c r="LHI646" s="731"/>
      <c r="LHJ646" s="732"/>
      <c r="LHK646" s="731"/>
      <c r="LHL646" s="733"/>
      <c r="LHM646" s="731"/>
      <c r="LHN646" s="732"/>
      <c r="LHO646" s="731"/>
      <c r="LHP646" s="733"/>
      <c r="LHQ646" s="731"/>
      <c r="LHR646" s="732"/>
      <c r="LHS646" s="731"/>
      <c r="LHT646" s="733"/>
      <c r="LHU646" s="731"/>
      <c r="LHV646" s="732"/>
      <c r="LHW646" s="731"/>
      <c r="LHX646" s="733"/>
      <c r="LHY646" s="731"/>
      <c r="LHZ646" s="732"/>
      <c r="LIA646" s="731"/>
      <c r="LIB646" s="733"/>
      <c r="LIC646" s="731"/>
      <c r="LID646" s="732"/>
      <c r="LIE646" s="731"/>
      <c r="LIF646" s="733"/>
      <c r="LIG646" s="731"/>
      <c r="LIH646" s="732"/>
      <c r="LII646" s="731"/>
      <c r="LIJ646" s="733"/>
      <c r="LIK646" s="731"/>
      <c r="LIL646" s="732"/>
      <c r="LIM646" s="731"/>
      <c r="LIN646" s="733"/>
      <c r="LIO646" s="731"/>
      <c r="LIP646" s="732"/>
      <c r="LIQ646" s="731"/>
      <c r="LIR646" s="733"/>
      <c r="LIS646" s="731"/>
      <c r="LIT646" s="732"/>
      <c r="LIU646" s="731"/>
      <c r="LIV646" s="733"/>
      <c r="LIW646" s="731"/>
      <c r="LIX646" s="732"/>
      <c r="LIY646" s="731"/>
      <c r="LIZ646" s="733"/>
      <c r="LJA646" s="731"/>
      <c r="LJB646" s="732"/>
      <c r="LJC646" s="731"/>
      <c r="LJD646" s="733"/>
      <c r="LJE646" s="731"/>
      <c r="LJF646" s="732"/>
      <c r="LJG646" s="731"/>
      <c r="LJH646" s="733"/>
      <c r="LJI646" s="731"/>
      <c r="LJJ646" s="732"/>
      <c r="LJK646" s="731"/>
      <c r="LJL646" s="733"/>
      <c r="LJM646" s="731"/>
      <c r="LJN646" s="732"/>
      <c r="LJO646" s="731"/>
      <c r="LJP646" s="733"/>
      <c r="LJQ646" s="731"/>
      <c r="LJR646" s="732"/>
      <c r="LJS646" s="731"/>
      <c r="LJT646" s="733"/>
      <c r="LJU646" s="731"/>
      <c r="LJV646" s="732"/>
      <c r="LJW646" s="731"/>
      <c r="LJX646" s="733"/>
      <c r="LJY646" s="731"/>
      <c r="LJZ646" s="732"/>
      <c r="LKA646" s="731"/>
      <c r="LKB646" s="733"/>
      <c r="LKC646" s="731"/>
      <c r="LKD646" s="732"/>
      <c r="LKE646" s="731"/>
      <c r="LKF646" s="733"/>
      <c r="LKG646" s="731"/>
      <c r="LKH646" s="732"/>
      <c r="LKI646" s="731"/>
      <c r="LKJ646" s="733"/>
      <c r="LKK646" s="731"/>
      <c r="LKL646" s="732"/>
      <c r="LKM646" s="731"/>
      <c r="LKN646" s="733"/>
      <c r="LKO646" s="731"/>
      <c r="LKP646" s="732"/>
      <c r="LKQ646" s="731"/>
      <c r="LKR646" s="733"/>
      <c r="LKS646" s="731"/>
      <c r="LKT646" s="732"/>
      <c r="LKU646" s="731"/>
      <c r="LKV646" s="733"/>
      <c r="LKW646" s="731"/>
      <c r="LKX646" s="732"/>
      <c r="LKY646" s="731"/>
      <c r="LKZ646" s="733"/>
      <c r="LLA646" s="731"/>
      <c r="LLB646" s="732"/>
      <c r="LLC646" s="731"/>
      <c r="LLD646" s="733"/>
      <c r="LLE646" s="731"/>
      <c r="LLF646" s="732"/>
      <c r="LLG646" s="731"/>
      <c r="LLH646" s="733"/>
      <c r="LLI646" s="731"/>
      <c r="LLJ646" s="732"/>
      <c r="LLK646" s="731"/>
      <c r="LLL646" s="733"/>
      <c r="LLM646" s="731"/>
      <c r="LLN646" s="732"/>
      <c r="LLO646" s="731"/>
      <c r="LLP646" s="733"/>
      <c r="LLQ646" s="731"/>
      <c r="LLR646" s="732"/>
      <c r="LLS646" s="731"/>
      <c r="LLT646" s="733"/>
      <c r="LLU646" s="731"/>
      <c r="LLV646" s="732"/>
      <c r="LLW646" s="731"/>
      <c r="LLX646" s="733"/>
      <c r="LLY646" s="731"/>
      <c r="LLZ646" s="732"/>
      <c r="LMA646" s="731"/>
      <c r="LMB646" s="733"/>
      <c r="LMC646" s="731"/>
      <c r="LMD646" s="732"/>
      <c r="LME646" s="731"/>
      <c r="LMF646" s="733"/>
      <c r="LMG646" s="731"/>
      <c r="LMH646" s="732"/>
      <c r="LMI646" s="731"/>
      <c r="LMJ646" s="733"/>
      <c r="LMK646" s="731"/>
      <c r="LML646" s="732"/>
      <c r="LMM646" s="731"/>
      <c r="LMN646" s="733"/>
      <c r="LMO646" s="731"/>
      <c r="LMP646" s="732"/>
      <c r="LMQ646" s="731"/>
      <c r="LMR646" s="733"/>
      <c r="LMS646" s="731"/>
      <c r="LMT646" s="732"/>
      <c r="LMU646" s="731"/>
      <c r="LMV646" s="733"/>
      <c r="LMW646" s="731"/>
      <c r="LMX646" s="732"/>
      <c r="LMY646" s="731"/>
      <c r="LMZ646" s="733"/>
      <c r="LNA646" s="731"/>
      <c r="LNB646" s="732"/>
      <c r="LNC646" s="731"/>
      <c r="LND646" s="733"/>
      <c r="LNE646" s="731"/>
      <c r="LNF646" s="732"/>
      <c r="LNG646" s="731"/>
      <c r="LNH646" s="733"/>
      <c r="LNI646" s="731"/>
      <c r="LNJ646" s="732"/>
      <c r="LNK646" s="731"/>
      <c r="LNL646" s="733"/>
      <c r="LNM646" s="731"/>
      <c r="LNN646" s="732"/>
      <c r="LNO646" s="731"/>
      <c r="LNP646" s="733"/>
      <c r="LNQ646" s="731"/>
      <c r="LNR646" s="732"/>
      <c r="LNS646" s="731"/>
      <c r="LNT646" s="733"/>
      <c r="LNU646" s="731"/>
      <c r="LNV646" s="732"/>
      <c r="LNW646" s="731"/>
      <c r="LNX646" s="733"/>
      <c r="LNY646" s="731"/>
      <c r="LNZ646" s="732"/>
      <c r="LOA646" s="731"/>
      <c r="LOB646" s="733"/>
      <c r="LOC646" s="731"/>
      <c r="LOD646" s="732"/>
      <c r="LOE646" s="731"/>
      <c r="LOF646" s="733"/>
      <c r="LOG646" s="731"/>
      <c r="LOH646" s="732"/>
      <c r="LOI646" s="731"/>
      <c r="LOJ646" s="733"/>
      <c r="LOK646" s="731"/>
      <c r="LOL646" s="732"/>
      <c r="LOM646" s="731"/>
      <c r="LON646" s="733"/>
      <c r="LOO646" s="731"/>
      <c r="LOP646" s="732"/>
      <c r="LOQ646" s="731"/>
      <c r="LOR646" s="733"/>
      <c r="LOS646" s="731"/>
      <c r="LOT646" s="732"/>
      <c r="LOU646" s="731"/>
      <c r="LOV646" s="733"/>
      <c r="LOW646" s="731"/>
      <c r="LOX646" s="732"/>
      <c r="LOY646" s="731"/>
      <c r="LOZ646" s="733"/>
      <c r="LPA646" s="731"/>
      <c r="LPB646" s="732"/>
      <c r="LPC646" s="731"/>
      <c r="LPD646" s="733"/>
      <c r="LPE646" s="731"/>
      <c r="LPF646" s="732"/>
      <c r="LPG646" s="731"/>
      <c r="LPH646" s="733"/>
      <c r="LPI646" s="731"/>
      <c r="LPJ646" s="732"/>
      <c r="LPK646" s="731"/>
      <c r="LPL646" s="733"/>
      <c r="LPM646" s="731"/>
      <c r="LPN646" s="732"/>
      <c r="LPO646" s="731"/>
      <c r="LPP646" s="733"/>
      <c r="LPQ646" s="731"/>
      <c r="LPR646" s="732"/>
      <c r="LPS646" s="731"/>
      <c r="LPT646" s="733"/>
      <c r="LPU646" s="731"/>
      <c r="LPV646" s="732"/>
      <c r="LPW646" s="731"/>
      <c r="LPX646" s="733"/>
      <c r="LPY646" s="731"/>
      <c r="LPZ646" s="732"/>
      <c r="LQA646" s="731"/>
      <c r="LQB646" s="733"/>
      <c r="LQC646" s="731"/>
      <c r="LQD646" s="732"/>
      <c r="LQE646" s="731"/>
      <c r="LQF646" s="733"/>
      <c r="LQG646" s="731"/>
      <c r="LQH646" s="732"/>
      <c r="LQI646" s="731"/>
      <c r="LQJ646" s="733"/>
      <c r="LQK646" s="731"/>
      <c r="LQL646" s="732"/>
      <c r="LQM646" s="731"/>
      <c r="LQN646" s="733"/>
      <c r="LQO646" s="731"/>
      <c r="LQP646" s="732"/>
      <c r="LQQ646" s="731"/>
      <c r="LQR646" s="733"/>
      <c r="LQS646" s="731"/>
      <c r="LQT646" s="732"/>
      <c r="LQU646" s="731"/>
      <c r="LQV646" s="733"/>
      <c r="LQW646" s="731"/>
      <c r="LQX646" s="732"/>
      <c r="LQY646" s="731"/>
      <c r="LQZ646" s="733"/>
      <c r="LRA646" s="731"/>
      <c r="LRB646" s="732"/>
      <c r="LRC646" s="731"/>
      <c r="LRD646" s="733"/>
      <c r="LRE646" s="731"/>
      <c r="LRF646" s="732"/>
      <c r="LRG646" s="731"/>
      <c r="LRH646" s="733"/>
      <c r="LRI646" s="731"/>
      <c r="LRJ646" s="732"/>
      <c r="LRK646" s="731"/>
      <c r="LRL646" s="733"/>
      <c r="LRM646" s="731"/>
      <c r="LRN646" s="732"/>
      <c r="LRO646" s="731"/>
      <c r="LRP646" s="733"/>
      <c r="LRQ646" s="731"/>
      <c r="LRR646" s="732"/>
      <c r="LRS646" s="731"/>
      <c r="LRT646" s="733"/>
      <c r="LRU646" s="731"/>
      <c r="LRV646" s="732"/>
      <c r="LRW646" s="731"/>
      <c r="LRX646" s="733"/>
      <c r="LRY646" s="731"/>
      <c r="LRZ646" s="732"/>
      <c r="LSA646" s="731"/>
      <c r="LSB646" s="733"/>
      <c r="LSC646" s="731"/>
      <c r="LSD646" s="732"/>
      <c r="LSE646" s="731"/>
      <c r="LSF646" s="733"/>
      <c r="LSG646" s="731"/>
      <c r="LSH646" s="732"/>
      <c r="LSI646" s="731"/>
      <c r="LSJ646" s="733"/>
      <c r="LSK646" s="731"/>
      <c r="LSL646" s="732"/>
      <c r="LSM646" s="731"/>
      <c r="LSN646" s="733"/>
      <c r="LSO646" s="731"/>
      <c r="LSP646" s="732"/>
      <c r="LSQ646" s="731"/>
      <c r="LSR646" s="733"/>
      <c r="LSS646" s="731"/>
      <c r="LST646" s="732"/>
      <c r="LSU646" s="731"/>
      <c r="LSV646" s="733"/>
      <c r="LSW646" s="731"/>
      <c r="LSX646" s="732"/>
      <c r="LSY646" s="731"/>
      <c r="LSZ646" s="733"/>
      <c r="LTA646" s="731"/>
      <c r="LTB646" s="732"/>
      <c r="LTC646" s="731"/>
      <c r="LTD646" s="733"/>
      <c r="LTE646" s="731"/>
      <c r="LTF646" s="732"/>
      <c r="LTG646" s="731"/>
      <c r="LTH646" s="733"/>
      <c r="LTI646" s="731"/>
      <c r="LTJ646" s="732"/>
      <c r="LTK646" s="731"/>
      <c r="LTL646" s="733"/>
      <c r="LTM646" s="731"/>
      <c r="LTN646" s="732"/>
      <c r="LTO646" s="731"/>
      <c r="LTP646" s="733"/>
      <c r="LTQ646" s="731"/>
      <c r="LTR646" s="732"/>
      <c r="LTS646" s="731"/>
      <c r="LTT646" s="733"/>
      <c r="LTU646" s="731"/>
      <c r="LTV646" s="732"/>
      <c r="LTW646" s="731"/>
      <c r="LTX646" s="733"/>
      <c r="LTY646" s="731"/>
      <c r="LTZ646" s="732"/>
      <c r="LUA646" s="731"/>
      <c r="LUB646" s="733"/>
      <c r="LUC646" s="731"/>
      <c r="LUD646" s="732"/>
      <c r="LUE646" s="731"/>
      <c r="LUF646" s="733"/>
      <c r="LUG646" s="731"/>
      <c r="LUH646" s="732"/>
      <c r="LUI646" s="731"/>
      <c r="LUJ646" s="733"/>
      <c r="LUK646" s="731"/>
      <c r="LUL646" s="732"/>
      <c r="LUM646" s="731"/>
      <c r="LUN646" s="733"/>
      <c r="LUO646" s="731"/>
      <c r="LUP646" s="732"/>
      <c r="LUQ646" s="731"/>
      <c r="LUR646" s="733"/>
      <c r="LUS646" s="731"/>
      <c r="LUT646" s="732"/>
      <c r="LUU646" s="731"/>
      <c r="LUV646" s="733"/>
      <c r="LUW646" s="731"/>
      <c r="LUX646" s="732"/>
      <c r="LUY646" s="731"/>
      <c r="LUZ646" s="733"/>
      <c r="LVA646" s="731"/>
      <c r="LVB646" s="732"/>
      <c r="LVC646" s="731"/>
      <c r="LVD646" s="733"/>
      <c r="LVE646" s="731"/>
      <c r="LVF646" s="732"/>
      <c r="LVG646" s="731"/>
      <c r="LVH646" s="733"/>
      <c r="LVI646" s="731"/>
      <c r="LVJ646" s="732"/>
      <c r="LVK646" s="731"/>
      <c r="LVL646" s="733"/>
      <c r="LVM646" s="731"/>
      <c r="LVN646" s="732"/>
      <c r="LVO646" s="731"/>
      <c r="LVP646" s="733"/>
      <c r="LVQ646" s="731"/>
      <c r="LVR646" s="732"/>
      <c r="LVS646" s="731"/>
      <c r="LVT646" s="733"/>
      <c r="LVU646" s="731"/>
      <c r="LVV646" s="732"/>
      <c r="LVW646" s="731"/>
      <c r="LVX646" s="733"/>
      <c r="LVY646" s="731"/>
      <c r="LVZ646" s="732"/>
      <c r="LWA646" s="731"/>
      <c r="LWB646" s="733"/>
      <c r="LWC646" s="731"/>
      <c r="LWD646" s="732"/>
      <c r="LWE646" s="731"/>
      <c r="LWF646" s="733"/>
      <c r="LWG646" s="731"/>
      <c r="LWH646" s="732"/>
      <c r="LWI646" s="731"/>
      <c r="LWJ646" s="733"/>
      <c r="LWK646" s="731"/>
      <c r="LWL646" s="732"/>
      <c r="LWM646" s="731"/>
      <c r="LWN646" s="733"/>
      <c r="LWO646" s="731"/>
      <c r="LWP646" s="732"/>
      <c r="LWQ646" s="731"/>
      <c r="LWR646" s="733"/>
      <c r="LWS646" s="731"/>
      <c r="LWT646" s="732"/>
      <c r="LWU646" s="731"/>
      <c r="LWV646" s="733"/>
      <c r="LWW646" s="731"/>
      <c r="LWX646" s="732"/>
      <c r="LWY646" s="731"/>
      <c r="LWZ646" s="733"/>
      <c r="LXA646" s="731"/>
      <c r="LXB646" s="732"/>
      <c r="LXC646" s="731"/>
      <c r="LXD646" s="733"/>
      <c r="LXE646" s="731"/>
      <c r="LXF646" s="732"/>
      <c r="LXG646" s="731"/>
      <c r="LXH646" s="733"/>
      <c r="LXI646" s="731"/>
      <c r="LXJ646" s="732"/>
      <c r="LXK646" s="731"/>
      <c r="LXL646" s="733"/>
      <c r="LXM646" s="731"/>
      <c r="LXN646" s="732"/>
      <c r="LXO646" s="731"/>
      <c r="LXP646" s="733"/>
      <c r="LXQ646" s="731"/>
      <c r="LXR646" s="732"/>
      <c r="LXS646" s="731"/>
      <c r="LXT646" s="733"/>
      <c r="LXU646" s="731"/>
      <c r="LXV646" s="732"/>
      <c r="LXW646" s="731"/>
      <c r="LXX646" s="733"/>
      <c r="LXY646" s="731"/>
      <c r="LXZ646" s="732"/>
      <c r="LYA646" s="731"/>
      <c r="LYB646" s="733"/>
      <c r="LYC646" s="731"/>
      <c r="LYD646" s="732"/>
      <c r="LYE646" s="731"/>
      <c r="LYF646" s="733"/>
      <c r="LYG646" s="731"/>
      <c r="LYH646" s="732"/>
      <c r="LYI646" s="731"/>
      <c r="LYJ646" s="733"/>
      <c r="LYK646" s="731"/>
      <c r="LYL646" s="732"/>
      <c r="LYM646" s="731"/>
      <c r="LYN646" s="733"/>
      <c r="LYO646" s="731"/>
      <c r="LYP646" s="732"/>
      <c r="LYQ646" s="731"/>
      <c r="LYR646" s="733"/>
      <c r="LYS646" s="731"/>
      <c r="LYT646" s="732"/>
      <c r="LYU646" s="731"/>
      <c r="LYV646" s="733"/>
      <c r="LYW646" s="731"/>
      <c r="LYX646" s="732"/>
      <c r="LYY646" s="731"/>
      <c r="LYZ646" s="733"/>
      <c r="LZA646" s="731"/>
      <c r="LZB646" s="732"/>
      <c r="LZC646" s="731"/>
      <c r="LZD646" s="733"/>
      <c r="LZE646" s="731"/>
      <c r="LZF646" s="732"/>
      <c r="LZG646" s="731"/>
      <c r="LZH646" s="733"/>
      <c r="LZI646" s="731"/>
      <c r="LZJ646" s="732"/>
      <c r="LZK646" s="731"/>
      <c r="LZL646" s="733"/>
      <c r="LZM646" s="731"/>
      <c r="LZN646" s="732"/>
      <c r="LZO646" s="731"/>
      <c r="LZP646" s="733"/>
      <c r="LZQ646" s="731"/>
      <c r="LZR646" s="732"/>
      <c r="LZS646" s="731"/>
      <c r="LZT646" s="733"/>
      <c r="LZU646" s="731"/>
      <c r="LZV646" s="732"/>
      <c r="LZW646" s="731"/>
      <c r="LZX646" s="733"/>
      <c r="LZY646" s="731"/>
      <c r="LZZ646" s="732"/>
      <c r="MAA646" s="731"/>
      <c r="MAB646" s="733"/>
      <c r="MAC646" s="731"/>
      <c r="MAD646" s="732"/>
      <c r="MAE646" s="731"/>
      <c r="MAF646" s="733"/>
      <c r="MAG646" s="731"/>
      <c r="MAH646" s="732"/>
      <c r="MAI646" s="731"/>
      <c r="MAJ646" s="733"/>
      <c r="MAK646" s="731"/>
      <c r="MAL646" s="732"/>
      <c r="MAM646" s="731"/>
      <c r="MAN646" s="733"/>
      <c r="MAO646" s="731"/>
      <c r="MAP646" s="732"/>
      <c r="MAQ646" s="731"/>
      <c r="MAR646" s="733"/>
      <c r="MAS646" s="731"/>
      <c r="MAT646" s="732"/>
      <c r="MAU646" s="731"/>
      <c r="MAV646" s="733"/>
      <c r="MAW646" s="731"/>
      <c r="MAX646" s="732"/>
      <c r="MAY646" s="731"/>
      <c r="MAZ646" s="733"/>
      <c r="MBA646" s="731"/>
      <c r="MBB646" s="732"/>
      <c r="MBC646" s="731"/>
      <c r="MBD646" s="733"/>
      <c r="MBE646" s="731"/>
      <c r="MBF646" s="732"/>
      <c r="MBG646" s="731"/>
      <c r="MBH646" s="733"/>
      <c r="MBI646" s="731"/>
      <c r="MBJ646" s="732"/>
      <c r="MBK646" s="731"/>
      <c r="MBL646" s="733"/>
      <c r="MBM646" s="731"/>
      <c r="MBN646" s="732"/>
      <c r="MBO646" s="731"/>
      <c r="MBP646" s="733"/>
      <c r="MBQ646" s="731"/>
      <c r="MBR646" s="732"/>
      <c r="MBS646" s="731"/>
      <c r="MBT646" s="733"/>
      <c r="MBU646" s="731"/>
      <c r="MBV646" s="732"/>
      <c r="MBW646" s="731"/>
      <c r="MBX646" s="733"/>
      <c r="MBY646" s="731"/>
      <c r="MBZ646" s="732"/>
      <c r="MCA646" s="731"/>
      <c r="MCB646" s="733"/>
      <c r="MCC646" s="731"/>
      <c r="MCD646" s="732"/>
      <c r="MCE646" s="731"/>
      <c r="MCF646" s="733"/>
      <c r="MCG646" s="731"/>
      <c r="MCH646" s="732"/>
      <c r="MCI646" s="731"/>
      <c r="MCJ646" s="733"/>
      <c r="MCK646" s="731"/>
      <c r="MCL646" s="732"/>
      <c r="MCM646" s="731"/>
      <c r="MCN646" s="733"/>
      <c r="MCO646" s="731"/>
      <c r="MCP646" s="732"/>
      <c r="MCQ646" s="731"/>
      <c r="MCR646" s="733"/>
      <c r="MCS646" s="731"/>
      <c r="MCT646" s="732"/>
      <c r="MCU646" s="731"/>
      <c r="MCV646" s="733"/>
      <c r="MCW646" s="731"/>
      <c r="MCX646" s="732"/>
      <c r="MCY646" s="731"/>
      <c r="MCZ646" s="733"/>
      <c r="MDA646" s="731"/>
      <c r="MDB646" s="732"/>
      <c r="MDC646" s="731"/>
      <c r="MDD646" s="733"/>
      <c r="MDE646" s="731"/>
      <c r="MDF646" s="732"/>
      <c r="MDG646" s="731"/>
      <c r="MDH646" s="733"/>
      <c r="MDI646" s="731"/>
      <c r="MDJ646" s="732"/>
      <c r="MDK646" s="731"/>
      <c r="MDL646" s="733"/>
      <c r="MDM646" s="731"/>
      <c r="MDN646" s="732"/>
      <c r="MDO646" s="731"/>
      <c r="MDP646" s="733"/>
      <c r="MDQ646" s="731"/>
      <c r="MDR646" s="732"/>
      <c r="MDS646" s="731"/>
      <c r="MDT646" s="733"/>
      <c r="MDU646" s="731"/>
      <c r="MDV646" s="732"/>
      <c r="MDW646" s="731"/>
      <c r="MDX646" s="733"/>
      <c r="MDY646" s="731"/>
      <c r="MDZ646" s="732"/>
      <c r="MEA646" s="731"/>
      <c r="MEB646" s="733"/>
      <c r="MEC646" s="731"/>
      <c r="MED646" s="732"/>
      <c r="MEE646" s="731"/>
      <c r="MEF646" s="733"/>
      <c r="MEG646" s="731"/>
      <c r="MEH646" s="732"/>
      <c r="MEI646" s="731"/>
      <c r="MEJ646" s="733"/>
      <c r="MEK646" s="731"/>
      <c r="MEL646" s="732"/>
      <c r="MEM646" s="731"/>
      <c r="MEN646" s="733"/>
      <c r="MEO646" s="731"/>
      <c r="MEP646" s="732"/>
      <c r="MEQ646" s="731"/>
      <c r="MER646" s="733"/>
      <c r="MES646" s="731"/>
      <c r="MET646" s="732"/>
      <c r="MEU646" s="731"/>
      <c r="MEV646" s="733"/>
      <c r="MEW646" s="731"/>
      <c r="MEX646" s="732"/>
      <c r="MEY646" s="731"/>
      <c r="MEZ646" s="733"/>
      <c r="MFA646" s="731"/>
      <c r="MFB646" s="732"/>
      <c r="MFC646" s="731"/>
      <c r="MFD646" s="733"/>
      <c r="MFE646" s="731"/>
      <c r="MFF646" s="732"/>
      <c r="MFG646" s="731"/>
      <c r="MFH646" s="733"/>
      <c r="MFI646" s="731"/>
      <c r="MFJ646" s="732"/>
      <c r="MFK646" s="731"/>
      <c r="MFL646" s="733"/>
      <c r="MFM646" s="731"/>
      <c r="MFN646" s="732"/>
      <c r="MFO646" s="731"/>
      <c r="MFP646" s="733"/>
      <c r="MFQ646" s="731"/>
      <c r="MFR646" s="732"/>
      <c r="MFS646" s="731"/>
      <c r="MFT646" s="733"/>
      <c r="MFU646" s="731"/>
      <c r="MFV646" s="732"/>
      <c r="MFW646" s="731"/>
      <c r="MFX646" s="733"/>
      <c r="MFY646" s="731"/>
      <c r="MFZ646" s="732"/>
      <c r="MGA646" s="731"/>
      <c r="MGB646" s="733"/>
      <c r="MGC646" s="731"/>
      <c r="MGD646" s="732"/>
      <c r="MGE646" s="731"/>
      <c r="MGF646" s="733"/>
      <c r="MGG646" s="731"/>
      <c r="MGH646" s="732"/>
      <c r="MGI646" s="731"/>
      <c r="MGJ646" s="733"/>
      <c r="MGK646" s="731"/>
      <c r="MGL646" s="732"/>
      <c r="MGM646" s="731"/>
      <c r="MGN646" s="733"/>
      <c r="MGO646" s="731"/>
      <c r="MGP646" s="732"/>
      <c r="MGQ646" s="731"/>
      <c r="MGR646" s="733"/>
      <c r="MGS646" s="731"/>
      <c r="MGT646" s="732"/>
      <c r="MGU646" s="731"/>
      <c r="MGV646" s="733"/>
      <c r="MGW646" s="731"/>
      <c r="MGX646" s="732"/>
      <c r="MGY646" s="731"/>
      <c r="MGZ646" s="733"/>
      <c r="MHA646" s="731"/>
      <c r="MHB646" s="732"/>
      <c r="MHC646" s="731"/>
      <c r="MHD646" s="733"/>
      <c r="MHE646" s="731"/>
      <c r="MHF646" s="732"/>
      <c r="MHG646" s="731"/>
      <c r="MHH646" s="733"/>
      <c r="MHI646" s="731"/>
      <c r="MHJ646" s="732"/>
      <c r="MHK646" s="731"/>
      <c r="MHL646" s="733"/>
      <c r="MHM646" s="731"/>
      <c r="MHN646" s="732"/>
      <c r="MHO646" s="731"/>
      <c r="MHP646" s="733"/>
      <c r="MHQ646" s="731"/>
      <c r="MHR646" s="732"/>
      <c r="MHS646" s="731"/>
      <c r="MHT646" s="733"/>
      <c r="MHU646" s="731"/>
      <c r="MHV646" s="732"/>
      <c r="MHW646" s="731"/>
      <c r="MHX646" s="733"/>
      <c r="MHY646" s="731"/>
      <c r="MHZ646" s="732"/>
      <c r="MIA646" s="731"/>
      <c r="MIB646" s="733"/>
      <c r="MIC646" s="731"/>
      <c r="MID646" s="732"/>
      <c r="MIE646" s="731"/>
      <c r="MIF646" s="733"/>
      <c r="MIG646" s="731"/>
      <c r="MIH646" s="732"/>
      <c r="MII646" s="731"/>
      <c r="MIJ646" s="733"/>
      <c r="MIK646" s="731"/>
      <c r="MIL646" s="732"/>
      <c r="MIM646" s="731"/>
      <c r="MIN646" s="733"/>
      <c r="MIO646" s="731"/>
      <c r="MIP646" s="732"/>
      <c r="MIQ646" s="731"/>
      <c r="MIR646" s="733"/>
      <c r="MIS646" s="731"/>
      <c r="MIT646" s="732"/>
      <c r="MIU646" s="731"/>
      <c r="MIV646" s="733"/>
      <c r="MIW646" s="731"/>
      <c r="MIX646" s="732"/>
      <c r="MIY646" s="731"/>
      <c r="MIZ646" s="733"/>
      <c r="MJA646" s="731"/>
      <c r="MJB646" s="732"/>
      <c r="MJC646" s="731"/>
      <c r="MJD646" s="733"/>
      <c r="MJE646" s="731"/>
      <c r="MJF646" s="732"/>
      <c r="MJG646" s="731"/>
      <c r="MJH646" s="733"/>
      <c r="MJI646" s="731"/>
      <c r="MJJ646" s="732"/>
      <c r="MJK646" s="731"/>
      <c r="MJL646" s="733"/>
      <c r="MJM646" s="731"/>
      <c r="MJN646" s="732"/>
      <c r="MJO646" s="731"/>
      <c r="MJP646" s="733"/>
      <c r="MJQ646" s="731"/>
      <c r="MJR646" s="732"/>
      <c r="MJS646" s="731"/>
      <c r="MJT646" s="733"/>
      <c r="MJU646" s="731"/>
      <c r="MJV646" s="732"/>
      <c r="MJW646" s="731"/>
      <c r="MJX646" s="733"/>
      <c r="MJY646" s="731"/>
      <c r="MJZ646" s="732"/>
      <c r="MKA646" s="731"/>
      <c r="MKB646" s="733"/>
      <c r="MKC646" s="731"/>
      <c r="MKD646" s="732"/>
      <c r="MKE646" s="731"/>
      <c r="MKF646" s="733"/>
      <c r="MKG646" s="731"/>
      <c r="MKH646" s="732"/>
      <c r="MKI646" s="731"/>
      <c r="MKJ646" s="733"/>
      <c r="MKK646" s="731"/>
      <c r="MKL646" s="732"/>
      <c r="MKM646" s="731"/>
      <c r="MKN646" s="733"/>
      <c r="MKO646" s="731"/>
      <c r="MKP646" s="732"/>
      <c r="MKQ646" s="731"/>
      <c r="MKR646" s="733"/>
      <c r="MKS646" s="731"/>
      <c r="MKT646" s="732"/>
      <c r="MKU646" s="731"/>
      <c r="MKV646" s="733"/>
      <c r="MKW646" s="731"/>
      <c r="MKX646" s="732"/>
      <c r="MKY646" s="731"/>
      <c r="MKZ646" s="733"/>
      <c r="MLA646" s="731"/>
      <c r="MLB646" s="732"/>
      <c r="MLC646" s="731"/>
      <c r="MLD646" s="733"/>
      <c r="MLE646" s="731"/>
      <c r="MLF646" s="732"/>
      <c r="MLG646" s="731"/>
      <c r="MLH646" s="733"/>
      <c r="MLI646" s="731"/>
      <c r="MLJ646" s="732"/>
      <c r="MLK646" s="731"/>
      <c r="MLL646" s="733"/>
      <c r="MLM646" s="731"/>
      <c r="MLN646" s="732"/>
      <c r="MLO646" s="731"/>
      <c r="MLP646" s="733"/>
      <c r="MLQ646" s="731"/>
      <c r="MLR646" s="732"/>
      <c r="MLS646" s="731"/>
      <c r="MLT646" s="733"/>
      <c r="MLU646" s="731"/>
      <c r="MLV646" s="732"/>
      <c r="MLW646" s="731"/>
      <c r="MLX646" s="733"/>
      <c r="MLY646" s="731"/>
      <c r="MLZ646" s="732"/>
      <c r="MMA646" s="731"/>
      <c r="MMB646" s="733"/>
      <c r="MMC646" s="731"/>
      <c r="MMD646" s="732"/>
      <c r="MME646" s="731"/>
      <c r="MMF646" s="733"/>
      <c r="MMG646" s="731"/>
      <c r="MMH646" s="732"/>
      <c r="MMI646" s="731"/>
      <c r="MMJ646" s="733"/>
      <c r="MMK646" s="731"/>
      <c r="MML646" s="732"/>
      <c r="MMM646" s="731"/>
      <c r="MMN646" s="733"/>
      <c r="MMO646" s="731"/>
      <c r="MMP646" s="732"/>
      <c r="MMQ646" s="731"/>
      <c r="MMR646" s="733"/>
      <c r="MMS646" s="731"/>
      <c r="MMT646" s="732"/>
      <c r="MMU646" s="731"/>
      <c r="MMV646" s="733"/>
      <c r="MMW646" s="731"/>
      <c r="MMX646" s="732"/>
      <c r="MMY646" s="731"/>
      <c r="MMZ646" s="733"/>
      <c r="MNA646" s="731"/>
      <c r="MNB646" s="732"/>
      <c r="MNC646" s="731"/>
      <c r="MND646" s="733"/>
      <c r="MNE646" s="731"/>
      <c r="MNF646" s="732"/>
      <c r="MNG646" s="731"/>
      <c r="MNH646" s="733"/>
      <c r="MNI646" s="731"/>
      <c r="MNJ646" s="732"/>
      <c r="MNK646" s="731"/>
      <c r="MNL646" s="733"/>
      <c r="MNM646" s="731"/>
      <c r="MNN646" s="732"/>
      <c r="MNO646" s="731"/>
      <c r="MNP646" s="733"/>
      <c r="MNQ646" s="731"/>
      <c r="MNR646" s="732"/>
      <c r="MNS646" s="731"/>
      <c r="MNT646" s="733"/>
      <c r="MNU646" s="731"/>
      <c r="MNV646" s="732"/>
      <c r="MNW646" s="731"/>
      <c r="MNX646" s="733"/>
      <c r="MNY646" s="731"/>
      <c r="MNZ646" s="732"/>
      <c r="MOA646" s="731"/>
      <c r="MOB646" s="733"/>
      <c r="MOC646" s="731"/>
      <c r="MOD646" s="732"/>
      <c r="MOE646" s="731"/>
      <c r="MOF646" s="733"/>
      <c r="MOG646" s="731"/>
      <c r="MOH646" s="732"/>
      <c r="MOI646" s="731"/>
      <c r="MOJ646" s="733"/>
      <c r="MOK646" s="731"/>
      <c r="MOL646" s="732"/>
      <c r="MOM646" s="731"/>
      <c r="MON646" s="733"/>
      <c r="MOO646" s="731"/>
      <c r="MOP646" s="732"/>
      <c r="MOQ646" s="731"/>
      <c r="MOR646" s="733"/>
      <c r="MOS646" s="731"/>
      <c r="MOT646" s="732"/>
      <c r="MOU646" s="731"/>
      <c r="MOV646" s="733"/>
      <c r="MOW646" s="731"/>
      <c r="MOX646" s="732"/>
      <c r="MOY646" s="731"/>
      <c r="MOZ646" s="733"/>
      <c r="MPA646" s="731"/>
      <c r="MPB646" s="732"/>
      <c r="MPC646" s="731"/>
      <c r="MPD646" s="733"/>
      <c r="MPE646" s="731"/>
      <c r="MPF646" s="732"/>
      <c r="MPG646" s="731"/>
      <c r="MPH646" s="733"/>
      <c r="MPI646" s="731"/>
      <c r="MPJ646" s="732"/>
      <c r="MPK646" s="731"/>
      <c r="MPL646" s="733"/>
      <c r="MPM646" s="731"/>
      <c r="MPN646" s="732"/>
      <c r="MPO646" s="731"/>
      <c r="MPP646" s="733"/>
      <c r="MPQ646" s="731"/>
      <c r="MPR646" s="732"/>
      <c r="MPS646" s="731"/>
      <c r="MPT646" s="733"/>
      <c r="MPU646" s="731"/>
      <c r="MPV646" s="732"/>
      <c r="MPW646" s="731"/>
      <c r="MPX646" s="733"/>
      <c r="MPY646" s="731"/>
      <c r="MPZ646" s="732"/>
      <c r="MQA646" s="731"/>
      <c r="MQB646" s="733"/>
      <c r="MQC646" s="731"/>
      <c r="MQD646" s="732"/>
      <c r="MQE646" s="731"/>
      <c r="MQF646" s="733"/>
      <c r="MQG646" s="731"/>
      <c r="MQH646" s="732"/>
      <c r="MQI646" s="731"/>
      <c r="MQJ646" s="733"/>
      <c r="MQK646" s="731"/>
      <c r="MQL646" s="732"/>
      <c r="MQM646" s="731"/>
      <c r="MQN646" s="733"/>
      <c r="MQO646" s="731"/>
      <c r="MQP646" s="732"/>
      <c r="MQQ646" s="731"/>
      <c r="MQR646" s="733"/>
      <c r="MQS646" s="731"/>
      <c r="MQT646" s="732"/>
      <c r="MQU646" s="731"/>
      <c r="MQV646" s="733"/>
      <c r="MQW646" s="731"/>
      <c r="MQX646" s="732"/>
      <c r="MQY646" s="731"/>
      <c r="MQZ646" s="733"/>
      <c r="MRA646" s="731"/>
      <c r="MRB646" s="732"/>
      <c r="MRC646" s="731"/>
      <c r="MRD646" s="733"/>
      <c r="MRE646" s="731"/>
      <c r="MRF646" s="732"/>
      <c r="MRG646" s="731"/>
      <c r="MRH646" s="733"/>
      <c r="MRI646" s="731"/>
      <c r="MRJ646" s="732"/>
      <c r="MRK646" s="731"/>
      <c r="MRL646" s="733"/>
      <c r="MRM646" s="731"/>
      <c r="MRN646" s="732"/>
      <c r="MRO646" s="731"/>
      <c r="MRP646" s="733"/>
      <c r="MRQ646" s="731"/>
      <c r="MRR646" s="732"/>
      <c r="MRS646" s="731"/>
      <c r="MRT646" s="733"/>
      <c r="MRU646" s="731"/>
      <c r="MRV646" s="732"/>
      <c r="MRW646" s="731"/>
      <c r="MRX646" s="733"/>
      <c r="MRY646" s="731"/>
      <c r="MRZ646" s="732"/>
      <c r="MSA646" s="731"/>
      <c r="MSB646" s="733"/>
      <c r="MSC646" s="731"/>
      <c r="MSD646" s="732"/>
      <c r="MSE646" s="731"/>
      <c r="MSF646" s="733"/>
      <c r="MSG646" s="731"/>
      <c r="MSH646" s="732"/>
      <c r="MSI646" s="731"/>
      <c r="MSJ646" s="733"/>
      <c r="MSK646" s="731"/>
      <c r="MSL646" s="732"/>
      <c r="MSM646" s="731"/>
      <c r="MSN646" s="733"/>
      <c r="MSO646" s="731"/>
      <c r="MSP646" s="732"/>
      <c r="MSQ646" s="731"/>
      <c r="MSR646" s="733"/>
      <c r="MSS646" s="731"/>
      <c r="MST646" s="732"/>
      <c r="MSU646" s="731"/>
      <c r="MSV646" s="733"/>
      <c r="MSW646" s="731"/>
      <c r="MSX646" s="732"/>
      <c r="MSY646" s="731"/>
      <c r="MSZ646" s="733"/>
      <c r="MTA646" s="731"/>
      <c r="MTB646" s="732"/>
      <c r="MTC646" s="731"/>
      <c r="MTD646" s="733"/>
      <c r="MTE646" s="731"/>
      <c r="MTF646" s="732"/>
      <c r="MTG646" s="731"/>
      <c r="MTH646" s="733"/>
      <c r="MTI646" s="731"/>
      <c r="MTJ646" s="732"/>
      <c r="MTK646" s="731"/>
      <c r="MTL646" s="733"/>
      <c r="MTM646" s="731"/>
      <c r="MTN646" s="732"/>
      <c r="MTO646" s="731"/>
      <c r="MTP646" s="733"/>
      <c r="MTQ646" s="731"/>
      <c r="MTR646" s="732"/>
      <c r="MTS646" s="731"/>
      <c r="MTT646" s="733"/>
      <c r="MTU646" s="731"/>
      <c r="MTV646" s="732"/>
      <c r="MTW646" s="731"/>
      <c r="MTX646" s="733"/>
      <c r="MTY646" s="731"/>
      <c r="MTZ646" s="732"/>
      <c r="MUA646" s="731"/>
      <c r="MUB646" s="733"/>
      <c r="MUC646" s="731"/>
      <c r="MUD646" s="732"/>
      <c r="MUE646" s="731"/>
      <c r="MUF646" s="733"/>
      <c r="MUG646" s="731"/>
      <c r="MUH646" s="732"/>
      <c r="MUI646" s="731"/>
      <c r="MUJ646" s="733"/>
      <c r="MUK646" s="731"/>
      <c r="MUL646" s="732"/>
      <c r="MUM646" s="731"/>
      <c r="MUN646" s="733"/>
      <c r="MUO646" s="731"/>
      <c r="MUP646" s="732"/>
      <c r="MUQ646" s="731"/>
      <c r="MUR646" s="733"/>
      <c r="MUS646" s="731"/>
      <c r="MUT646" s="732"/>
      <c r="MUU646" s="731"/>
      <c r="MUV646" s="733"/>
      <c r="MUW646" s="731"/>
      <c r="MUX646" s="732"/>
      <c r="MUY646" s="731"/>
      <c r="MUZ646" s="733"/>
      <c r="MVA646" s="731"/>
      <c r="MVB646" s="732"/>
      <c r="MVC646" s="731"/>
      <c r="MVD646" s="733"/>
      <c r="MVE646" s="731"/>
      <c r="MVF646" s="732"/>
      <c r="MVG646" s="731"/>
      <c r="MVH646" s="733"/>
      <c r="MVI646" s="731"/>
      <c r="MVJ646" s="732"/>
      <c r="MVK646" s="731"/>
      <c r="MVL646" s="733"/>
      <c r="MVM646" s="731"/>
      <c r="MVN646" s="732"/>
      <c r="MVO646" s="731"/>
      <c r="MVP646" s="733"/>
      <c r="MVQ646" s="731"/>
      <c r="MVR646" s="732"/>
      <c r="MVS646" s="731"/>
      <c r="MVT646" s="733"/>
      <c r="MVU646" s="731"/>
      <c r="MVV646" s="732"/>
      <c r="MVW646" s="731"/>
      <c r="MVX646" s="733"/>
      <c r="MVY646" s="731"/>
      <c r="MVZ646" s="732"/>
      <c r="MWA646" s="731"/>
      <c r="MWB646" s="733"/>
      <c r="MWC646" s="731"/>
      <c r="MWD646" s="732"/>
      <c r="MWE646" s="731"/>
      <c r="MWF646" s="733"/>
      <c r="MWG646" s="731"/>
      <c r="MWH646" s="732"/>
      <c r="MWI646" s="731"/>
      <c r="MWJ646" s="733"/>
      <c r="MWK646" s="731"/>
      <c r="MWL646" s="732"/>
      <c r="MWM646" s="731"/>
      <c r="MWN646" s="733"/>
      <c r="MWO646" s="731"/>
      <c r="MWP646" s="732"/>
      <c r="MWQ646" s="731"/>
      <c r="MWR646" s="733"/>
      <c r="MWS646" s="731"/>
      <c r="MWT646" s="732"/>
      <c r="MWU646" s="731"/>
      <c r="MWV646" s="733"/>
      <c r="MWW646" s="731"/>
      <c r="MWX646" s="732"/>
      <c r="MWY646" s="731"/>
      <c r="MWZ646" s="733"/>
      <c r="MXA646" s="731"/>
      <c r="MXB646" s="732"/>
      <c r="MXC646" s="731"/>
      <c r="MXD646" s="733"/>
      <c r="MXE646" s="731"/>
      <c r="MXF646" s="732"/>
      <c r="MXG646" s="731"/>
      <c r="MXH646" s="733"/>
      <c r="MXI646" s="731"/>
      <c r="MXJ646" s="732"/>
      <c r="MXK646" s="731"/>
      <c r="MXL646" s="733"/>
      <c r="MXM646" s="731"/>
      <c r="MXN646" s="732"/>
      <c r="MXO646" s="731"/>
      <c r="MXP646" s="733"/>
      <c r="MXQ646" s="731"/>
      <c r="MXR646" s="732"/>
      <c r="MXS646" s="731"/>
      <c r="MXT646" s="733"/>
      <c r="MXU646" s="731"/>
      <c r="MXV646" s="732"/>
      <c r="MXW646" s="731"/>
      <c r="MXX646" s="733"/>
      <c r="MXY646" s="731"/>
      <c r="MXZ646" s="732"/>
      <c r="MYA646" s="731"/>
      <c r="MYB646" s="733"/>
      <c r="MYC646" s="731"/>
      <c r="MYD646" s="732"/>
      <c r="MYE646" s="731"/>
      <c r="MYF646" s="733"/>
      <c r="MYG646" s="731"/>
      <c r="MYH646" s="732"/>
      <c r="MYI646" s="731"/>
      <c r="MYJ646" s="733"/>
      <c r="MYK646" s="731"/>
      <c r="MYL646" s="732"/>
      <c r="MYM646" s="731"/>
      <c r="MYN646" s="733"/>
      <c r="MYO646" s="731"/>
      <c r="MYP646" s="732"/>
      <c r="MYQ646" s="731"/>
      <c r="MYR646" s="733"/>
      <c r="MYS646" s="731"/>
      <c r="MYT646" s="732"/>
      <c r="MYU646" s="731"/>
      <c r="MYV646" s="733"/>
      <c r="MYW646" s="731"/>
      <c r="MYX646" s="732"/>
      <c r="MYY646" s="731"/>
      <c r="MYZ646" s="733"/>
      <c r="MZA646" s="731"/>
      <c r="MZB646" s="732"/>
      <c r="MZC646" s="731"/>
      <c r="MZD646" s="733"/>
      <c r="MZE646" s="731"/>
      <c r="MZF646" s="732"/>
      <c r="MZG646" s="731"/>
      <c r="MZH646" s="733"/>
      <c r="MZI646" s="731"/>
      <c r="MZJ646" s="732"/>
      <c r="MZK646" s="731"/>
      <c r="MZL646" s="733"/>
      <c r="MZM646" s="731"/>
      <c r="MZN646" s="732"/>
      <c r="MZO646" s="731"/>
      <c r="MZP646" s="733"/>
      <c r="MZQ646" s="731"/>
      <c r="MZR646" s="732"/>
      <c r="MZS646" s="731"/>
      <c r="MZT646" s="733"/>
      <c r="MZU646" s="731"/>
      <c r="MZV646" s="732"/>
      <c r="MZW646" s="731"/>
      <c r="MZX646" s="733"/>
      <c r="MZY646" s="731"/>
      <c r="MZZ646" s="732"/>
      <c r="NAA646" s="731"/>
      <c r="NAB646" s="733"/>
      <c r="NAC646" s="731"/>
      <c r="NAD646" s="732"/>
      <c r="NAE646" s="731"/>
      <c r="NAF646" s="733"/>
      <c r="NAG646" s="731"/>
      <c r="NAH646" s="732"/>
      <c r="NAI646" s="731"/>
      <c r="NAJ646" s="733"/>
      <c r="NAK646" s="731"/>
      <c r="NAL646" s="732"/>
      <c r="NAM646" s="731"/>
      <c r="NAN646" s="733"/>
      <c r="NAO646" s="731"/>
      <c r="NAP646" s="732"/>
      <c r="NAQ646" s="731"/>
      <c r="NAR646" s="733"/>
      <c r="NAS646" s="731"/>
      <c r="NAT646" s="732"/>
      <c r="NAU646" s="731"/>
      <c r="NAV646" s="733"/>
      <c r="NAW646" s="731"/>
      <c r="NAX646" s="732"/>
      <c r="NAY646" s="731"/>
      <c r="NAZ646" s="733"/>
      <c r="NBA646" s="731"/>
      <c r="NBB646" s="732"/>
      <c r="NBC646" s="731"/>
      <c r="NBD646" s="733"/>
      <c r="NBE646" s="731"/>
      <c r="NBF646" s="732"/>
      <c r="NBG646" s="731"/>
      <c r="NBH646" s="733"/>
      <c r="NBI646" s="731"/>
      <c r="NBJ646" s="732"/>
      <c r="NBK646" s="731"/>
      <c r="NBL646" s="733"/>
      <c r="NBM646" s="731"/>
      <c r="NBN646" s="732"/>
      <c r="NBO646" s="731"/>
      <c r="NBP646" s="733"/>
      <c r="NBQ646" s="731"/>
      <c r="NBR646" s="732"/>
      <c r="NBS646" s="731"/>
      <c r="NBT646" s="733"/>
      <c r="NBU646" s="731"/>
      <c r="NBV646" s="732"/>
      <c r="NBW646" s="731"/>
      <c r="NBX646" s="733"/>
      <c r="NBY646" s="731"/>
      <c r="NBZ646" s="732"/>
      <c r="NCA646" s="731"/>
      <c r="NCB646" s="733"/>
      <c r="NCC646" s="731"/>
      <c r="NCD646" s="732"/>
      <c r="NCE646" s="731"/>
      <c r="NCF646" s="733"/>
      <c r="NCG646" s="731"/>
      <c r="NCH646" s="732"/>
      <c r="NCI646" s="731"/>
      <c r="NCJ646" s="733"/>
      <c r="NCK646" s="731"/>
      <c r="NCL646" s="732"/>
      <c r="NCM646" s="731"/>
      <c r="NCN646" s="733"/>
      <c r="NCO646" s="731"/>
      <c r="NCP646" s="732"/>
      <c r="NCQ646" s="731"/>
      <c r="NCR646" s="733"/>
      <c r="NCS646" s="731"/>
      <c r="NCT646" s="732"/>
      <c r="NCU646" s="731"/>
      <c r="NCV646" s="733"/>
      <c r="NCW646" s="731"/>
      <c r="NCX646" s="732"/>
      <c r="NCY646" s="731"/>
      <c r="NCZ646" s="733"/>
      <c r="NDA646" s="731"/>
      <c r="NDB646" s="732"/>
      <c r="NDC646" s="731"/>
      <c r="NDD646" s="733"/>
      <c r="NDE646" s="731"/>
      <c r="NDF646" s="732"/>
      <c r="NDG646" s="731"/>
      <c r="NDH646" s="733"/>
      <c r="NDI646" s="731"/>
      <c r="NDJ646" s="732"/>
      <c r="NDK646" s="731"/>
      <c r="NDL646" s="733"/>
      <c r="NDM646" s="731"/>
      <c r="NDN646" s="732"/>
      <c r="NDO646" s="731"/>
      <c r="NDP646" s="733"/>
      <c r="NDQ646" s="731"/>
      <c r="NDR646" s="732"/>
      <c r="NDS646" s="731"/>
      <c r="NDT646" s="733"/>
      <c r="NDU646" s="731"/>
      <c r="NDV646" s="732"/>
      <c r="NDW646" s="731"/>
      <c r="NDX646" s="733"/>
      <c r="NDY646" s="731"/>
      <c r="NDZ646" s="732"/>
      <c r="NEA646" s="731"/>
      <c r="NEB646" s="733"/>
      <c r="NEC646" s="731"/>
      <c r="NED646" s="732"/>
      <c r="NEE646" s="731"/>
      <c r="NEF646" s="733"/>
      <c r="NEG646" s="731"/>
      <c r="NEH646" s="732"/>
      <c r="NEI646" s="731"/>
      <c r="NEJ646" s="733"/>
      <c r="NEK646" s="731"/>
      <c r="NEL646" s="732"/>
      <c r="NEM646" s="731"/>
      <c r="NEN646" s="733"/>
      <c r="NEO646" s="731"/>
      <c r="NEP646" s="732"/>
      <c r="NEQ646" s="731"/>
      <c r="NER646" s="733"/>
      <c r="NES646" s="731"/>
      <c r="NET646" s="732"/>
      <c r="NEU646" s="731"/>
      <c r="NEV646" s="733"/>
      <c r="NEW646" s="731"/>
      <c r="NEX646" s="732"/>
      <c r="NEY646" s="731"/>
      <c r="NEZ646" s="733"/>
      <c r="NFA646" s="731"/>
      <c r="NFB646" s="732"/>
      <c r="NFC646" s="731"/>
      <c r="NFD646" s="733"/>
      <c r="NFE646" s="731"/>
      <c r="NFF646" s="732"/>
      <c r="NFG646" s="731"/>
      <c r="NFH646" s="733"/>
      <c r="NFI646" s="731"/>
      <c r="NFJ646" s="732"/>
      <c r="NFK646" s="731"/>
      <c r="NFL646" s="733"/>
      <c r="NFM646" s="731"/>
      <c r="NFN646" s="732"/>
      <c r="NFO646" s="731"/>
      <c r="NFP646" s="733"/>
      <c r="NFQ646" s="731"/>
      <c r="NFR646" s="732"/>
      <c r="NFS646" s="731"/>
      <c r="NFT646" s="733"/>
      <c r="NFU646" s="731"/>
      <c r="NFV646" s="732"/>
      <c r="NFW646" s="731"/>
      <c r="NFX646" s="733"/>
      <c r="NFY646" s="731"/>
      <c r="NFZ646" s="732"/>
      <c r="NGA646" s="731"/>
      <c r="NGB646" s="733"/>
      <c r="NGC646" s="731"/>
      <c r="NGD646" s="732"/>
      <c r="NGE646" s="731"/>
      <c r="NGF646" s="733"/>
      <c r="NGG646" s="731"/>
      <c r="NGH646" s="732"/>
      <c r="NGI646" s="731"/>
      <c r="NGJ646" s="733"/>
      <c r="NGK646" s="731"/>
      <c r="NGL646" s="732"/>
      <c r="NGM646" s="731"/>
      <c r="NGN646" s="733"/>
      <c r="NGO646" s="731"/>
      <c r="NGP646" s="732"/>
      <c r="NGQ646" s="731"/>
      <c r="NGR646" s="733"/>
      <c r="NGS646" s="731"/>
      <c r="NGT646" s="732"/>
      <c r="NGU646" s="731"/>
      <c r="NGV646" s="733"/>
      <c r="NGW646" s="731"/>
      <c r="NGX646" s="732"/>
      <c r="NGY646" s="731"/>
      <c r="NGZ646" s="733"/>
      <c r="NHA646" s="731"/>
      <c r="NHB646" s="732"/>
      <c r="NHC646" s="731"/>
      <c r="NHD646" s="733"/>
      <c r="NHE646" s="731"/>
      <c r="NHF646" s="732"/>
      <c r="NHG646" s="731"/>
      <c r="NHH646" s="733"/>
      <c r="NHI646" s="731"/>
      <c r="NHJ646" s="732"/>
      <c r="NHK646" s="731"/>
      <c r="NHL646" s="733"/>
      <c r="NHM646" s="731"/>
      <c r="NHN646" s="732"/>
      <c r="NHO646" s="731"/>
      <c r="NHP646" s="733"/>
      <c r="NHQ646" s="731"/>
      <c r="NHR646" s="732"/>
      <c r="NHS646" s="731"/>
      <c r="NHT646" s="733"/>
      <c r="NHU646" s="731"/>
      <c r="NHV646" s="732"/>
      <c r="NHW646" s="731"/>
      <c r="NHX646" s="733"/>
      <c r="NHY646" s="731"/>
      <c r="NHZ646" s="732"/>
      <c r="NIA646" s="731"/>
      <c r="NIB646" s="733"/>
      <c r="NIC646" s="731"/>
      <c r="NID646" s="732"/>
      <c r="NIE646" s="731"/>
      <c r="NIF646" s="733"/>
      <c r="NIG646" s="731"/>
      <c r="NIH646" s="732"/>
      <c r="NII646" s="731"/>
      <c r="NIJ646" s="733"/>
      <c r="NIK646" s="731"/>
      <c r="NIL646" s="732"/>
      <c r="NIM646" s="731"/>
      <c r="NIN646" s="733"/>
      <c r="NIO646" s="731"/>
      <c r="NIP646" s="732"/>
      <c r="NIQ646" s="731"/>
      <c r="NIR646" s="733"/>
      <c r="NIS646" s="731"/>
      <c r="NIT646" s="732"/>
      <c r="NIU646" s="731"/>
      <c r="NIV646" s="733"/>
      <c r="NIW646" s="731"/>
      <c r="NIX646" s="732"/>
      <c r="NIY646" s="731"/>
      <c r="NIZ646" s="733"/>
      <c r="NJA646" s="731"/>
      <c r="NJB646" s="732"/>
      <c r="NJC646" s="731"/>
      <c r="NJD646" s="733"/>
      <c r="NJE646" s="731"/>
      <c r="NJF646" s="732"/>
      <c r="NJG646" s="731"/>
      <c r="NJH646" s="733"/>
      <c r="NJI646" s="731"/>
      <c r="NJJ646" s="732"/>
      <c r="NJK646" s="731"/>
      <c r="NJL646" s="733"/>
      <c r="NJM646" s="731"/>
      <c r="NJN646" s="732"/>
      <c r="NJO646" s="731"/>
      <c r="NJP646" s="733"/>
      <c r="NJQ646" s="731"/>
      <c r="NJR646" s="732"/>
      <c r="NJS646" s="731"/>
      <c r="NJT646" s="733"/>
      <c r="NJU646" s="731"/>
      <c r="NJV646" s="732"/>
      <c r="NJW646" s="731"/>
      <c r="NJX646" s="733"/>
      <c r="NJY646" s="731"/>
      <c r="NJZ646" s="732"/>
      <c r="NKA646" s="731"/>
      <c r="NKB646" s="733"/>
      <c r="NKC646" s="731"/>
      <c r="NKD646" s="732"/>
      <c r="NKE646" s="731"/>
      <c r="NKF646" s="733"/>
      <c r="NKG646" s="731"/>
      <c r="NKH646" s="732"/>
      <c r="NKI646" s="731"/>
      <c r="NKJ646" s="733"/>
      <c r="NKK646" s="731"/>
      <c r="NKL646" s="732"/>
      <c r="NKM646" s="731"/>
      <c r="NKN646" s="733"/>
      <c r="NKO646" s="731"/>
      <c r="NKP646" s="732"/>
      <c r="NKQ646" s="731"/>
      <c r="NKR646" s="733"/>
      <c r="NKS646" s="731"/>
      <c r="NKT646" s="732"/>
      <c r="NKU646" s="731"/>
      <c r="NKV646" s="733"/>
      <c r="NKW646" s="731"/>
      <c r="NKX646" s="732"/>
      <c r="NKY646" s="731"/>
      <c r="NKZ646" s="733"/>
      <c r="NLA646" s="731"/>
      <c r="NLB646" s="732"/>
      <c r="NLC646" s="731"/>
      <c r="NLD646" s="733"/>
      <c r="NLE646" s="731"/>
      <c r="NLF646" s="732"/>
      <c r="NLG646" s="731"/>
      <c r="NLH646" s="733"/>
      <c r="NLI646" s="731"/>
      <c r="NLJ646" s="732"/>
      <c r="NLK646" s="731"/>
      <c r="NLL646" s="733"/>
      <c r="NLM646" s="731"/>
      <c r="NLN646" s="732"/>
      <c r="NLO646" s="731"/>
      <c r="NLP646" s="733"/>
      <c r="NLQ646" s="731"/>
      <c r="NLR646" s="732"/>
      <c r="NLS646" s="731"/>
      <c r="NLT646" s="733"/>
      <c r="NLU646" s="731"/>
      <c r="NLV646" s="732"/>
      <c r="NLW646" s="731"/>
      <c r="NLX646" s="733"/>
      <c r="NLY646" s="731"/>
      <c r="NLZ646" s="732"/>
      <c r="NMA646" s="731"/>
      <c r="NMB646" s="733"/>
      <c r="NMC646" s="731"/>
      <c r="NMD646" s="732"/>
      <c r="NME646" s="731"/>
      <c r="NMF646" s="733"/>
      <c r="NMG646" s="731"/>
      <c r="NMH646" s="732"/>
      <c r="NMI646" s="731"/>
      <c r="NMJ646" s="733"/>
      <c r="NMK646" s="731"/>
      <c r="NML646" s="732"/>
      <c r="NMM646" s="731"/>
      <c r="NMN646" s="733"/>
      <c r="NMO646" s="731"/>
      <c r="NMP646" s="732"/>
      <c r="NMQ646" s="731"/>
      <c r="NMR646" s="733"/>
      <c r="NMS646" s="731"/>
      <c r="NMT646" s="732"/>
      <c r="NMU646" s="731"/>
      <c r="NMV646" s="733"/>
      <c r="NMW646" s="731"/>
      <c r="NMX646" s="732"/>
      <c r="NMY646" s="731"/>
      <c r="NMZ646" s="733"/>
      <c r="NNA646" s="731"/>
      <c r="NNB646" s="732"/>
      <c r="NNC646" s="731"/>
      <c r="NND646" s="733"/>
      <c r="NNE646" s="731"/>
      <c r="NNF646" s="732"/>
      <c r="NNG646" s="731"/>
      <c r="NNH646" s="733"/>
      <c r="NNI646" s="731"/>
      <c r="NNJ646" s="732"/>
      <c r="NNK646" s="731"/>
      <c r="NNL646" s="733"/>
      <c r="NNM646" s="731"/>
      <c r="NNN646" s="732"/>
      <c r="NNO646" s="731"/>
      <c r="NNP646" s="733"/>
      <c r="NNQ646" s="731"/>
      <c r="NNR646" s="732"/>
      <c r="NNS646" s="731"/>
      <c r="NNT646" s="733"/>
      <c r="NNU646" s="731"/>
      <c r="NNV646" s="732"/>
      <c r="NNW646" s="731"/>
      <c r="NNX646" s="733"/>
      <c r="NNY646" s="731"/>
      <c r="NNZ646" s="732"/>
      <c r="NOA646" s="731"/>
      <c r="NOB646" s="733"/>
      <c r="NOC646" s="731"/>
      <c r="NOD646" s="732"/>
      <c r="NOE646" s="731"/>
      <c r="NOF646" s="733"/>
      <c r="NOG646" s="731"/>
      <c r="NOH646" s="732"/>
      <c r="NOI646" s="731"/>
      <c r="NOJ646" s="733"/>
      <c r="NOK646" s="731"/>
      <c r="NOL646" s="732"/>
      <c r="NOM646" s="731"/>
      <c r="NON646" s="733"/>
      <c r="NOO646" s="731"/>
      <c r="NOP646" s="732"/>
      <c r="NOQ646" s="731"/>
      <c r="NOR646" s="733"/>
      <c r="NOS646" s="731"/>
      <c r="NOT646" s="732"/>
      <c r="NOU646" s="731"/>
      <c r="NOV646" s="733"/>
      <c r="NOW646" s="731"/>
      <c r="NOX646" s="732"/>
      <c r="NOY646" s="731"/>
      <c r="NOZ646" s="733"/>
      <c r="NPA646" s="731"/>
      <c r="NPB646" s="732"/>
      <c r="NPC646" s="731"/>
      <c r="NPD646" s="733"/>
      <c r="NPE646" s="731"/>
      <c r="NPF646" s="732"/>
      <c r="NPG646" s="731"/>
      <c r="NPH646" s="733"/>
      <c r="NPI646" s="731"/>
      <c r="NPJ646" s="732"/>
      <c r="NPK646" s="731"/>
      <c r="NPL646" s="733"/>
      <c r="NPM646" s="731"/>
      <c r="NPN646" s="732"/>
      <c r="NPO646" s="731"/>
      <c r="NPP646" s="733"/>
      <c r="NPQ646" s="731"/>
      <c r="NPR646" s="732"/>
      <c r="NPS646" s="731"/>
      <c r="NPT646" s="733"/>
      <c r="NPU646" s="731"/>
      <c r="NPV646" s="732"/>
      <c r="NPW646" s="731"/>
      <c r="NPX646" s="733"/>
      <c r="NPY646" s="731"/>
      <c r="NPZ646" s="732"/>
      <c r="NQA646" s="731"/>
      <c r="NQB646" s="733"/>
      <c r="NQC646" s="731"/>
      <c r="NQD646" s="732"/>
      <c r="NQE646" s="731"/>
      <c r="NQF646" s="733"/>
      <c r="NQG646" s="731"/>
      <c r="NQH646" s="732"/>
      <c r="NQI646" s="731"/>
      <c r="NQJ646" s="733"/>
      <c r="NQK646" s="731"/>
      <c r="NQL646" s="732"/>
      <c r="NQM646" s="731"/>
      <c r="NQN646" s="733"/>
      <c r="NQO646" s="731"/>
      <c r="NQP646" s="732"/>
      <c r="NQQ646" s="731"/>
      <c r="NQR646" s="733"/>
      <c r="NQS646" s="731"/>
      <c r="NQT646" s="732"/>
      <c r="NQU646" s="731"/>
      <c r="NQV646" s="733"/>
      <c r="NQW646" s="731"/>
      <c r="NQX646" s="732"/>
      <c r="NQY646" s="731"/>
      <c r="NQZ646" s="733"/>
      <c r="NRA646" s="731"/>
      <c r="NRB646" s="732"/>
      <c r="NRC646" s="731"/>
      <c r="NRD646" s="733"/>
      <c r="NRE646" s="731"/>
      <c r="NRF646" s="732"/>
      <c r="NRG646" s="731"/>
      <c r="NRH646" s="733"/>
      <c r="NRI646" s="731"/>
      <c r="NRJ646" s="732"/>
      <c r="NRK646" s="731"/>
      <c r="NRL646" s="733"/>
      <c r="NRM646" s="731"/>
      <c r="NRN646" s="732"/>
      <c r="NRO646" s="731"/>
      <c r="NRP646" s="733"/>
      <c r="NRQ646" s="731"/>
      <c r="NRR646" s="732"/>
      <c r="NRS646" s="731"/>
      <c r="NRT646" s="733"/>
      <c r="NRU646" s="731"/>
      <c r="NRV646" s="732"/>
      <c r="NRW646" s="731"/>
      <c r="NRX646" s="733"/>
      <c r="NRY646" s="731"/>
      <c r="NRZ646" s="732"/>
      <c r="NSA646" s="731"/>
      <c r="NSB646" s="733"/>
      <c r="NSC646" s="731"/>
      <c r="NSD646" s="732"/>
      <c r="NSE646" s="731"/>
      <c r="NSF646" s="733"/>
      <c r="NSG646" s="731"/>
      <c r="NSH646" s="732"/>
      <c r="NSI646" s="731"/>
      <c r="NSJ646" s="733"/>
      <c r="NSK646" s="731"/>
      <c r="NSL646" s="732"/>
      <c r="NSM646" s="731"/>
      <c r="NSN646" s="733"/>
      <c r="NSO646" s="731"/>
      <c r="NSP646" s="732"/>
      <c r="NSQ646" s="731"/>
      <c r="NSR646" s="733"/>
      <c r="NSS646" s="731"/>
      <c r="NST646" s="732"/>
      <c r="NSU646" s="731"/>
      <c r="NSV646" s="733"/>
      <c r="NSW646" s="731"/>
      <c r="NSX646" s="732"/>
      <c r="NSY646" s="731"/>
      <c r="NSZ646" s="733"/>
      <c r="NTA646" s="731"/>
      <c r="NTB646" s="732"/>
      <c r="NTC646" s="731"/>
      <c r="NTD646" s="733"/>
      <c r="NTE646" s="731"/>
      <c r="NTF646" s="732"/>
      <c r="NTG646" s="731"/>
      <c r="NTH646" s="733"/>
      <c r="NTI646" s="731"/>
      <c r="NTJ646" s="732"/>
      <c r="NTK646" s="731"/>
      <c r="NTL646" s="733"/>
      <c r="NTM646" s="731"/>
      <c r="NTN646" s="732"/>
      <c r="NTO646" s="731"/>
      <c r="NTP646" s="733"/>
      <c r="NTQ646" s="731"/>
      <c r="NTR646" s="732"/>
      <c r="NTS646" s="731"/>
      <c r="NTT646" s="733"/>
      <c r="NTU646" s="731"/>
      <c r="NTV646" s="732"/>
      <c r="NTW646" s="731"/>
      <c r="NTX646" s="733"/>
      <c r="NTY646" s="731"/>
      <c r="NTZ646" s="732"/>
      <c r="NUA646" s="731"/>
      <c r="NUB646" s="733"/>
      <c r="NUC646" s="731"/>
      <c r="NUD646" s="732"/>
      <c r="NUE646" s="731"/>
      <c r="NUF646" s="733"/>
      <c r="NUG646" s="731"/>
      <c r="NUH646" s="732"/>
      <c r="NUI646" s="731"/>
      <c r="NUJ646" s="733"/>
      <c r="NUK646" s="731"/>
      <c r="NUL646" s="732"/>
      <c r="NUM646" s="731"/>
      <c r="NUN646" s="733"/>
      <c r="NUO646" s="731"/>
      <c r="NUP646" s="732"/>
      <c r="NUQ646" s="731"/>
      <c r="NUR646" s="733"/>
      <c r="NUS646" s="731"/>
      <c r="NUT646" s="732"/>
      <c r="NUU646" s="731"/>
      <c r="NUV646" s="733"/>
      <c r="NUW646" s="731"/>
      <c r="NUX646" s="732"/>
      <c r="NUY646" s="731"/>
      <c r="NUZ646" s="733"/>
      <c r="NVA646" s="731"/>
      <c r="NVB646" s="732"/>
      <c r="NVC646" s="731"/>
      <c r="NVD646" s="733"/>
      <c r="NVE646" s="731"/>
      <c r="NVF646" s="732"/>
      <c r="NVG646" s="731"/>
      <c r="NVH646" s="733"/>
      <c r="NVI646" s="731"/>
      <c r="NVJ646" s="732"/>
      <c r="NVK646" s="731"/>
      <c r="NVL646" s="733"/>
      <c r="NVM646" s="731"/>
      <c r="NVN646" s="732"/>
      <c r="NVO646" s="731"/>
      <c r="NVP646" s="733"/>
      <c r="NVQ646" s="731"/>
      <c r="NVR646" s="732"/>
      <c r="NVS646" s="731"/>
      <c r="NVT646" s="733"/>
      <c r="NVU646" s="731"/>
      <c r="NVV646" s="732"/>
      <c r="NVW646" s="731"/>
      <c r="NVX646" s="733"/>
      <c r="NVY646" s="731"/>
      <c r="NVZ646" s="732"/>
      <c r="NWA646" s="731"/>
      <c r="NWB646" s="733"/>
      <c r="NWC646" s="731"/>
      <c r="NWD646" s="732"/>
      <c r="NWE646" s="731"/>
      <c r="NWF646" s="733"/>
      <c r="NWG646" s="731"/>
      <c r="NWH646" s="732"/>
      <c r="NWI646" s="731"/>
      <c r="NWJ646" s="733"/>
      <c r="NWK646" s="731"/>
      <c r="NWL646" s="732"/>
      <c r="NWM646" s="731"/>
      <c r="NWN646" s="733"/>
      <c r="NWO646" s="731"/>
      <c r="NWP646" s="732"/>
      <c r="NWQ646" s="731"/>
      <c r="NWR646" s="733"/>
      <c r="NWS646" s="731"/>
      <c r="NWT646" s="732"/>
      <c r="NWU646" s="731"/>
      <c r="NWV646" s="733"/>
      <c r="NWW646" s="731"/>
      <c r="NWX646" s="732"/>
      <c r="NWY646" s="731"/>
      <c r="NWZ646" s="733"/>
      <c r="NXA646" s="731"/>
      <c r="NXB646" s="732"/>
      <c r="NXC646" s="731"/>
      <c r="NXD646" s="733"/>
      <c r="NXE646" s="731"/>
      <c r="NXF646" s="732"/>
      <c r="NXG646" s="731"/>
      <c r="NXH646" s="733"/>
      <c r="NXI646" s="731"/>
      <c r="NXJ646" s="732"/>
      <c r="NXK646" s="731"/>
      <c r="NXL646" s="733"/>
      <c r="NXM646" s="731"/>
      <c r="NXN646" s="732"/>
      <c r="NXO646" s="731"/>
      <c r="NXP646" s="733"/>
      <c r="NXQ646" s="731"/>
      <c r="NXR646" s="732"/>
      <c r="NXS646" s="731"/>
      <c r="NXT646" s="733"/>
      <c r="NXU646" s="731"/>
      <c r="NXV646" s="732"/>
      <c r="NXW646" s="731"/>
      <c r="NXX646" s="733"/>
      <c r="NXY646" s="731"/>
      <c r="NXZ646" s="732"/>
      <c r="NYA646" s="731"/>
      <c r="NYB646" s="733"/>
      <c r="NYC646" s="731"/>
      <c r="NYD646" s="732"/>
      <c r="NYE646" s="731"/>
      <c r="NYF646" s="733"/>
      <c r="NYG646" s="731"/>
      <c r="NYH646" s="732"/>
      <c r="NYI646" s="731"/>
      <c r="NYJ646" s="733"/>
      <c r="NYK646" s="731"/>
      <c r="NYL646" s="732"/>
      <c r="NYM646" s="731"/>
      <c r="NYN646" s="733"/>
      <c r="NYO646" s="731"/>
      <c r="NYP646" s="732"/>
      <c r="NYQ646" s="731"/>
      <c r="NYR646" s="733"/>
      <c r="NYS646" s="731"/>
      <c r="NYT646" s="732"/>
      <c r="NYU646" s="731"/>
      <c r="NYV646" s="733"/>
      <c r="NYW646" s="731"/>
      <c r="NYX646" s="732"/>
      <c r="NYY646" s="731"/>
      <c r="NYZ646" s="733"/>
      <c r="NZA646" s="731"/>
      <c r="NZB646" s="732"/>
      <c r="NZC646" s="731"/>
      <c r="NZD646" s="733"/>
      <c r="NZE646" s="731"/>
      <c r="NZF646" s="732"/>
      <c r="NZG646" s="731"/>
      <c r="NZH646" s="733"/>
      <c r="NZI646" s="731"/>
      <c r="NZJ646" s="732"/>
      <c r="NZK646" s="731"/>
      <c r="NZL646" s="733"/>
      <c r="NZM646" s="731"/>
      <c r="NZN646" s="732"/>
      <c r="NZO646" s="731"/>
      <c r="NZP646" s="733"/>
      <c r="NZQ646" s="731"/>
      <c r="NZR646" s="732"/>
      <c r="NZS646" s="731"/>
      <c r="NZT646" s="733"/>
      <c r="NZU646" s="731"/>
      <c r="NZV646" s="732"/>
      <c r="NZW646" s="731"/>
      <c r="NZX646" s="733"/>
      <c r="NZY646" s="731"/>
      <c r="NZZ646" s="732"/>
      <c r="OAA646" s="731"/>
      <c r="OAB646" s="733"/>
      <c r="OAC646" s="731"/>
      <c r="OAD646" s="732"/>
      <c r="OAE646" s="731"/>
      <c r="OAF646" s="733"/>
      <c r="OAG646" s="731"/>
      <c r="OAH646" s="732"/>
      <c r="OAI646" s="731"/>
      <c r="OAJ646" s="733"/>
      <c r="OAK646" s="731"/>
      <c r="OAL646" s="732"/>
      <c r="OAM646" s="731"/>
      <c r="OAN646" s="733"/>
      <c r="OAO646" s="731"/>
      <c r="OAP646" s="732"/>
      <c r="OAQ646" s="731"/>
      <c r="OAR646" s="733"/>
      <c r="OAS646" s="731"/>
      <c r="OAT646" s="732"/>
      <c r="OAU646" s="731"/>
      <c r="OAV646" s="733"/>
      <c r="OAW646" s="731"/>
      <c r="OAX646" s="732"/>
      <c r="OAY646" s="731"/>
      <c r="OAZ646" s="733"/>
      <c r="OBA646" s="731"/>
      <c r="OBB646" s="732"/>
      <c r="OBC646" s="731"/>
      <c r="OBD646" s="733"/>
      <c r="OBE646" s="731"/>
      <c r="OBF646" s="732"/>
      <c r="OBG646" s="731"/>
      <c r="OBH646" s="733"/>
      <c r="OBI646" s="731"/>
      <c r="OBJ646" s="732"/>
      <c r="OBK646" s="731"/>
      <c r="OBL646" s="733"/>
      <c r="OBM646" s="731"/>
      <c r="OBN646" s="732"/>
      <c r="OBO646" s="731"/>
      <c r="OBP646" s="733"/>
      <c r="OBQ646" s="731"/>
      <c r="OBR646" s="732"/>
      <c r="OBS646" s="731"/>
      <c r="OBT646" s="733"/>
      <c r="OBU646" s="731"/>
      <c r="OBV646" s="732"/>
      <c r="OBW646" s="731"/>
      <c r="OBX646" s="733"/>
      <c r="OBY646" s="731"/>
      <c r="OBZ646" s="732"/>
      <c r="OCA646" s="731"/>
      <c r="OCB646" s="733"/>
      <c r="OCC646" s="731"/>
      <c r="OCD646" s="732"/>
      <c r="OCE646" s="731"/>
      <c r="OCF646" s="733"/>
      <c r="OCG646" s="731"/>
      <c r="OCH646" s="732"/>
      <c r="OCI646" s="731"/>
      <c r="OCJ646" s="733"/>
      <c r="OCK646" s="731"/>
      <c r="OCL646" s="732"/>
      <c r="OCM646" s="731"/>
      <c r="OCN646" s="733"/>
      <c r="OCO646" s="731"/>
      <c r="OCP646" s="732"/>
      <c r="OCQ646" s="731"/>
      <c r="OCR646" s="733"/>
      <c r="OCS646" s="731"/>
      <c r="OCT646" s="732"/>
      <c r="OCU646" s="731"/>
      <c r="OCV646" s="733"/>
      <c r="OCW646" s="731"/>
      <c r="OCX646" s="732"/>
      <c r="OCY646" s="731"/>
      <c r="OCZ646" s="733"/>
      <c r="ODA646" s="731"/>
      <c r="ODB646" s="732"/>
      <c r="ODC646" s="731"/>
      <c r="ODD646" s="733"/>
      <c r="ODE646" s="731"/>
      <c r="ODF646" s="732"/>
      <c r="ODG646" s="731"/>
      <c r="ODH646" s="733"/>
      <c r="ODI646" s="731"/>
      <c r="ODJ646" s="732"/>
      <c r="ODK646" s="731"/>
      <c r="ODL646" s="733"/>
      <c r="ODM646" s="731"/>
      <c r="ODN646" s="732"/>
      <c r="ODO646" s="731"/>
      <c r="ODP646" s="733"/>
      <c r="ODQ646" s="731"/>
      <c r="ODR646" s="732"/>
      <c r="ODS646" s="731"/>
      <c r="ODT646" s="733"/>
      <c r="ODU646" s="731"/>
      <c r="ODV646" s="732"/>
      <c r="ODW646" s="731"/>
      <c r="ODX646" s="733"/>
      <c r="ODY646" s="731"/>
      <c r="ODZ646" s="732"/>
      <c r="OEA646" s="731"/>
      <c r="OEB646" s="733"/>
      <c r="OEC646" s="731"/>
      <c r="OED646" s="732"/>
      <c r="OEE646" s="731"/>
      <c r="OEF646" s="733"/>
      <c r="OEG646" s="731"/>
      <c r="OEH646" s="732"/>
      <c r="OEI646" s="731"/>
      <c r="OEJ646" s="733"/>
      <c r="OEK646" s="731"/>
      <c r="OEL646" s="732"/>
      <c r="OEM646" s="731"/>
      <c r="OEN646" s="733"/>
      <c r="OEO646" s="731"/>
      <c r="OEP646" s="732"/>
      <c r="OEQ646" s="731"/>
      <c r="OER646" s="733"/>
      <c r="OES646" s="731"/>
      <c r="OET646" s="732"/>
      <c r="OEU646" s="731"/>
      <c r="OEV646" s="733"/>
      <c r="OEW646" s="731"/>
      <c r="OEX646" s="732"/>
      <c r="OEY646" s="731"/>
      <c r="OEZ646" s="733"/>
      <c r="OFA646" s="731"/>
      <c r="OFB646" s="732"/>
      <c r="OFC646" s="731"/>
      <c r="OFD646" s="733"/>
      <c r="OFE646" s="731"/>
      <c r="OFF646" s="732"/>
      <c r="OFG646" s="731"/>
      <c r="OFH646" s="733"/>
      <c r="OFI646" s="731"/>
      <c r="OFJ646" s="732"/>
      <c r="OFK646" s="731"/>
      <c r="OFL646" s="733"/>
      <c r="OFM646" s="731"/>
      <c r="OFN646" s="732"/>
      <c r="OFO646" s="731"/>
      <c r="OFP646" s="733"/>
      <c r="OFQ646" s="731"/>
      <c r="OFR646" s="732"/>
      <c r="OFS646" s="731"/>
      <c r="OFT646" s="733"/>
      <c r="OFU646" s="731"/>
      <c r="OFV646" s="732"/>
      <c r="OFW646" s="731"/>
      <c r="OFX646" s="733"/>
      <c r="OFY646" s="731"/>
      <c r="OFZ646" s="732"/>
      <c r="OGA646" s="731"/>
      <c r="OGB646" s="733"/>
      <c r="OGC646" s="731"/>
      <c r="OGD646" s="732"/>
      <c r="OGE646" s="731"/>
      <c r="OGF646" s="733"/>
      <c r="OGG646" s="731"/>
      <c r="OGH646" s="732"/>
      <c r="OGI646" s="731"/>
      <c r="OGJ646" s="733"/>
      <c r="OGK646" s="731"/>
      <c r="OGL646" s="732"/>
      <c r="OGM646" s="731"/>
      <c r="OGN646" s="733"/>
      <c r="OGO646" s="731"/>
      <c r="OGP646" s="732"/>
      <c r="OGQ646" s="731"/>
      <c r="OGR646" s="733"/>
      <c r="OGS646" s="731"/>
      <c r="OGT646" s="732"/>
      <c r="OGU646" s="731"/>
      <c r="OGV646" s="733"/>
      <c r="OGW646" s="731"/>
      <c r="OGX646" s="732"/>
      <c r="OGY646" s="731"/>
      <c r="OGZ646" s="733"/>
      <c r="OHA646" s="731"/>
      <c r="OHB646" s="732"/>
      <c r="OHC646" s="731"/>
      <c r="OHD646" s="733"/>
      <c r="OHE646" s="731"/>
      <c r="OHF646" s="732"/>
      <c r="OHG646" s="731"/>
      <c r="OHH646" s="733"/>
      <c r="OHI646" s="731"/>
      <c r="OHJ646" s="732"/>
      <c r="OHK646" s="731"/>
      <c r="OHL646" s="733"/>
      <c r="OHM646" s="731"/>
      <c r="OHN646" s="732"/>
      <c r="OHO646" s="731"/>
      <c r="OHP646" s="733"/>
      <c r="OHQ646" s="731"/>
      <c r="OHR646" s="732"/>
      <c r="OHS646" s="731"/>
      <c r="OHT646" s="733"/>
      <c r="OHU646" s="731"/>
      <c r="OHV646" s="732"/>
      <c r="OHW646" s="731"/>
      <c r="OHX646" s="733"/>
      <c r="OHY646" s="731"/>
      <c r="OHZ646" s="732"/>
      <c r="OIA646" s="731"/>
      <c r="OIB646" s="733"/>
      <c r="OIC646" s="731"/>
      <c r="OID646" s="732"/>
      <c r="OIE646" s="731"/>
      <c r="OIF646" s="733"/>
      <c r="OIG646" s="731"/>
      <c r="OIH646" s="732"/>
      <c r="OII646" s="731"/>
      <c r="OIJ646" s="733"/>
      <c r="OIK646" s="731"/>
      <c r="OIL646" s="732"/>
      <c r="OIM646" s="731"/>
      <c r="OIN646" s="733"/>
      <c r="OIO646" s="731"/>
      <c r="OIP646" s="732"/>
      <c r="OIQ646" s="731"/>
      <c r="OIR646" s="733"/>
      <c r="OIS646" s="731"/>
      <c r="OIT646" s="732"/>
      <c r="OIU646" s="731"/>
      <c r="OIV646" s="733"/>
      <c r="OIW646" s="731"/>
      <c r="OIX646" s="732"/>
      <c r="OIY646" s="731"/>
      <c r="OIZ646" s="733"/>
      <c r="OJA646" s="731"/>
      <c r="OJB646" s="732"/>
      <c r="OJC646" s="731"/>
      <c r="OJD646" s="733"/>
      <c r="OJE646" s="731"/>
      <c r="OJF646" s="732"/>
      <c r="OJG646" s="731"/>
      <c r="OJH646" s="733"/>
      <c r="OJI646" s="731"/>
      <c r="OJJ646" s="732"/>
      <c r="OJK646" s="731"/>
      <c r="OJL646" s="733"/>
      <c r="OJM646" s="731"/>
      <c r="OJN646" s="732"/>
      <c r="OJO646" s="731"/>
      <c r="OJP646" s="733"/>
      <c r="OJQ646" s="731"/>
      <c r="OJR646" s="732"/>
      <c r="OJS646" s="731"/>
      <c r="OJT646" s="733"/>
      <c r="OJU646" s="731"/>
      <c r="OJV646" s="732"/>
      <c r="OJW646" s="731"/>
      <c r="OJX646" s="733"/>
      <c r="OJY646" s="731"/>
      <c r="OJZ646" s="732"/>
      <c r="OKA646" s="731"/>
      <c r="OKB646" s="733"/>
      <c r="OKC646" s="731"/>
      <c r="OKD646" s="732"/>
      <c r="OKE646" s="731"/>
      <c r="OKF646" s="733"/>
      <c r="OKG646" s="731"/>
      <c r="OKH646" s="732"/>
      <c r="OKI646" s="731"/>
      <c r="OKJ646" s="733"/>
      <c r="OKK646" s="731"/>
      <c r="OKL646" s="732"/>
      <c r="OKM646" s="731"/>
      <c r="OKN646" s="733"/>
      <c r="OKO646" s="731"/>
      <c r="OKP646" s="732"/>
      <c r="OKQ646" s="731"/>
      <c r="OKR646" s="733"/>
      <c r="OKS646" s="731"/>
      <c r="OKT646" s="732"/>
      <c r="OKU646" s="731"/>
      <c r="OKV646" s="733"/>
      <c r="OKW646" s="731"/>
      <c r="OKX646" s="732"/>
      <c r="OKY646" s="731"/>
      <c r="OKZ646" s="733"/>
      <c r="OLA646" s="731"/>
      <c r="OLB646" s="732"/>
      <c r="OLC646" s="731"/>
      <c r="OLD646" s="733"/>
      <c r="OLE646" s="731"/>
      <c r="OLF646" s="732"/>
      <c r="OLG646" s="731"/>
      <c r="OLH646" s="733"/>
      <c r="OLI646" s="731"/>
      <c r="OLJ646" s="732"/>
      <c r="OLK646" s="731"/>
      <c r="OLL646" s="733"/>
      <c r="OLM646" s="731"/>
      <c r="OLN646" s="732"/>
      <c r="OLO646" s="731"/>
      <c r="OLP646" s="733"/>
      <c r="OLQ646" s="731"/>
      <c r="OLR646" s="732"/>
      <c r="OLS646" s="731"/>
      <c r="OLT646" s="733"/>
      <c r="OLU646" s="731"/>
      <c r="OLV646" s="732"/>
      <c r="OLW646" s="731"/>
      <c r="OLX646" s="733"/>
      <c r="OLY646" s="731"/>
      <c r="OLZ646" s="732"/>
      <c r="OMA646" s="731"/>
      <c r="OMB646" s="733"/>
      <c r="OMC646" s="731"/>
      <c r="OMD646" s="732"/>
      <c r="OME646" s="731"/>
      <c r="OMF646" s="733"/>
      <c r="OMG646" s="731"/>
      <c r="OMH646" s="732"/>
      <c r="OMI646" s="731"/>
      <c r="OMJ646" s="733"/>
      <c r="OMK646" s="731"/>
      <c r="OML646" s="732"/>
      <c r="OMM646" s="731"/>
      <c r="OMN646" s="733"/>
      <c r="OMO646" s="731"/>
      <c r="OMP646" s="732"/>
      <c r="OMQ646" s="731"/>
      <c r="OMR646" s="733"/>
      <c r="OMS646" s="731"/>
      <c r="OMT646" s="732"/>
      <c r="OMU646" s="731"/>
      <c r="OMV646" s="733"/>
      <c r="OMW646" s="731"/>
      <c r="OMX646" s="732"/>
      <c r="OMY646" s="731"/>
      <c r="OMZ646" s="733"/>
      <c r="ONA646" s="731"/>
      <c r="ONB646" s="732"/>
      <c r="ONC646" s="731"/>
      <c r="OND646" s="733"/>
      <c r="ONE646" s="731"/>
      <c r="ONF646" s="732"/>
      <c r="ONG646" s="731"/>
      <c r="ONH646" s="733"/>
      <c r="ONI646" s="731"/>
      <c r="ONJ646" s="732"/>
      <c r="ONK646" s="731"/>
      <c r="ONL646" s="733"/>
      <c r="ONM646" s="731"/>
      <c r="ONN646" s="732"/>
      <c r="ONO646" s="731"/>
      <c r="ONP646" s="733"/>
      <c r="ONQ646" s="731"/>
      <c r="ONR646" s="732"/>
      <c r="ONS646" s="731"/>
      <c r="ONT646" s="733"/>
      <c r="ONU646" s="731"/>
      <c r="ONV646" s="732"/>
      <c r="ONW646" s="731"/>
      <c r="ONX646" s="733"/>
      <c r="ONY646" s="731"/>
      <c r="ONZ646" s="732"/>
      <c r="OOA646" s="731"/>
      <c r="OOB646" s="733"/>
      <c r="OOC646" s="731"/>
      <c r="OOD646" s="732"/>
      <c r="OOE646" s="731"/>
      <c r="OOF646" s="733"/>
      <c r="OOG646" s="731"/>
      <c r="OOH646" s="732"/>
      <c r="OOI646" s="731"/>
      <c r="OOJ646" s="733"/>
      <c r="OOK646" s="731"/>
      <c r="OOL646" s="732"/>
      <c r="OOM646" s="731"/>
      <c r="OON646" s="733"/>
      <c r="OOO646" s="731"/>
      <c r="OOP646" s="732"/>
      <c r="OOQ646" s="731"/>
      <c r="OOR646" s="733"/>
      <c r="OOS646" s="731"/>
      <c r="OOT646" s="732"/>
      <c r="OOU646" s="731"/>
      <c r="OOV646" s="733"/>
      <c r="OOW646" s="731"/>
      <c r="OOX646" s="732"/>
      <c r="OOY646" s="731"/>
      <c r="OOZ646" s="733"/>
      <c r="OPA646" s="731"/>
      <c r="OPB646" s="732"/>
      <c r="OPC646" s="731"/>
      <c r="OPD646" s="733"/>
      <c r="OPE646" s="731"/>
      <c r="OPF646" s="732"/>
      <c r="OPG646" s="731"/>
      <c r="OPH646" s="733"/>
      <c r="OPI646" s="731"/>
      <c r="OPJ646" s="732"/>
      <c r="OPK646" s="731"/>
      <c r="OPL646" s="733"/>
      <c r="OPM646" s="731"/>
      <c r="OPN646" s="732"/>
      <c r="OPO646" s="731"/>
      <c r="OPP646" s="733"/>
      <c r="OPQ646" s="731"/>
      <c r="OPR646" s="732"/>
      <c r="OPS646" s="731"/>
      <c r="OPT646" s="733"/>
      <c r="OPU646" s="731"/>
      <c r="OPV646" s="732"/>
      <c r="OPW646" s="731"/>
      <c r="OPX646" s="733"/>
      <c r="OPY646" s="731"/>
      <c r="OPZ646" s="732"/>
      <c r="OQA646" s="731"/>
      <c r="OQB646" s="733"/>
      <c r="OQC646" s="731"/>
      <c r="OQD646" s="732"/>
      <c r="OQE646" s="731"/>
      <c r="OQF646" s="733"/>
      <c r="OQG646" s="731"/>
      <c r="OQH646" s="732"/>
      <c r="OQI646" s="731"/>
      <c r="OQJ646" s="733"/>
      <c r="OQK646" s="731"/>
      <c r="OQL646" s="732"/>
      <c r="OQM646" s="731"/>
      <c r="OQN646" s="733"/>
      <c r="OQO646" s="731"/>
      <c r="OQP646" s="732"/>
      <c r="OQQ646" s="731"/>
      <c r="OQR646" s="733"/>
      <c r="OQS646" s="731"/>
      <c r="OQT646" s="732"/>
      <c r="OQU646" s="731"/>
      <c r="OQV646" s="733"/>
      <c r="OQW646" s="731"/>
      <c r="OQX646" s="732"/>
      <c r="OQY646" s="731"/>
      <c r="OQZ646" s="733"/>
      <c r="ORA646" s="731"/>
      <c r="ORB646" s="732"/>
      <c r="ORC646" s="731"/>
      <c r="ORD646" s="733"/>
      <c r="ORE646" s="731"/>
      <c r="ORF646" s="732"/>
      <c r="ORG646" s="731"/>
      <c r="ORH646" s="733"/>
      <c r="ORI646" s="731"/>
      <c r="ORJ646" s="732"/>
      <c r="ORK646" s="731"/>
      <c r="ORL646" s="733"/>
      <c r="ORM646" s="731"/>
      <c r="ORN646" s="732"/>
      <c r="ORO646" s="731"/>
      <c r="ORP646" s="733"/>
      <c r="ORQ646" s="731"/>
      <c r="ORR646" s="732"/>
      <c r="ORS646" s="731"/>
      <c r="ORT646" s="733"/>
      <c r="ORU646" s="731"/>
      <c r="ORV646" s="732"/>
      <c r="ORW646" s="731"/>
      <c r="ORX646" s="733"/>
      <c r="ORY646" s="731"/>
      <c r="ORZ646" s="732"/>
      <c r="OSA646" s="731"/>
      <c r="OSB646" s="733"/>
      <c r="OSC646" s="731"/>
      <c r="OSD646" s="732"/>
      <c r="OSE646" s="731"/>
      <c r="OSF646" s="733"/>
      <c r="OSG646" s="731"/>
      <c r="OSH646" s="732"/>
      <c r="OSI646" s="731"/>
      <c r="OSJ646" s="733"/>
      <c r="OSK646" s="731"/>
      <c r="OSL646" s="732"/>
      <c r="OSM646" s="731"/>
      <c r="OSN646" s="733"/>
      <c r="OSO646" s="731"/>
      <c r="OSP646" s="732"/>
      <c r="OSQ646" s="731"/>
      <c r="OSR646" s="733"/>
      <c r="OSS646" s="731"/>
      <c r="OST646" s="732"/>
      <c r="OSU646" s="731"/>
      <c r="OSV646" s="733"/>
      <c r="OSW646" s="731"/>
      <c r="OSX646" s="732"/>
      <c r="OSY646" s="731"/>
      <c r="OSZ646" s="733"/>
      <c r="OTA646" s="731"/>
      <c r="OTB646" s="732"/>
      <c r="OTC646" s="731"/>
      <c r="OTD646" s="733"/>
      <c r="OTE646" s="731"/>
      <c r="OTF646" s="732"/>
      <c r="OTG646" s="731"/>
      <c r="OTH646" s="733"/>
      <c r="OTI646" s="731"/>
      <c r="OTJ646" s="732"/>
      <c r="OTK646" s="731"/>
      <c r="OTL646" s="733"/>
      <c r="OTM646" s="731"/>
      <c r="OTN646" s="732"/>
      <c r="OTO646" s="731"/>
      <c r="OTP646" s="733"/>
      <c r="OTQ646" s="731"/>
      <c r="OTR646" s="732"/>
      <c r="OTS646" s="731"/>
      <c r="OTT646" s="733"/>
      <c r="OTU646" s="731"/>
      <c r="OTV646" s="732"/>
      <c r="OTW646" s="731"/>
      <c r="OTX646" s="733"/>
      <c r="OTY646" s="731"/>
      <c r="OTZ646" s="732"/>
      <c r="OUA646" s="731"/>
      <c r="OUB646" s="733"/>
      <c r="OUC646" s="731"/>
      <c r="OUD646" s="732"/>
      <c r="OUE646" s="731"/>
      <c r="OUF646" s="733"/>
      <c r="OUG646" s="731"/>
      <c r="OUH646" s="732"/>
      <c r="OUI646" s="731"/>
      <c r="OUJ646" s="733"/>
      <c r="OUK646" s="731"/>
      <c r="OUL646" s="732"/>
      <c r="OUM646" s="731"/>
      <c r="OUN646" s="733"/>
      <c r="OUO646" s="731"/>
      <c r="OUP646" s="732"/>
      <c r="OUQ646" s="731"/>
      <c r="OUR646" s="733"/>
      <c r="OUS646" s="731"/>
      <c r="OUT646" s="732"/>
      <c r="OUU646" s="731"/>
      <c r="OUV646" s="733"/>
      <c r="OUW646" s="731"/>
      <c r="OUX646" s="732"/>
      <c r="OUY646" s="731"/>
      <c r="OUZ646" s="733"/>
      <c r="OVA646" s="731"/>
      <c r="OVB646" s="732"/>
      <c r="OVC646" s="731"/>
      <c r="OVD646" s="733"/>
      <c r="OVE646" s="731"/>
      <c r="OVF646" s="732"/>
      <c r="OVG646" s="731"/>
      <c r="OVH646" s="733"/>
      <c r="OVI646" s="731"/>
      <c r="OVJ646" s="732"/>
      <c r="OVK646" s="731"/>
      <c r="OVL646" s="733"/>
      <c r="OVM646" s="731"/>
      <c r="OVN646" s="732"/>
      <c r="OVO646" s="731"/>
      <c r="OVP646" s="733"/>
      <c r="OVQ646" s="731"/>
      <c r="OVR646" s="732"/>
      <c r="OVS646" s="731"/>
      <c r="OVT646" s="733"/>
      <c r="OVU646" s="731"/>
      <c r="OVV646" s="732"/>
      <c r="OVW646" s="731"/>
      <c r="OVX646" s="733"/>
      <c r="OVY646" s="731"/>
      <c r="OVZ646" s="732"/>
      <c r="OWA646" s="731"/>
      <c r="OWB646" s="733"/>
      <c r="OWC646" s="731"/>
      <c r="OWD646" s="732"/>
      <c r="OWE646" s="731"/>
      <c r="OWF646" s="733"/>
      <c r="OWG646" s="731"/>
      <c r="OWH646" s="732"/>
      <c r="OWI646" s="731"/>
      <c r="OWJ646" s="733"/>
      <c r="OWK646" s="731"/>
      <c r="OWL646" s="732"/>
      <c r="OWM646" s="731"/>
      <c r="OWN646" s="733"/>
      <c r="OWO646" s="731"/>
      <c r="OWP646" s="732"/>
      <c r="OWQ646" s="731"/>
      <c r="OWR646" s="733"/>
      <c r="OWS646" s="731"/>
      <c r="OWT646" s="732"/>
      <c r="OWU646" s="731"/>
      <c r="OWV646" s="733"/>
      <c r="OWW646" s="731"/>
      <c r="OWX646" s="732"/>
      <c r="OWY646" s="731"/>
      <c r="OWZ646" s="733"/>
      <c r="OXA646" s="731"/>
      <c r="OXB646" s="732"/>
      <c r="OXC646" s="731"/>
      <c r="OXD646" s="733"/>
      <c r="OXE646" s="731"/>
      <c r="OXF646" s="732"/>
      <c r="OXG646" s="731"/>
      <c r="OXH646" s="733"/>
      <c r="OXI646" s="731"/>
      <c r="OXJ646" s="732"/>
      <c r="OXK646" s="731"/>
      <c r="OXL646" s="733"/>
      <c r="OXM646" s="731"/>
      <c r="OXN646" s="732"/>
      <c r="OXO646" s="731"/>
      <c r="OXP646" s="733"/>
      <c r="OXQ646" s="731"/>
      <c r="OXR646" s="732"/>
      <c r="OXS646" s="731"/>
      <c r="OXT646" s="733"/>
      <c r="OXU646" s="731"/>
      <c r="OXV646" s="732"/>
      <c r="OXW646" s="731"/>
      <c r="OXX646" s="733"/>
      <c r="OXY646" s="731"/>
      <c r="OXZ646" s="732"/>
      <c r="OYA646" s="731"/>
      <c r="OYB646" s="733"/>
      <c r="OYC646" s="731"/>
      <c r="OYD646" s="732"/>
      <c r="OYE646" s="731"/>
      <c r="OYF646" s="733"/>
      <c r="OYG646" s="731"/>
      <c r="OYH646" s="732"/>
      <c r="OYI646" s="731"/>
      <c r="OYJ646" s="733"/>
      <c r="OYK646" s="731"/>
      <c r="OYL646" s="732"/>
      <c r="OYM646" s="731"/>
      <c r="OYN646" s="733"/>
      <c r="OYO646" s="731"/>
      <c r="OYP646" s="732"/>
      <c r="OYQ646" s="731"/>
      <c r="OYR646" s="733"/>
      <c r="OYS646" s="731"/>
      <c r="OYT646" s="732"/>
      <c r="OYU646" s="731"/>
      <c r="OYV646" s="733"/>
      <c r="OYW646" s="731"/>
      <c r="OYX646" s="732"/>
      <c r="OYY646" s="731"/>
      <c r="OYZ646" s="733"/>
      <c r="OZA646" s="731"/>
      <c r="OZB646" s="732"/>
      <c r="OZC646" s="731"/>
      <c r="OZD646" s="733"/>
      <c r="OZE646" s="731"/>
      <c r="OZF646" s="732"/>
      <c r="OZG646" s="731"/>
      <c r="OZH646" s="733"/>
      <c r="OZI646" s="731"/>
      <c r="OZJ646" s="732"/>
      <c r="OZK646" s="731"/>
      <c r="OZL646" s="733"/>
      <c r="OZM646" s="731"/>
      <c r="OZN646" s="732"/>
      <c r="OZO646" s="731"/>
      <c r="OZP646" s="733"/>
      <c r="OZQ646" s="731"/>
      <c r="OZR646" s="732"/>
      <c r="OZS646" s="731"/>
      <c r="OZT646" s="733"/>
      <c r="OZU646" s="731"/>
      <c r="OZV646" s="732"/>
      <c r="OZW646" s="731"/>
      <c r="OZX646" s="733"/>
      <c r="OZY646" s="731"/>
      <c r="OZZ646" s="732"/>
      <c r="PAA646" s="731"/>
      <c r="PAB646" s="733"/>
      <c r="PAC646" s="731"/>
      <c r="PAD646" s="732"/>
      <c r="PAE646" s="731"/>
      <c r="PAF646" s="733"/>
      <c r="PAG646" s="731"/>
      <c r="PAH646" s="732"/>
      <c r="PAI646" s="731"/>
      <c r="PAJ646" s="733"/>
      <c r="PAK646" s="731"/>
      <c r="PAL646" s="732"/>
      <c r="PAM646" s="731"/>
      <c r="PAN646" s="733"/>
      <c r="PAO646" s="731"/>
      <c r="PAP646" s="732"/>
      <c r="PAQ646" s="731"/>
      <c r="PAR646" s="733"/>
      <c r="PAS646" s="731"/>
      <c r="PAT646" s="732"/>
      <c r="PAU646" s="731"/>
      <c r="PAV646" s="733"/>
      <c r="PAW646" s="731"/>
      <c r="PAX646" s="732"/>
      <c r="PAY646" s="731"/>
      <c r="PAZ646" s="733"/>
      <c r="PBA646" s="731"/>
      <c r="PBB646" s="732"/>
      <c r="PBC646" s="731"/>
      <c r="PBD646" s="733"/>
      <c r="PBE646" s="731"/>
      <c r="PBF646" s="732"/>
      <c r="PBG646" s="731"/>
      <c r="PBH646" s="733"/>
      <c r="PBI646" s="731"/>
      <c r="PBJ646" s="732"/>
      <c r="PBK646" s="731"/>
      <c r="PBL646" s="733"/>
      <c r="PBM646" s="731"/>
      <c r="PBN646" s="732"/>
      <c r="PBO646" s="731"/>
      <c r="PBP646" s="733"/>
      <c r="PBQ646" s="731"/>
      <c r="PBR646" s="732"/>
      <c r="PBS646" s="731"/>
      <c r="PBT646" s="733"/>
      <c r="PBU646" s="731"/>
      <c r="PBV646" s="732"/>
      <c r="PBW646" s="731"/>
      <c r="PBX646" s="733"/>
      <c r="PBY646" s="731"/>
      <c r="PBZ646" s="732"/>
      <c r="PCA646" s="731"/>
      <c r="PCB646" s="733"/>
      <c r="PCC646" s="731"/>
      <c r="PCD646" s="732"/>
      <c r="PCE646" s="731"/>
      <c r="PCF646" s="733"/>
      <c r="PCG646" s="731"/>
      <c r="PCH646" s="732"/>
      <c r="PCI646" s="731"/>
      <c r="PCJ646" s="733"/>
      <c r="PCK646" s="731"/>
      <c r="PCL646" s="732"/>
      <c r="PCM646" s="731"/>
      <c r="PCN646" s="733"/>
      <c r="PCO646" s="731"/>
      <c r="PCP646" s="732"/>
      <c r="PCQ646" s="731"/>
      <c r="PCR646" s="733"/>
      <c r="PCS646" s="731"/>
      <c r="PCT646" s="732"/>
      <c r="PCU646" s="731"/>
      <c r="PCV646" s="733"/>
      <c r="PCW646" s="731"/>
      <c r="PCX646" s="732"/>
      <c r="PCY646" s="731"/>
      <c r="PCZ646" s="733"/>
      <c r="PDA646" s="731"/>
      <c r="PDB646" s="732"/>
      <c r="PDC646" s="731"/>
      <c r="PDD646" s="733"/>
      <c r="PDE646" s="731"/>
      <c r="PDF646" s="732"/>
      <c r="PDG646" s="731"/>
      <c r="PDH646" s="733"/>
      <c r="PDI646" s="731"/>
      <c r="PDJ646" s="732"/>
      <c r="PDK646" s="731"/>
      <c r="PDL646" s="733"/>
      <c r="PDM646" s="731"/>
      <c r="PDN646" s="732"/>
      <c r="PDO646" s="731"/>
      <c r="PDP646" s="733"/>
      <c r="PDQ646" s="731"/>
      <c r="PDR646" s="732"/>
      <c r="PDS646" s="731"/>
      <c r="PDT646" s="733"/>
      <c r="PDU646" s="731"/>
      <c r="PDV646" s="732"/>
      <c r="PDW646" s="731"/>
      <c r="PDX646" s="733"/>
      <c r="PDY646" s="731"/>
      <c r="PDZ646" s="732"/>
      <c r="PEA646" s="731"/>
      <c r="PEB646" s="733"/>
      <c r="PEC646" s="731"/>
      <c r="PED646" s="732"/>
      <c r="PEE646" s="731"/>
      <c r="PEF646" s="733"/>
      <c r="PEG646" s="731"/>
      <c r="PEH646" s="732"/>
      <c r="PEI646" s="731"/>
      <c r="PEJ646" s="733"/>
      <c r="PEK646" s="731"/>
      <c r="PEL646" s="732"/>
      <c r="PEM646" s="731"/>
      <c r="PEN646" s="733"/>
      <c r="PEO646" s="731"/>
      <c r="PEP646" s="732"/>
      <c r="PEQ646" s="731"/>
      <c r="PER646" s="733"/>
      <c r="PES646" s="731"/>
      <c r="PET646" s="732"/>
      <c r="PEU646" s="731"/>
      <c r="PEV646" s="733"/>
      <c r="PEW646" s="731"/>
      <c r="PEX646" s="732"/>
      <c r="PEY646" s="731"/>
      <c r="PEZ646" s="733"/>
      <c r="PFA646" s="731"/>
      <c r="PFB646" s="732"/>
      <c r="PFC646" s="731"/>
      <c r="PFD646" s="733"/>
      <c r="PFE646" s="731"/>
      <c r="PFF646" s="732"/>
      <c r="PFG646" s="731"/>
      <c r="PFH646" s="733"/>
      <c r="PFI646" s="731"/>
      <c r="PFJ646" s="732"/>
      <c r="PFK646" s="731"/>
      <c r="PFL646" s="733"/>
      <c r="PFM646" s="731"/>
      <c r="PFN646" s="732"/>
      <c r="PFO646" s="731"/>
      <c r="PFP646" s="733"/>
      <c r="PFQ646" s="731"/>
      <c r="PFR646" s="732"/>
      <c r="PFS646" s="731"/>
      <c r="PFT646" s="733"/>
      <c r="PFU646" s="731"/>
      <c r="PFV646" s="732"/>
      <c r="PFW646" s="731"/>
      <c r="PFX646" s="733"/>
      <c r="PFY646" s="731"/>
      <c r="PFZ646" s="732"/>
      <c r="PGA646" s="731"/>
      <c r="PGB646" s="733"/>
      <c r="PGC646" s="731"/>
      <c r="PGD646" s="732"/>
      <c r="PGE646" s="731"/>
      <c r="PGF646" s="733"/>
      <c r="PGG646" s="731"/>
      <c r="PGH646" s="732"/>
      <c r="PGI646" s="731"/>
      <c r="PGJ646" s="733"/>
      <c r="PGK646" s="731"/>
      <c r="PGL646" s="732"/>
      <c r="PGM646" s="731"/>
      <c r="PGN646" s="733"/>
      <c r="PGO646" s="731"/>
      <c r="PGP646" s="732"/>
      <c r="PGQ646" s="731"/>
      <c r="PGR646" s="733"/>
      <c r="PGS646" s="731"/>
      <c r="PGT646" s="732"/>
      <c r="PGU646" s="731"/>
      <c r="PGV646" s="733"/>
      <c r="PGW646" s="731"/>
      <c r="PGX646" s="732"/>
      <c r="PGY646" s="731"/>
      <c r="PGZ646" s="733"/>
      <c r="PHA646" s="731"/>
      <c r="PHB646" s="732"/>
      <c r="PHC646" s="731"/>
      <c r="PHD646" s="733"/>
      <c r="PHE646" s="731"/>
      <c r="PHF646" s="732"/>
      <c r="PHG646" s="731"/>
      <c r="PHH646" s="733"/>
      <c r="PHI646" s="731"/>
      <c r="PHJ646" s="732"/>
      <c r="PHK646" s="731"/>
      <c r="PHL646" s="733"/>
      <c r="PHM646" s="731"/>
      <c r="PHN646" s="732"/>
      <c r="PHO646" s="731"/>
      <c r="PHP646" s="733"/>
      <c r="PHQ646" s="731"/>
      <c r="PHR646" s="732"/>
      <c r="PHS646" s="731"/>
      <c r="PHT646" s="733"/>
      <c r="PHU646" s="731"/>
      <c r="PHV646" s="732"/>
      <c r="PHW646" s="731"/>
      <c r="PHX646" s="733"/>
      <c r="PHY646" s="731"/>
      <c r="PHZ646" s="732"/>
      <c r="PIA646" s="731"/>
      <c r="PIB646" s="733"/>
      <c r="PIC646" s="731"/>
      <c r="PID646" s="732"/>
      <c r="PIE646" s="731"/>
      <c r="PIF646" s="733"/>
      <c r="PIG646" s="731"/>
      <c r="PIH646" s="732"/>
      <c r="PII646" s="731"/>
      <c r="PIJ646" s="733"/>
      <c r="PIK646" s="731"/>
      <c r="PIL646" s="732"/>
      <c r="PIM646" s="731"/>
      <c r="PIN646" s="733"/>
      <c r="PIO646" s="731"/>
      <c r="PIP646" s="732"/>
      <c r="PIQ646" s="731"/>
      <c r="PIR646" s="733"/>
      <c r="PIS646" s="731"/>
      <c r="PIT646" s="732"/>
      <c r="PIU646" s="731"/>
      <c r="PIV646" s="733"/>
      <c r="PIW646" s="731"/>
      <c r="PIX646" s="732"/>
      <c r="PIY646" s="731"/>
      <c r="PIZ646" s="733"/>
      <c r="PJA646" s="731"/>
      <c r="PJB646" s="732"/>
      <c r="PJC646" s="731"/>
      <c r="PJD646" s="733"/>
      <c r="PJE646" s="731"/>
      <c r="PJF646" s="732"/>
      <c r="PJG646" s="731"/>
      <c r="PJH646" s="733"/>
      <c r="PJI646" s="731"/>
      <c r="PJJ646" s="732"/>
      <c r="PJK646" s="731"/>
      <c r="PJL646" s="733"/>
      <c r="PJM646" s="731"/>
      <c r="PJN646" s="732"/>
      <c r="PJO646" s="731"/>
      <c r="PJP646" s="733"/>
      <c r="PJQ646" s="731"/>
      <c r="PJR646" s="732"/>
      <c r="PJS646" s="731"/>
      <c r="PJT646" s="733"/>
      <c r="PJU646" s="731"/>
      <c r="PJV646" s="732"/>
      <c r="PJW646" s="731"/>
      <c r="PJX646" s="733"/>
      <c r="PJY646" s="731"/>
      <c r="PJZ646" s="732"/>
      <c r="PKA646" s="731"/>
      <c r="PKB646" s="733"/>
      <c r="PKC646" s="731"/>
      <c r="PKD646" s="732"/>
      <c r="PKE646" s="731"/>
      <c r="PKF646" s="733"/>
      <c r="PKG646" s="731"/>
      <c r="PKH646" s="732"/>
      <c r="PKI646" s="731"/>
      <c r="PKJ646" s="733"/>
      <c r="PKK646" s="731"/>
      <c r="PKL646" s="732"/>
      <c r="PKM646" s="731"/>
      <c r="PKN646" s="733"/>
      <c r="PKO646" s="731"/>
      <c r="PKP646" s="732"/>
      <c r="PKQ646" s="731"/>
      <c r="PKR646" s="733"/>
      <c r="PKS646" s="731"/>
      <c r="PKT646" s="732"/>
      <c r="PKU646" s="731"/>
      <c r="PKV646" s="733"/>
      <c r="PKW646" s="731"/>
      <c r="PKX646" s="732"/>
      <c r="PKY646" s="731"/>
      <c r="PKZ646" s="733"/>
      <c r="PLA646" s="731"/>
      <c r="PLB646" s="732"/>
      <c r="PLC646" s="731"/>
      <c r="PLD646" s="733"/>
      <c r="PLE646" s="731"/>
      <c r="PLF646" s="732"/>
      <c r="PLG646" s="731"/>
      <c r="PLH646" s="733"/>
      <c r="PLI646" s="731"/>
      <c r="PLJ646" s="732"/>
      <c r="PLK646" s="731"/>
      <c r="PLL646" s="733"/>
      <c r="PLM646" s="731"/>
      <c r="PLN646" s="732"/>
      <c r="PLO646" s="731"/>
      <c r="PLP646" s="733"/>
      <c r="PLQ646" s="731"/>
      <c r="PLR646" s="732"/>
      <c r="PLS646" s="731"/>
      <c r="PLT646" s="733"/>
      <c r="PLU646" s="731"/>
      <c r="PLV646" s="732"/>
      <c r="PLW646" s="731"/>
      <c r="PLX646" s="733"/>
      <c r="PLY646" s="731"/>
      <c r="PLZ646" s="732"/>
      <c r="PMA646" s="731"/>
      <c r="PMB646" s="733"/>
      <c r="PMC646" s="731"/>
      <c r="PMD646" s="732"/>
      <c r="PME646" s="731"/>
      <c r="PMF646" s="733"/>
      <c r="PMG646" s="731"/>
      <c r="PMH646" s="732"/>
      <c r="PMI646" s="731"/>
      <c r="PMJ646" s="733"/>
      <c r="PMK646" s="731"/>
      <c r="PML646" s="732"/>
      <c r="PMM646" s="731"/>
      <c r="PMN646" s="733"/>
      <c r="PMO646" s="731"/>
      <c r="PMP646" s="732"/>
      <c r="PMQ646" s="731"/>
      <c r="PMR646" s="733"/>
      <c r="PMS646" s="731"/>
      <c r="PMT646" s="732"/>
      <c r="PMU646" s="731"/>
      <c r="PMV646" s="733"/>
      <c r="PMW646" s="731"/>
      <c r="PMX646" s="732"/>
      <c r="PMY646" s="731"/>
      <c r="PMZ646" s="733"/>
      <c r="PNA646" s="731"/>
      <c r="PNB646" s="732"/>
      <c r="PNC646" s="731"/>
      <c r="PND646" s="733"/>
      <c r="PNE646" s="731"/>
      <c r="PNF646" s="732"/>
      <c r="PNG646" s="731"/>
      <c r="PNH646" s="733"/>
      <c r="PNI646" s="731"/>
      <c r="PNJ646" s="732"/>
      <c r="PNK646" s="731"/>
      <c r="PNL646" s="733"/>
      <c r="PNM646" s="731"/>
      <c r="PNN646" s="732"/>
      <c r="PNO646" s="731"/>
      <c r="PNP646" s="733"/>
      <c r="PNQ646" s="731"/>
      <c r="PNR646" s="732"/>
      <c r="PNS646" s="731"/>
      <c r="PNT646" s="733"/>
      <c r="PNU646" s="731"/>
      <c r="PNV646" s="732"/>
      <c r="PNW646" s="731"/>
      <c r="PNX646" s="733"/>
      <c r="PNY646" s="731"/>
      <c r="PNZ646" s="732"/>
      <c r="POA646" s="731"/>
      <c r="POB646" s="733"/>
      <c r="POC646" s="731"/>
      <c r="POD646" s="732"/>
      <c r="POE646" s="731"/>
      <c r="POF646" s="733"/>
      <c r="POG646" s="731"/>
      <c r="POH646" s="732"/>
      <c r="POI646" s="731"/>
      <c r="POJ646" s="733"/>
      <c r="POK646" s="731"/>
      <c r="POL646" s="732"/>
      <c r="POM646" s="731"/>
      <c r="PON646" s="733"/>
      <c r="POO646" s="731"/>
      <c r="POP646" s="732"/>
      <c r="POQ646" s="731"/>
      <c r="POR646" s="733"/>
      <c r="POS646" s="731"/>
      <c r="POT646" s="732"/>
      <c r="POU646" s="731"/>
      <c r="POV646" s="733"/>
      <c r="POW646" s="731"/>
      <c r="POX646" s="732"/>
      <c r="POY646" s="731"/>
      <c r="POZ646" s="733"/>
      <c r="PPA646" s="731"/>
      <c r="PPB646" s="732"/>
      <c r="PPC646" s="731"/>
      <c r="PPD646" s="733"/>
      <c r="PPE646" s="731"/>
      <c r="PPF646" s="732"/>
      <c r="PPG646" s="731"/>
      <c r="PPH646" s="733"/>
      <c r="PPI646" s="731"/>
      <c r="PPJ646" s="732"/>
      <c r="PPK646" s="731"/>
      <c r="PPL646" s="733"/>
      <c r="PPM646" s="731"/>
      <c r="PPN646" s="732"/>
      <c r="PPO646" s="731"/>
      <c r="PPP646" s="733"/>
      <c r="PPQ646" s="731"/>
      <c r="PPR646" s="732"/>
      <c r="PPS646" s="731"/>
      <c r="PPT646" s="733"/>
      <c r="PPU646" s="731"/>
      <c r="PPV646" s="732"/>
      <c r="PPW646" s="731"/>
      <c r="PPX646" s="733"/>
      <c r="PPY646" s="731"/>
      <c r="PPZ646" s="732"/>
      <c r="PQA646" s="731"/>
      <c r="PQB646" s="733"/>
      <c r="PQC646" s="731"/>
      <c r="PQD646" s="732"/>
      <c r="PQE646" s="731"/>
      <c r="PQF646" s="733"/>
      <c r="PQG646" s="731"/>
      <c r="PQH646" s="732"/>
      <c r="PQI646" s="731"/>
      <c r="PQJ646" s="733"/>
      <c r="PQK646" s="731"/>
      <c r="PQL646" s="732"/>
      <c r="PQM646" s="731"/>
      <c r="PQN646" s="733"/>
      <c r="PQO646" s="731"/>
      <c r="PQP646" s="732"/>
      <c r="PQQ646" s="731"/>
      <c r="PQR646" s="733"/>
      <c r="PQS646" s="731"/>
      <c r="PQT646" s="732"/>
      <c r="PQU646" s="731"/>
      <c r="PQV646" s="733"/>
      <c r="PQW646" s="731"/>
      <c r="PQX646" s="732"/>
      <c r="PQY646" s="731"/>
      <c r="PQZ646" s="733"/>
      <c r="PRA646" s="731"/>
      <c r="PRB646" s="732"/>
      <c r="PRC646" s="731"/>
      <c r="PRD646" s="733"/>
      <c r="PRE646" s="731"/>
      <c r="PRF646" s="732"/>
      <c r="PRG646" s="731"/>
      <c r="PRH646" s="733"/>
      <c r="PRI646" s="731"/>
      <c r="PRJ646" s="732"/>
      <c r="PRK646" s="731"/>
      <c r="PRL646" s="733"/>
      <c r="PRM646" s="731"/>
      <c r="PRN646" s="732"/>
      <c r="PRO646" s="731"/>
      <c r="PRP646" s="733"/>
      <c r="PRQ646" s="731"/>
      <c r="PRR646" s="732"/>
      <c r="PRS646" s="731"/>
      <c r="PRT646" s="733"/>
      <c r="PRU646" s="731"/>
      <c r="PRV646" s="732"/>
      <c r="PRW646" s="731"/>
      <c r="PRX646" s="733"/>
      <c r="PRY646" s="731"/>
      <c r="PRZ646" s="732"/>
      <c r="PSA646" s="731"/>
      <c r="PSB646" s="733"/>
      <c r="PSC646" s="731"/>
      <c r="PSD646" s="732"/>
      <c r="PSE646" s="731"/>
      <c r="PSF646" s="733"/>
      <c r="PSG646" s="731"/>
      <c r="PSH646" s="732"/>
      <c r="PSI646" s="731"/>
      <c r="PSJ646" s="733"/>
      <c r="PSK646" s="731"/>
      <c r="PSL646" s="732"/>
      <c r="PSM646" s="731"/>
      <c r="PSN646" s="733"/>
      <c r="PSO646" s="731"/>
      <c r="PSP646" s="732"/>
      <c r="PSQ646" s="731"/>
      <c r="PSR646" s="733"/>
      <c r="PSS646" s="731"/>
      <c r="PST646" s="732"/>
      <c r="PSU646" s="731"/>
      <c r="PSV646" s="733"/>
      <c r="PSW646" s="731"/>
      <c r="PSX646" s="732"/>
      <c r="PSY646" s="731"/>
      <c r="PSZ646" s="733"/>
      <c r="PTA646" s="731"/>
      <c r="PTB646" s="732"/>
      <c r="PTC646" s="731"/>
      <c r="PTD646" s="733"/>
      <c r="PTE646" s="731"/>
      <c r="PTF646" s="732"/>
      <c r="PTG646" s="731"/>
      <c r="PTH646" s="733"/>
      <c r="PTI646" s="731"/>
      <c r="PTJ646" s="732"/>
      <c r="PTK646" s="731"/>
      <c r="PTL646" s="733"/>
      <c r="PTM646" s="731"/>
      <c r="PTN646" s="732"/>
      <c r="PTO646" s="731"/>
      <c r="PTP646" s="733"/>
      <c r="PTQ646" s="731"/>
      <c r="PTR646" s="732"/>
      <c r="PTS646" s="731"/>
      <c r="PTT646" s="733"/>
      <c r="PTU646" s="731"/>
      <c r="PTV646" s="732"/>
      <c r="PTW646" s="731"/>
      <c r="PTX646" s="733"/>
      <c r="PTY646" s="731"/>
      <c r="PTZ646" s="732"/>
      <c r="PUA646" s="731"/>
      <c r="PUB646" s="733"/>
      <c r="PUC646" s="731"/>
      <c r="PUD646" s="732"/>
      <c r="PUE646" s="731"/>
      <c r="PUF646" s="733"/>
      <c r="PUG646" s="731"/>
      <c r="PUH646" s="732"/>
      <c r="PUI646" s="731"/>
      <c r="PUJ646" s="733"/>
      <c r="PUK646" s="731"/>
      <c r="PUL646" s="732"/>
      <c r="PUM646" s="731"/>
      <c r="PUN646" s="733"/>
      <c r="PUO646" s="731"/>
      <c r="PUP646" s="732"/>
      <c r="PUQ646" s="731"/>
      <c r="PUR646" s="733"/>
      <c r="PUS646" s="731"/>
      <c r="PUT646" s="732"/>
      <c r="PUU646" s="731"/>
      <c r="PUV646" s="733"/>
      <c r="PUW646" s="731"/>
      <c r="PUX646" s="732"/>
      <c r="PUY646" s="731"/>
      <c r="PUZ646" s="733"/>
      <c r="PVA646" s="731"/>
      <c r="PVB646" s="732"/>
      <c r="PVC646" s="731"/>
      <c r="PVD646" s="733"/>
      <c r="PVE646" s="731"/>
      <c r="PVF646" s="732"/>
      <c r="PVG646" s="731"/>
      <c r="PVH646" s="733"/>
      <c r="PVI646" s="731"/>
      <c r="PVJ646" s="732"/>
      <c r="PVK646" s="731"/>
      <c r="PVL646" s="733"/>
      <c r="PVM646" s="731"/>
      <c r="PVN646" s="732"/>
      <c r="PVO646" s="731"/>
      <c r="PVP646" s="733"/>
      <c r="PVQ646" s="731"/>
      <c r="PVR646" s="732"/>
      <c r="PVS646" s="731"/>
      <c r="PVT646" s="733"/>
      <c r="PVU646" s="731"/>
      <c r="PVV646" s="732"/>
      <c r="PVW646" s="731"/>
      <c r="PVX646" s="733"/>
      <c r="PVY646" s="731"/>
      <c r="PVZ646" s="732"/>
      <c r="PWA646" s="731"/>
      <c r="PWB646" s="733"/>
      <c r="PWC646" s="731"/>
      <c r="PWD646" s="732"/>
      <c r="PWE646" s="731"/>
      <c r="PWF646" s="733"/>
      <c r="PWG646" s="731"/>
      <c r="PWH646" s="732"/>
      <c r="PWI646" s="731"/>
      <c r="PWJ646" s="733"/>
      <c r="PWK646" s="731"/>
      <c r="PWL646" s="732"/>
      <c r="PWM646" s="731"/>
      <c r="PWN646" s="733"/>
      <c r="PWO646" s="731"/>
      <c r="PWP646" s="732"/>
      <c r="PWQ646" s="731"/>
      <c r="PWR646" s="733"/>
      <c r="PWS646" s="731"/>
      <c r="PWT646" s="732"/>
      <c r="PWU646" s="731"/>
      <c r="PWV646" s="733"/>
      <c r="PWW646" s="731"/>
      <c r="PWX646" s="732"/>
      <c r="PWY646" s="731"/>
      <c r="PWZ646" s="733"/>
      <c r="PXA646" s="731"/>
      <c r="PXB646" s="732"/>
      <c r="PXC646" s="731"/>
      <c r="PXD646" s="733"/>
      <c r="PXE646" s="731"/>
      <c r="PXF646" s="732"/>
      <c r="PXG646" s="731"/>
      <c r="PXH646" s="733"/>
      <c r="PXI646" s="731"/>
      <c r="PXJ646" s="732"/>
      <c r="PXK646" s="731"/>
      <c r="PXL646" s="733"/>
      <c r="PXM646" s="731"/>
      <c r="PXN646" s="732"/>
      <c r="PXO646" s="731"/>
      <c r="PXP646" s="733"/>
      <c r="PXQ646" s="731"/>
      <c r="PXR646" s="732"/>
      <c r="PXS646" s="731"/>
      <c r="PXT646" s="733"/>
      <c r="PXU646" s="731"/>
      <c r="PXV646" s="732"/>
      <c r="PXW646" s="731"/>
      <c r="PXX646" s="733"/>
      <c r="PXY646" s="731"/>
      <c r="PXZ646" s="732"/>
      <c r="PYA646" s="731"/>
      <c r="PYB646" s="733"/>
      <c r="PYC646" s="731"/>
      <c r="PYD646" s="732"/>
      <c r="PYE646" s="731"/>
      <c r="PYF646" s="733"/>
      <c r="PYG646" s="731"/>
      <c r="PYH646" s="732"/>
      <c r="PYI646" s="731"/>
      <c r="PYJ646" s="733"/>
      <c r="PYK646" s="731"/>
      <c r="PYL646" s="732"/>
      <c r="PYM646" s="731"/>
      <c r="PYN646" s="733"/>
      <c r="PYO646" s="731"/>
      <c r="PYP646" s="732"/>
      <c r="PYQ646" s="731"/>
      <c r="PYR646" s="733"/>
      <c r="PYS646" s="731"/>
      <c r="PYT646" s="732"/>
      <c r="PYU646" s="731"/>
      <c r="PYV646" s="733"/>
      <c r="PYW646" s="731"/>
      <c r="PYX646" s="732"/>
      <c r="PYY646" s="731"/>
      <c r="PYZ646" s="733"/>
      <c r="PZA646" s="731"/>
      <c r="PZB646" s="732"/>
      <c r="PZC646" s="731"/>
      <c r="PZD646" s="733"/>
      <c r="PZE646" s="731"/>
      <c r="PZF646" s="732"/>
      <c r="PZG646" s="731"/>
      <c r="PZH646" s="733"/>
      <c r="PZI646" s="731"/>
      <c r="PZJ646" s="732"/>
      <c r="PZK646" s="731"/>
      <c r="PZL646" s="733"/>
      <c r="PZM646" s="731"/>
      <c r="PZN646" s="732"/>
      <c r="PZO646" s="731"/>
      <c r="PZP646" s="733"/>
      <c r="PZQ646" s="731"/>
      <c r="PZR646" s="732"/>
      <c r="PZS646" s="731"/>
      <c r="PZT646" s="733"/>
      <c r="PZU646" s="731"/>
      <c r="PZV646" s="732"/>
      <c r="PZW646" s="731"/>
      <c r="PZX646" s="733"/>
      <c r="PZY646" s="731"/>
      <c r="PZZ646" s="732"/>
      <c r="QAA646" s="731"/>
      <c r="QAB646" s="733"/>
      <c r="QAC646" s="731"/>
      <c r="QAD646" s="732"/>
      <c r="QAE646" s="731"/>
      <c r="QAF646" s="733"/>
      <c r="QAG646" s="731"/>
      <c r="QAH646" s="732"/>
      <c r="QAI646" s="731"/>
      <c r="QAJ646" s="733"/>
      <c r="QAK646" s="731"/>
      <c r="QAL646" s="732"/>
      <c r="QAM646" s="731"/>
      <c r="QAN646" s="733"/>
      <c r="QAO646" s="731"/>
      <c r="QAP646" s="732"/>
      <c r="QAQ646" s="731"/>
      <c r="QAR646" s="733"/>
      <c r="QAS646" s="731"/>
      <c r="QAT646" s="732"/>
      <c r="QAU646" s="731"/>
      <c r="QAV646" s="733"/>
      <c r="QAW646" s="731"/>
      <c r="QAX646" s="732"/>
      <c r="QAY646" s="731"/>
      <c r="QAZ646" s="733"/>
      <c r="QBA646" s="731"/>
      <c r="QBB646" s="732"/>
      <c r="QBC646" s="731"/>
      <c r="QBD646" s="733"/>
      <c r="QBE646" s="731"/>
      <c r="QBF646" s="732"/>
      <c r="QBG646" s="731"/>
      <c r="QBH646" s="733"/>
      <c r="QBI646" s="731"/>
      <c r="QBJ646" s="732"/>
      <c r="QBK646" s="731"/>
      <c r="QBL646" s="733"/>
      <c r="QBM646" s="731"/>
      <c r="QBN646" s="732"/>
      <c r="QBO646" s="731"/>
      <c r="QBP646" s="733"/>
      <c r="QBQ646" s="731"/>
      <c r="QBR646" s="732"/>
      <c r="QBS646" s="731"/>
      <c r="QBT646" s="733"/>
      <c r="QBU646" s="731"/>
      <c r="QBV646" s="732"/>
      <c r="QBW646" s="731"/>
      <c r="QBX646" s="733"/>
      <c r="QBY646" s="731"/>
      <c r="QBZ646" s="732"/>
      <c r="QCA646" s="731"/>
      <c r="QCB646" s="733"/>
      <c r="QCC646" s="731"/>
      <c r="QCD646" s="732"/>
      <c r="QCE646" s="731"/>
      <c r="QCF646" s="733"/>
      <c r="QCG646" s="731"/>
      <c r="QCH646" s="732"/>
      <c r="QCI646" s="731"/>
      <c r="QCJ646" s="733"/>
      <c r="QCK646" s="731"/>
      <c r="QCL646" s="732"/>
      <c r="QCM646" s="731"/>
      <c r="QCN646" s="733"/>
      <c r="QCO646" s="731"/>
      <c r="QCP646" s="732"/>
      <c r="QCQ646" s="731"/>
      <c r="QCR646" s="733"/>
      <c r="QCS646" s="731"/>
      <c r="QCT646" s="732"/>
      <c r="QCU646" s="731"/>
      <c r="QCV646" s="733"/>
      <c r="QCW646" s="731"/>
      <c r="QCX646" s="732"/>
      <c r="QCY646" s="731"/>
      <c r="QCZ646" s="733"/>
      <c r="QDA646" s="731"/>
      <c r="QDB646" s="732"/>
      <c r="QDC646" s="731"/>
      <c r="QDD646" s="733"/>
      <c r="QDE646" s="731"/>
      <c r="QDF646" s="732"/>
      <c r="QDG646" s="731"/>
      <c r="QDH646" s="733"/>
      <c r="QDI646" s="731"/>
      <c r="QDJ646" s="732"/>
      <c r="QDK646" s="731"/>
      <c r="QDL646" s="733"/>
      <c r="QDM646" s="731"/>
      <c r="QDN646" s="732"/>
      <c r="QDO646" s="731"/>
      <c r="QDP646" s="733"/>
      <c r="QDQ646" s="731"/>
      <c r="QDR646" s="732"/>
      <c r="QDS646" s="731"/>
      <c r="QDT646" s="733"/>
      <c r="QDU646" s="731"/>
      <c r="QDV646" s="732"/>
      <c r="QDW646" s="731"/>
      <c r="QDX646" s="733"/>
      <c r="QDY646" s="731"/>
      <c r="QDZ646" s="732"/>
      <c r="QEA646" s="731"/>
      <c r="QEB646" s="733"/>
      <c r="QEC646" s="731"/>
      <c r="QED646" s="732"/>
      <c r="QEE646" s="731"/>
      <c r="QEF646" s="733"/>
      <c r="QEG646" s="731"/>
      <c r="QEH646" s="732"/>
      <c r="QEI646" s="731"/>
      <c r="QEJ646" s="733"/>
      <c r="QEK646" s="731"/>
      <c r="QEL646" s="732"/>
      <c r="QEM646" s="731"/>
      <c r="QEN646" s="733"/>
      <c r="QEO646" s="731"/>
      <c r="QEP646" s="732"/>
      <c r="QEQ646" s="731"/>
      <c r="QER646" s="733"/>
      <c r="QES646" s="731"/>
      <c r="QET646" s="732"/>
      <c r="QEU646" s="731"/>
      <c r="QEV646" s="733"/>
      <c r="QEW646" s="731"/>
      <c r="QEX646" s="732"/>
      <c r="QEY646" s="731"/>
      <c r="QEZ646" s="733"/>
      <c r="QFA646" s="731"/>
      <c r="QFB646" s="732"/>
      <c r="QFC646" s="731"/>
      <c r="QFD646" s="733"/>
      <c r="QFE646" s="731"/>
      <c r="QFF646" s="732"/>
      <c r="QFG646" s="731"/>
      <c r="QFH646" s="733"/>
      <c r="QFI646" s="731"/>
      <c r="QFJ646" s="732"/>
      <c r="QFK646" s="731"/>
      <c r="QFL646" s="733"/>
      <c r="QFM646" s="731"/>
      <c r="QFN646" s="732"/>
      <c r="QFO646" s="731"/>
      <c r="QFP646" s="733"/>
      <c r="QFQ646" s="731"/>
      <c r="QFR646" s="732"/>
      <c r="QFS646" s="731"/>
      <c r="QFT646" s="733"/>
      <c r="QFU646" s="731"/>
      <c r="QFV646" s="732"/>
      <c r="QFW646" s="731"/>
      <c r="QFX646" s="733"/>
      <c r="QFY646" s="731"/>
      <c r="QFZ646" s="732"/>
      <c r="QGA646" s="731"/>
      <c r="QGB646" s="733"/>
      <c r="QGC646" s="731"/>
      <c r="QGD646" s="732"/>
      <c r="QGE646" s="731"/>
      <c r="QGF646" s="733"/>
      <c r="QGG646" s="731"/>
      <c r="QGH646" s="732"/>
      <c r="QGI646" s="731"/>
      <c r="QGJ646" s="733"/>
      <c r="QGK646" s="731"/>
      <c r="QGL646" s="732"/>
      <c r="QGM646" s="731"/>
      <c r="QGN646" s="733"/>
      <c r="QGO646" s="731"/>
      <c r="QGP646" s="732"/>
      <c r="QGQ646" s="731"/>
      <c r="QGR646" s="733"/>
      <c r="QGS646" s="731"/>
      <c r="QGT646" s="732"/>
      <c r="QGU646" s="731"/>
      <c r="QGV646" s="733"/>
      <c r="QGW646" s="731"/>
      <c r="QGX646" s="732"/>
      <c r="QGY646" s="731"/>
      <c r="QGZ646" s="733"/>
      <c r="QHA646" s="731"/>
      <c r="QHB646" s="732"/>
      <c r="QHC646" s="731"/>
      <c r="QHD646" s="733"/>
      <c r="QHE646" s="731"/>
      <c r="QHF646" s="732"/>
      <c r="QHG646" s="731"/>
      <c r="QHH646" s="733"/>
      <c r="QHI646" s="731"/>
      <c r="QHJ646" s="732"/>
      <c r="QHK646" s="731"/>
      <c r="QHL646" s="733"/>
      <c r="QHM646" s="731"/>
      <c r="QHN646" s="732"/>
      <c r="QHO646" s="731"/>
      <c r="QHP646" s="733"/>
      <c r="QHQ646" s="731"/>
      <c r="QHR646" s="732"/>
      <c r="QHS646" s="731"/>
      <c r="QHT646" s="733"/>
      <c r="QHU646" s="731"/>
      <c r="QHV646" s="732"/>
      <c r="QHW646" s="731"/>
      <c r="QHX646" s="733"/>
      <c r="QHY646" s="731"/>
      <c r="QHZ646" s="732"/>
      <c r="QIA646" s="731"/>
      <c r="QIB646" s="733"/>
      <c r="QIC646" s="731"/>
      <c r="QID646" s="732"/>
      <c r="QIE646" s="731"/>
      <c r="QIF646" s="733"/>
      <c r="QIG646" s="731"/>
      <c r="QIH646" s="732"/>
      <c r="QII646" s="731"/>
      <c r="QIJ646" s="733"/>
      <c r="QIK646" s="731"/>
      <c r="QIL646" s="732"/>
      <c r="QIM646" s="731"/>
      <c r="QIN646" s="733"/>
      <c r="QIO646" s="731"/>
      <c r="QIP646" s="732"/>
      <c r="QIQ646" s="731"/>
      <c r="QIR646" s="733"/>
      <c r="QIS646" s="731"/>
      <c r="QIT646" s="732"/>
      <c r="QIU646" s="731"/>
      <c r="QIV646" s="733"/>
      <c r="QIW646" s="731"/>
      <c r="QIX646" s="732"/>
      <c r="QIY646" s="731"/>
      <c r="QIZ646" s="733"/>
      <c r="QJA646" s="731"/>
      <c r="QJB646" s="732"/>
      <c r="QJC646" s="731"/>
      <c r="QJD646" s="733"/>
      <c r="QJE646" s="731"/>
      <c r="QJF646" s="732"/>
      <c r="QJG646" s="731"/>
      <c r="QJH646" s="733"/>
      <c r="QJI646" s="731"/>
      <c r="QJJ646" s="732"/>
      <c r="QJK646" s="731"/>
      <c r="QJL646" s="733"/>
      <c r="QJM646" s="731"/>
      <c r="QJN646" s="732"/>
      <c r="QJO646" s="731"/>
      <c r="QJP646" s="733"/>
      <c r="QJQ646" s="731"/>
      <c r="QJR646" s="732"/>
      <c r="QJS646" s="731"/>
      <c r="QJT646" s="733"/>
      <c r="QJU646" s="731"/>
      <c r="QJV646" s="732"/>
      <c r="QJW646" s="731"/>
      <c r="QJX646" s="733"/>
      <c r="QJY646" s="731"/>
      <c r="QJZ646" s="732"/>
      <c r="QKA646" s="731"/>
      <c r="QKB646" s="733"/>
      <c r="QKC646" s="731"/>
      <c r="QKD646" s="732"/>
      <c r="QKE646" s="731"/>
      <c r="QKF646" s="733"/>
      <c r="QKG646" s="731"/>
      <c r="QKH646" s="732"/>
      <c r="QKI646" s="731"/>
      <c r="QKJ646" s="733"/>
      <c r="QKK646" s="731"/>
      <c r="QKL646" s="732"/>
      <c r="QKM646" s="731"/>
      <c r="QKN646" s="733"/>
      <c r="QKO646" s="731"/>
      <c r="QKP646" s="732"/>
      <c r="QKQ646" s="731"/>
      <c r="QKR646" s="733"/>
      <c r="QKS646" s="731"/>
      <c r="QKT646" s="732"/>
      <c r="QKU646" s="731"/>
      <c r="QKV646" s="733"/>
      <c r="QKW646" s="731"/>
      <c r="QKX646" s="732"/>
      <c r="QKY646" s="731"/>
      <c r="QKZ646" s="733"/>
      <c r="QLA646" s="731"/>
      <c r="QLB646" s="732"/>
      <c r="QLC646" s="731"/>
      <c r="QLD646" s="733"/>
      <c r="QLE646" s="731"/>
      <c r="QLF646" s="732"/>
      <c r="QLG646" s="731"/>
      <c r="QLH646" s="733"/>
      <c r="QLI646" s="731"/>
      <c r="QLJ646" s="732"/>
      <c r="QLK646" s="731"/>
      <c r="QLL646" s="733"/>
      <c r="QLM646" s="731"/>
      <c r="QLN646" s="732"/>
      <c r="QLO646" s="731"/>
      <c r="QLP646" s="733"/>
      <c r="QLQ646" s="731"/>
      <c r="QLR646" s="732"/>
      <c r="QLS646" s="731"/>
      <c r="QLT646" s="733"/>
      <c r="QLU646" s="731"/>
      <c r="QLV646" s="732"/>
      <c r="QLW646" s="731"/>
      <c r="QLX646" s="733"/>
      <c r="QLY646" s="731"/>
      <c r="QLZ646" s="732"/>
      <c r="QMA646" s="731"/>
      <c r="QMB646" s="733"/>
      <c r="QMC646" s="731"/>
      <c r="QMD646" s="732"/>
      <c r="QME646" s="731"/>
      <c r="QMF646" s="733"/>
      <c r="QMG646" s="731"/>
      <c r="QMH646" s="732"/>
      <c r="QMI646" s="731"/>
      <c r="QMJ646" s="733"/>
      <c r="QMK646" s="731"/>
      <c r="QML646" s="732"/>
      <c r="QMM646" s="731"/>
      <c r="QMN646" s="733"/>
      <c r="QMO646" s="731"/>
      <c r="QMP646" s="732"/>
      <c r="QMQ646" s="731"/>
      <c r="QMR646" s="733"/>
      <c r="QMS646" s="731"/>
      <c r="QMT646" s="732"/>
      <c r="QMU646" s="731"/>
      <c r="QMV646" s="733"/>
      <c r="QMW646" s="731"/>
      <c r="QMX646" s="732"/>
      <c r="QMY646" s="731"/>
      <c r="QMZ646" s="733"/>
      <c r="QNA646" s="731"/>
      <c r="QNB646" s="732"/>
      <c r="QNC646" s="731"/>
      <c r="QND646" s="733"/>
      <c r="QNE646" s="731"/>
      <c r="QNF646" s="732"/>
      <c r="QNG646" s="731"/>
      <c r="QNH646" s="733"/>
      <c r="QNI646" s="731"/>
      <c r="QNJ646" s="732"/>
      <c r="QNK646" s="731"/>
      <c r="QNL646" s="733"/>
      <c r="QNM646" s="731"/>
      <c r="QNN646" s="732"/>
      <c r="QNO646" s="731"/>
      <c r="QNP646" s="733"/>
      <c r="QNQ646" s="731"/>
      <c r="QNR646" s="732"/>
      <c r="QNS646" s="731"/>
      <c r="QNT646" s="733"/>
      <c r="QNU646" s="731"/>
      <c r="QNV646" s="732"/>
      <c r="QNW646" s="731"/>
      <c r="QNX646" s="733"/>
      <c r="QNY646" s="731"/>
      <c r="QNZ646" s="732"/>
      <c r="QOA646" s="731"/>
      <c r="QOB646" s="733"/>
      <c r="QOC646" s="731"/>
      <c r="QOD646" s="732"/>
      <c r="QOE646" s="731"/>
      <c r="QOF646" s="733"/>
      <c r="QOG646" s="731"/>
      <c r="QOH646" s="732"/>
      <c r="QOI646" s="731"/>
      <c r="QOJ646" s="733"/>
      <c r="QOK646" s="731"/>
      <c r="QOL646" s="732"/>
      <c r="QOM646" s="731"/>
      <c r="QON646" s="733"/>
      <c r="QOO646" s="731"/>
      <c r="QOP646" s="732"/>
      <c r="QOQ646" s="731"/>
      <c r="QOR646" s="733"/>
      <c r="QOS646" s="731"/>
      <c r="QOT646" s="732"/>
      <c r="QOU646" s="731"/>
      <c r="QOV646" s="733"/>
      <c r="QOW646" s="731"/>
      <c r="QOX646" s="732"/>
      <c r="QOY646" s="731"/>
      <c r="QOZ646" s="733"/>
      <c r="QPA646" s="731"/>
      <c r="QPB646" s="732"/>
      <c r="QPC646" s="731"/>
      <c r="QPD646" s="733"/>
      <c r="QPE646" s="731"/>
      <c r="QPF646" s="732"/>
      <c r="QPG646" s="731"/>
      <c r="QPH646" s="733"/>
      <c r="QPI646" s="731"/>
      <c r="QPJ646" s="732"/>
      <c r="QPK646" s="731"/>
      <c r="QPL646" s="733"/>
      <c r="QPM646" s="731"/>
      <c r="QPN646" s="732"/>
      <c r="QPO646" s="731"/>
      <c r="QPP646" s="733"/>
      <c r="QPQ646" s="731"/>
      <c r="QPR646" s="732"/>
      <c r="QPS646" s="731"/>
      <c r="QPT646" s="733"/>
      <c r="QPU646" s="731"/>
      <c r="QPV646" s="732"/>
      <c r="QPW646" s="731"/>
      <c r="QPX646" s="733"/>
      <c r="QPY646" s="731"/>
      <c r="QPZ646" s="732"/>
      <c r="QQA646" s="731"/>
      <c r="QQB646" s="733"/>
      <c r="QQC646" s="731"/>
      <c r="QQD646" s="732"/>
      <c r="QQE646" s="731"/>
      <c r="QQF646" s="733"/>
      <c r="QQG646" s="731"/>
      <c r="QQH646" s="732"/>
      <c r="QQI646" s="731"/>
      <c r="QQJ646" s="733"/>
      <c r="QQK646" s="731"/>
      <c r="QQL646" s="732"/>
      <c r="QQM646" s="731"/>
      <c r="QQN646" s="733"/>
      <c r="QQO646" s="731"/>
      <c r="QQP646" s="732"/>
      <c r="QQQ646" s="731"/>
      <c r="QQR646" s="733"/>
      <c r="QQS646" s="731"/>
      <c r="QQT646" s="732"/>
      <c r="QQU646" s="731"/>
      <c r="QQV646" s="733"/>
      <c r="QQW646" s="731"/>
      <c r="QQX646" s="732"/>
      <c r="QQY646" s="731"/>
      <c r="QQZ646" s="733"/>
      <c r="QRA646" s="731"/>
      <c r="QRB646" s="732"/>
      <c r="QRC646" s="731"/>
      <c r="QRD646" s="733"/>
      <c r="QRE646" s="731"/>
      <c r="QRF646" s="732"/>
      <c r="QRG646" s="731"/>
      <c r="QRH646" s="733"/>
      <c r="QRI646" s="731"/>
      <c r="QRJ646" s="732"/>
      <c r="QRK646" s="731"/>
      <c r="QRL646" s="733"/>
      <c r="QRM646" s="731"/>
      <c r="QRN646" s="732"/>
      <c r="QRO646" s="731"/>
      <c r="QRP646" s="733"/>
      <c r="QRQ646" s="731"/>
      <c r="QRR646" s="732"/>
      <c r="QRS646" s="731"/>
      <c r="QRT646" s="733"/>
      <c r="QRU646" s="731"/>
      <c r="QRV646" s="732"/>
      <c r="QRW646" s="731"/>
      <c r="QRX646" s="733"/>
      <c r="QRY646" s="731"/>
      <c r="QRZ646" s="732"/>
      <c r="QSA646" s="731"/>
      <c r="QSB646" s="733"/>
      <c r="QSC646" s="731"/>
      <c r="QSD646" s="732"/>
      <c r="QSE646" s="731"/>
      <c r="QSF646" s="733"/>
      <c r="QSG646" s="731"/>
      <c r="QSH646" s="732"/>
      <c r="QSI646" s="731"/>
      <c r="QSJ646" s="733"/>
      <c r="QSK646" s="731"/>
      <c r="QSL646" s="732"/>
      <c r="QSM646" s="731"/>
      <c r="QSN646" s="733"/>
      <c r="QSO646" s="731"/>
      <c r="QSP646" s="732"/>
      <c r="QSQ646" s="731"/>
      <c r="QSR646" s="733"/>
      <c r="QSS646" s="731"/>
      <c r="QST646" s="732"/>
      <c r="QSU646" s="731"/>
      <c r="QSV646" s="733"/>
      <c r="QSW646" s="731"/>
      <c r="QSX646" s="732"/>
      <c r="QSY646" s="731"/>
      <c r="QSZ646" s="733"/>
      <c r="QTA646" s="731"/>
      <c r="QTB646" s="732"/>
      <c r="QTC646" s="731"/>
      <c r="QTD646" s="733"/>
      <c r="QTE646" s="731"/>
      <c r="QTF646" s="732"/>
      <c r="QTG646" s="731"/>
      <c r="QTH646" s="733"/>
      <c r="QTI646" s="731"/>
      <c r="QTJ646" s="732"/>
      <c r="QTK646" s="731"/>
      <c r="QTL646" s="733"/>
      <c r="QTM646" s="731"/>
      <c r="QTN646" s="732"/>
      <c r="QTO646" s="731"/>
      <c r="QTP646" s="733"/>
      <c r="QTQ646" s="731"/>
      <c r="QTR646" s="732"/>
      <c r="QTS646" s="731"/>
      <c r="QTT646" s="733"/>
      <c r="QTU646" s="731"/>
      <c r="QTV646" s="732"/>
      <c r="QTW646" s="731"/>
      <c r="QTX646" s="733"/>
      <c r="QTY646" s="731"/>
      <c r="QTZ646" s="732"/>
      <c r="QUA646" s="731"/>
      <c r="QUB646" s="733"/>
      <c r="QUC646" s="731"/>
      <c r="QUD646" s="732"/>
      <c r="QUE646" s="731"/>
      <c r="QUF646" s="733"/>
      <c r="QUG646" s="731"/>
      <c r="QUH646" s="732"/>
      <c r="QUI646" s="731"/>
      <c r="QUJ646" s="733"/>
      <c r="QUK646" s="731"/>
      <c r="QUL646" s="732"/>
      <c r="QUM646" s="731"/>
      <c r="QUN646" s="733"/>
      <c r="QUO646" s="731"/>
      <c r="QUP646" s="732"/>
      <c r="QUQ646" s="731"/>
      <c r="QUR646" s="733"/>
      <c r="QUS646" s="731"/>
      <c r="QUT646" s="732"/>
      <c r="QUU646" s="731"/>
      <c r="QUV646" s="733"/>
      <c r="QUW646" s="731"/>
      <c r="QUX646" s="732"/>
      <c r="QUY646" s="731"/>
      <c r="QUZ646" s="733"/>
      <c r="QVA646" s="731"/>
      <c r="QVB646" s="732"/>
      <c r="QVC646" s="731"/>
      <c r="QVD646" s="733"/>
      <c r="QVE646" s="731"/>
      <c r="QVF646" s="732"/>
      <c r="QVG646" s="731"/>
      <c r="QVH646" s="733"/>
      <c r="QVI646" s="731"/>
      <c r="QVJ646" s="732"/>
      <c r="QVK646" s="731"/>
      <c r="QVL646" s="733"/>
      <c r="QVM646" s="731"/>
      <c r="QVN646" s="732"/>
      <c r="QVO646" s="731"/>
      <c r="QVP646" s="733"/>
      <c r="QVQ646" s="731"/>
      <c r="QVR646" s="732"/>
      <c r="QVS646" s="731"/>
      <c r="QVT646" s="733"/>
      <c r="QVU646" s="731"/>
      <c r="QVV646" s="732"/>
      <c r="QVW646" s="731"/>
      <c r="QVX646" s="733"/>
      <c r="QVY646" s="731"/>
      <c r="QVZ646" s="732"/>
      <c r="QWA646" s="731"/>
      <c r="QWB646" s="733"/>
      <c r="QWC646" s="731"/>
      <c r="QWD646" s="732"/>
      <c r="QWE646" s="731"/>
      <c r="QWF646" s="733"/>
      <c r="QWG646" s="731"/>
      <c r="QWH646" s="732"/>
      <c r="QWI646" s="731"/>
      <c r="QWJ646" s="733"/>
      <c r="QWK646" s="731"/>
      <c r="QWL646" s="732"/>
      <c r="QWM646" s="731"/>
      <c r="QWN646" s="733"/>
      <c r="QWO646" s="731"/>
      <c r="QWP646" s="732"/>
      <c r="QWQ646" s="731"/>
      <c r="QWR646" s="733"/>
      <c r="QWS646" s="731"/>
      <c r="QWT646" s="732"/>
      <c r="QWU646" s="731"/>
      <c r="QWV646" s="733"/>
      <c r="QWW646" s="731"/>
      <c r="QWX646" s="732"/>
      <c r="QWY646" s="731"/>
      <c r="QWZ646" s="733"/>
      <c r="QXA646" s="731"/>
      <c r="QXB646" s="732"/>
      <c r="QXC646" s="731"/>
      <c r="QXD646" s="733"/>
      <c r="QXE646" s="731"/>
      <c r="QXF646" s="732"/>
      <c r="QXG646" s="731"/>
      <c r="QXH646" s="733"/>
      <c r="QXI646" s="731"/>
      <c r="QXJ646" s="732"/>
      <c r="QXK646" s="731"/>
      <c r="QXL646" s="733"/>
      <c r="QXM646" s="731"/>
      <c r="QXN646" s="732"/>
      <c r="QXO646" s="731"/>
      <c r="QXP646" s="733"/>
      <c r="QXQ646" s="731"/>
      <c r="QXR646" s="732"/>
      <c r="QXS646" s="731"/>
      <c r="QXT646" s="733"/>
      <c r="QXU646" s="731"/>
      <c r="QXV646" s="732"/>
      <c r="QXW646" s="731"/>
      <c r="QXX646" s="733"/>
      <c r="QXY646" s="731"/>
      <c r="QXZ646" s="732"/>
      <c r="QYA646" s="731"/>
      <c r="QYB646" s="733"/>
      <c r="QYC646" s="731"/>
      <c r="QYD646" s="732"/>
      <c r="QYE646" s="731"/>
      <c r="QYF646" s="733"/>
      <c r="QYG646" s="731"/>
      <c r="QYH646" s="732"/>
      <c r="QYI646" s="731"/>
      <c r="QYJ646" s="733"/>
      <c r="QYK646" s="731"/>
      <c r="QYL646" s="732"/>
      <c r="QYM646" s="731"/>
      <c r="QYN646" s="733"/>
      <c r="QYO646" s="731"/>
      <c r="QYP646" s="732"/>
      <c r="QYQ646" s="731"/>
      <c r="QYR646" s="733"/>
      <c r="QYS646" s="731"/>
      <c r="QYT646" s="732"/>
      <c r="QYU646" s="731"/>
      <c r="QYV646" s="733"/>
      <c r="QYW646" s="731"/>
      <c r="QYX646" s="732"/>
      <c r="QYY646" s="731"/>
      <c r="QYZ646" s="733"/>
      <c r="QZA646" s="731"/>
      <c r="QZB646" s="732"/>
      <c r="QZC646" s="731"/>
      <c r="QZD646" s="733"/>
      <c r="QZE646" s="731"/>
      <c r="QZF646" s="732"/>
      <c r="QZG646" s="731"/>
      <c r="QZH646" s="733"/>
      <c r="QZI646" s="731"/>
      <c r="QZJ646" s="732"/>
      <c r="QZK646" s="731"/>
      <c r="QZL646" s="733"/>
      <c r="QZM646" s="731"/>
      <c r="QZN646" s="732"/>
      <c r="QZO646" s="731"/>
      <c r="QZP646" s="733"/>
      <c r="QZQ646" s="731"/>
      <c r="QZR646" s="732"/>
      <c r="QZS646" s="731"/>
      <c r="QZT646" s="733"/>
      <c r="QZU646" s="731"/>
      <c r="QZV646" s="732"/>
      <c r="QZW646" s="731"/>
      <c r="QZX646" s="733"/>
      <c r="QZY646" s="731"/>
      <c r="QZZ646" s="732"/>
      <c r="RAA646" s="731"/>
      <c r="RAB646" s="733"/>
      <c r="RAC646" s="731"/>
      <c r="RAD646" s="732"/>
      <c r="RAE646" s="731"/>
      <c r="RAF646" s="733"/>
      <c r="RAG646" s="731"/>
      <c r="RAH646" s="732"/>
      <c r="RAI646" s="731"/>
      <c r="RAJ646" s="733"/>
      <c r="RAK646" s="731"/>
      <c r="RAL646" s="732"/>
      <c r="RAM646" s="731"/>
      <c r="RAN646" s="733"/>
      <c r="RAO646" s="731"/>
      <c r="RAP646" s="732"/>
      <c r="RAQ646" s="731"/>
      <c r="RAR646" s="733"/>
      <c r="RAS646" s="731"/>
      <c r="RAT646" s="732"/>
      <c r="RAU646" s="731"/>
      <c r="RAV646" s="733"/>
      <c r="RAW646" s="731"/>
      <c r="RAX646" s="732"/>
      <c r="RAY646" s="731"/>
      <c r="RAZ646" s="733"/>
      <c r="RBA646" s="731"/>
      <c r="RBB646" s="732"/>
      <c r="RBC646" s="731"/>
      <c r="RBD646" s="733"/>
      <c r="RBE646" s="731"/>
      <c r="RBF646" s="732"/>
      <c r="RBG646" s="731"/>
      <c r="RBH646" s="733"/>
      <c r="RBI646" s="731"/>
      <c r="RBJ646" s="732"/>
      <c r="RBK646" s="731"/>
      <c r="RBL646" s="733"/>
      <c r="RBM646" s="731"/>
      <c r="RBN646" s="732"/>
      <c r="RBO646" s="731"/>
      <c r="RBP646" s="733"/>
      <c r="RBQ646" s="731"/>
      <c r="RBR646" s="732"/>
      <c r="RBS646" s="731"/>
      <c r="RBT646" s="733"/>
      <c r="RBU646" s="731"/>
      <c r="RBV646" s="732"/>
      <c r="RBW646" s="731"/>
      <c r="RBX646" s="733"/>
      <c r="RBY646" s="731"/>
      <c r="RBZ646" s="732"/>
      <c r="RCA646" s="731"/>
      <c r="RCB646" s="733"/>
      <c r="RCC646" s="731"/>
      <c r="RCD646" s="732"/>
      <c r="RCE646" s="731"/>
      <c r="RCF646" s="733"/>
      <c r="RCG646" s="731"/>
      <c r="RCH646" s="732"/>
      <c r="RCI646" s="731"/>
      <c r="RCJ646" s="733"/>
      <c r="RCK646" s="731"/>
      <c r="RCL646" s="732"/>
      <c r="RCM646" s="731"/>
      <c r="RCN646" s="733"/>
      <c r="RCO646" s="731"/>
      <c r="RCP646" s="732"/>
      <c r="RCQ646" s="731"/>
      <c r="RCR646" s="733"/>
      <c r="RCS646" s="731"/>
      <c r="RCT646" s="732"/>
      <c r="RCU646" s="731"/>
      <c r="RCV646" s="733"/>
      <c r="RCW646" s="731"/>
      <c r="RCX646" s="732"/>
      <c r="RCY646" s="731"/>
      <c r="RCZ646" s="733"/>
      <c r="RDA646" s="731"/>
      <c r="RDB646" s="732"/>
      <c r="RDC646" s="731"/>
      <c r="RDD646" s="733"/>
      <c r="RDE646" s="731"/>
      <c r="RDF646" s="732"/>
      <c r="RDG646" s="731"/>
      <c r="RDH646" s="733"/>
      <c r="RDI646" s="731"/>
      <c r="RDJ646" s="732"/>
      <c r="RDK646" s="731"/>
      <c r="RDL646" s="733"/>
      <c r="RDM646" s="731"/>
      <c r="RDN646" s="732"/>
      <c r="RDO646" s="731"/>
      <c r="RDP646" s="733"/>
      <c r="RDQ646" s="731"/>
      <c r="RDR646" s="732"/>
      <c r="RDS646" s="731"/>
      <c r="RDT646" s="733"/>
      <c r="RDU646" s="731"/>
      <c r="RDV646" s="732"/>
      <c r="RDW646" s="731"/>
      <c r="RDX646" s="733"/>
      <c r="RDY646" s="731"/>
      <c r="RDZ646" s="732"/>
      <c r="REA646" s="731"/>
      <c r="REB646" s="733"/>
      <c r="REC646" s="731"/>
      <c r="RED646" s="732"/>
      <c r="REE646" s="731"/>
      <c r="REF646" s="733"/>
      <c r="REG646" s="731"/>
      <c r="REH646" s="732"/>
      <c r="REI646" s="731"/>
      <c r="REJ646" s="733"/>
      <c r="REK646" s="731"/>
      <c r="REL646" s="732"/>
      <c r="REM646" s="731"/>
      <c r="REN646" s="733"/>
      <c r="REO646" s="731"/>
      <c r="REP646" s="732"/>
      <c r="REQ646" s="731"/>
      <c r="RER646" s="733"/>
      <c r="RES646" s="731"/>
      <c r="RET646" s="732"/>
      <c r="REU646" s="731"/>
      <c r="REV646" s="733"/>
      <c r="REW646" s="731"/>
      <c r="REX646" s="732"/>
      <c r="REY646" s="731"/>
      <c r="REZ646" s="733"/>
      <c r="RFA646" s="731"/>
      <c r="RFB646" s="732"/>
      <c r="RFC646" s="731"/>
      <c r="RFD646" s="733"/>
      <c r="RFE646" s="731"/>
      <c r="RFF646" s="732"/>
      <c r="RFG646" s="731"/>
      <c r="RFH646" s="733"/>
      <c r="RFI646" s="731"/>
      <c r="RFJ646" s="732"/>
      <c r="RFK646" s="731"/>
      <c r="RFL646" s="733"/>
      <c r="RFM646" s="731"/>
      <c r="RFN646" s="732"/>
      <c r="RFO646" s="731"/>
      <c r="RFP646" s="733"/>
      <c r="RFQ646" s="731"/>
      <c r="RFR646" s="732"/>
      <c r="RFS646" s="731"/>
      <c r="RFT646" s="733"/>
      <c r="RFU646" s="731"/>
      <c r="RFV646" s="732"/>
      <c r="RFW646" s="731"/>
      <c r="RFX646" s="733"/>
      <c r="RFY646" s="731"/>
      <c r="RFZ646" s="732"/>
      <c r="RGA646" s="731"/>
      <c r="RGB646" s="733"/>
      <c r="RGC646" s="731"/>
      <c r="RGD646" s="732"/>
      <c r="RGE646" s="731"/>
      <c r="RGF646" s="733"/>
      <c r="RGG646" s="731"/>
      <c r="RGH646" s="732"/>
      <c r="RGI646" s="731"/>
      <c r="RGJ646" s="733"/>
      <c r="RGK646" s="731"/>
      <c r="RGL646" s="732"/>
      <c r="RGM646" s="731"/>
      <c r="RGN646" s="733"/>
      <c r="RGO646" s="731"/>
      <c r="RGP646" s="732"/>
      <c r="RGQ646" s="731"/>
      <c r="RGR646" s="733"/>
      <c r="RGS646" s="731"/>
      <c r="RGT646" s="732"/>
      <c r="RGU646" s="731"/>
      <c r="RGV646" s="733"/>
      <c r="RGW646" s="731"/>
      <c r="RGX646" s="732"/>
      <c r="RGY646" s="731"/>
      <c r="RGZ646" s="733"/>
      <c r="RHA646" s="731"/>
      <c r="RHB646" s="732"/>
      <c r="RHC646" s="731"/>
      <c r="RHD646" s="733"/>
      <c r="RHE646" s="731"/>
      <c r="RHF646" s="732"/>
      <c r="RHG646" s="731"/>
      <c r="RHH646" s="733"/>
      <c r="RHI646" s="731"/>
      <c r="RHJ646" s="732"/>
      <c r="RHK646" s="731"/>
      <c r="RHL646" s="733"/>
      <c r="RHM646" s="731"/>
      <c r="RHN646" s="732"/>
      <c r="RHO646" s="731"/>
      <c r="RHP646" s="733"/>
      <c r="RHQ646" s="731"/>
      <c r="RHR646" s="732"/>
      <c r="RHS646" s="731"/>
      <c r="RHT646" s="733"/>
      <c r="RHU646" s="731"/>
      <c r="RHV646" s="732"/>
      <c r="RHW646" s="731"/>
      <c r="RHX646" s="733"/>
      <c r="RHY646" s="731"/>
      <c r="RHZ646" s="732"/>
      <c r="RIA646" s="731"/>
      <c r="RIB646" s="733"/>
      <c r="RIC646" s="731"/>
      <c r="RID646" s="732"/>
      <c r="RIE646" s="731"/>
      <c r="RIF646" s="733"/>
      <c r="RIG646" s="731"/>
      <c r="RIH646" s="732"/>
      <c r="RII646" s="731"/>
      <c r="RIJ646" s="733"/>
      <c r="RIK646" s="731"/>
      <c r="RIL646" s="732"/>
      <c r="RIM646" s="731"/>
      <c r="RIN646" s="733"/>
      <c r="RIO646" s="731"/>
      <c r="RIP646" s="732"/>
      <c r="RIQ646" s="731"/>
      <c r="RIR646" s="733"/>
      <c r="RIS646" s="731"/>
      <c r="RIT646" s="732"/>
      <c r="RIU646" s="731"/>
      <c r="RIV646" s="733"/>
      <c r="RIW646" s="731"/>
      <c r="RIX646" s="732"/>
      <c r="RIY646" s="731"/>
      <c r="RIZ646" s="733"/>
      <c r="RJA646" s="731"/>
      <c r="RJB646" s="732"/>
      <c r="RJC646" s="731"/>
      <c r="RJD646" s="733"/>
      <c r="RJE646" s="731"/>
      <c r="RJF646" s="732"/>
      <c r="RJG646" s="731"/>
      <c r="RJH646" s="733"/>
      <c r="RJI646" s="731"/>
      <c r="RJJ646" s="732"/>
      <c r="RJK646" s="731"/>
      <c r="RJL646" s="733"/>
      <c r="RJM646" s="731"/>
      <c r="RJN646" s="732"/>
      <c r="RJO646" s="731"/>
      <c r="RJP646" s="733"/>
      <c r="RJQ646" s="731"/>
      <c r="RJR646" s="732"/>
      <c r="RJS646" s="731"/>
      <c r="RJT646" s="733"/>
      <c r="RJU646" s="731"/>
      <c r="RJV646" s="732"/>
      <c r="RJW646" s="731"/>
      <c r="RJX646" s="733"/>
      <c r="RJY646" s="731"/>
      <c r="RJZ646" s="732"/>
      <c r="RKA646" s="731"/>
      <c r="RKB646" s="733"/>
      <c r="RKC646" s="731"/>
      <c r="RKD646" s="732"/>
      <c r="RKE646" s="731"/>
      <c r="RKF646" s="733"/>
      <c r="RKG646" s="731"/>
      <c r="RKH646" s="732"/>
      <c r="RKI646" s="731"/>
      <c r="RKJ646" s="733"/>
      <c r="RKK646" s="731"/>
      <c r="RKL646" s="732"/>
      <c r="RKM646" s="731"/>
      <c r="RKN646" s="733"/>
      <c r="RKO646" s="731"/>
      <c r="RKP646" s="732"/>
      <c r="RKQ646" s="731"/>
      <c r="RKR646" s="733"/>
      <c r="RKS646" s="731"/>
      <c r="RKT646" s="732"/>
      <c r="RKU646" s="731"/>
      <c r="RKV646" s="733"/>
      <c r="RKW646" s="731"/>
      <c r="RKX646" s="732"/>
      <c r="RKY646" s="731"/>
      <c r="RKZ646" s="733"/>
      <c r="RLA646" s="731"/>
      <c r="RLB646" s="732"/>
      <c r="RLC646" s="731"/>
      <c r="RLD646" s="733"/>
      <c r="RLE646" s="731"/>
      <c r="RLF646" s="732"/>
      <c r="RLG646" s="731"/>
      <c r="RLH646" s="733"/>
      <c r="RLI646" s="731"/>
      <c r="RLJ646" s="732"/>
      <c r="RLK646" s="731"/>
      <c r="RLL646" s="733"/>
      <c r="RLM646" s="731"/>
      <c r="RLN646" s="732"/>
      <c r="RLO646" s="731"/>
      <c r="RLP646" s="733"/>
      <c r="RLQ646" s="731"/>
      <c r="RLR646" s="732"/>
      <c r="RLS646" s="731"/>
      <c r="RLT646" s="733"/>
      <c r="RLU646" s="731"/>
      <c r="RLV646" s="732"/>
      <c r="RLW646" s="731"/>
      <c r="RLX646" s="733"/>
      <c r="RLY646" s="731"/>
      <c r="RLZ646" s="732"/>
      <c r="RMA646" s="731"/>
      <c r="RMB646" s="733"/>
      <c r="RMC646" s="731"/>
      <c r="RMD646" s="732"/>
      <c r="RME646" s="731"/>
      <c r="RMF646" s="733"/>
      <c r="RMG646" s="731"/>
      <c r="RMH646" s="732"/>
      <c r="RMI646" s="731"/>
      <c r="RMJ646" s="733"/>
      <c r="RMK646" s="731"/>
      <c r="RML646" s="732"/>
      <c r="RMM646" s="731"/>
      <c r="RMN646" s="733"/>
      <c r="RMO646" s="731"/>
      <c r="RMP646" s="732"/>
      <c r="RMQ646" s="731"/>
      <c r="RMR646" s="733"/>
      <c r="RMS646" s="731"/>
      <c r="RMT646" s="732"/>
      <c r="RMU646" s="731"/>
      <c r="RMV646" s="733"/>
      <c r="RMW646" s="731"/>
      <c r="RMX646" s="732"/>
      <c r="RMY646" s="731"/>
      <c r="RMZ646" s="733"/>
      <c r="RNA646" s="731"/>
      <c r="RNB646" s="732"/>
      <c r="RNC646" s="731"/>
      <c r="RND646" s="733"/>
      <c r="RNE646" s="731"/>
      <c r="RNF646" s="732"/>
      <c r="RNG646" s="731"/>
      <c r="RNH646" s="733"/>
      <c r="RNI646" s="731"/>
      <c r="RNJ646" s="732"/>
      <c r="RNK646" s="731"/>
      <c r="RNL646" s="733"/>
      <c r="RNM646" s="731"/>
      <c r="RNN646" s="732"/>
      <c r="RNO646" s="731"/>
      <c r="RNP646" s="733"/>
      <c r="RNQ646" s="731"/>
      <c r="RNR646" s="732"/>
      <c r="RNS646" s="731"/>
      <c r="RNT646" s="733"/>
      <c r="RNU646" s="731"/>
      <c r="RNV646" s="732"/>
      <c r="RNW646" s="731"/>
      <c r="RNX646" s="733"/>
      <c r="RNY646" s="731"/>
      <c r="RNZ646" s="732"/>
      <c r="ROA646" s="731"/>
      <c r="ROB646" s="733"/>
      <c r="ROC646" s="731"/>
      <c r="ROD646" s="732"/>
      <c r="ROE646" s="731"/>
      <c r="ROF646" s="733"/>
      <c r="ROG646" s="731"/>
      <c r="ROH646" s="732"/>
      <c r="ROI646" s="731"/>
      <c r="ROJ646" s="733"/>
      <c r="ROK646" s="731"/>
      <c r="ROL646" s="732"/>
      <c r="ROM646" s="731"/>
      <c r="RON646" s="733"/>
      <c r="ROO646" s="731"/>
      <c r="ROP646" s="732"/>
      <c r="ROQ646" s="731"/>
      <c r="ROR646" s="733"/>
      <c r="ROS646" s="731"/>
      <c r="ROT646" s="732"/>
      <c r="ROU646" s="731"/>
      <c r="ROV646" s="733"/>
      <c r="ROW646" s="731"/>
      <c r="ROX646" s="732"/>
      <c r="ROY646" s="731"/>
      <c r="ROZ646" s="733"/>
      <c r="RPA646" s="731"/>
      <c r="RPB646" s="732"/>
      <c r="RPC646" s="731"/>
      <c r="RPD646" s="733"/>
      <c r="RPE646" s="731"/>
      <c r="RPF646" s="732"/>
      <c r="RPG646" s="731"/>
      <c r="RPH646" s="733"/>
      <c r="RPI646" s="731"/>
      <c r="RPJ646" s="732"/>
      <c r="RPK646" s="731"/>
      <c r="RPL646" s="733"/>
      <c r="RPM646" s="731"/>
      <c r="RPN646" s="732"/>
      <c r="RPO646" s="731"/>
      <c r="RPP646" s="733"/>
      <c r="RPQ646" s="731"/>
      <c r="RPR646" s="732"/>
      <c r="RPS646" s="731"/>
      <c r="RPT646" s="733"/>
      <c r="RPU646" s="731"/>
      <c r="RPV646" s="732"/>
      <c r="RPW646" s="731"/>
      <c r="RPX646" s="733"/>
      <c r="RPY646" s="731"/>
      <c r="RPZ646" s="732"/>
      <c r="RQA646" s="731"/>
      <c r="RQB646" s="733"/>
      <c r="RQC646" s="731"/>
      <c r="RQD646" s="732"/>
      <c r="RQE646" s="731"/>
      <c r="RQF646" s="733"/>
      <c r="RQG646" s="731"/>
      <c r="RQH646" s="732"/>
      <c r="RQI646" s="731"/>
      <c r="RQJ646" s="733"/>
      <c r="RQK646" s="731"/>
      <c r="RQL646" s="732"/>
      <c r="RQM646" s="731"/>
      <c r="RQN646" s="733"/>
      <c r="RQO646" s="731"/>
      <c r="RQP646" s="732"/>
      <c r="RQQ646" s="731"/>
      <c r="RQR646" s="733"/>
      <c r="RQS646" s="731"/>
      <c r="RQT646" s="732"/>
      <c r="RQU646" s="731"/>
      <c r="RQV646" s="733"/>
      <c r="RQW646" s="731"/>
      <c r="RQX646" s="732"/>
      <c r="RQY646" s="731"/>
      <c r="RQZ646" s="733"/>
      <c r="RRA646" s="731"/>
      <c r="RRB646" s="732"/>
      <c r="RRC646" s="731"/>
      <c r="RRD646" s="733"/>
      <c r="RRE646" s="731"/>
      <c r="RRF646" s="732"/>
      <c r="RRG646" s="731"/>
      <c r="RRH646" s="733"/>
      <c r="RRI646" s="731"/>
      <c r="RRJ646" s="732"/>
      <c r="RRK646" s="731"/>
      <c r="RRL646" s="733"/>
      <c r="RRM646" s="731"/>
      <c r="RRN646" s="732"/>
      <c r="RRO646" s="731"/>
      <c r="RRP646" s="733"/>
      <c r="RRQ646" s="731"/>
      <c r="RRR646" s="732"/>
      <c r="RRS646" s="731"/>
      <c r="RRT646" s="733"/>
      <c r="RRU646" s="731"/>
      <c r="RRV646" s="732"/>
      <c r="RRW646" s="731"/>
      <c r="RRX646" s="733"/>
      <c r="RRY646" s="731"/>
      <c r="RRZ646" s="732"/>
      <c r="RSA646" s="731"/>
      <c r="RSB646" s="733"/>
      <c r="RSC646" s="731"/>
      <c r="RSD646" s="732"/>
      <c r="RSE646" s="731"/>
      <c r="RSF646" s="733"/>
      <c r="RSG646" s="731"/>
      <c r="RSH646" s="732"/>
      <c r="RSI646" s="731"/>
      <c r="RSJ646" s="733"/>
      <c r="RSK646" s="731"/>
      <c r="RSL646" s="732"/>
      <c r="RSM646" s="731"/>
      <c r="RSN646" s="733"/>
      <c r="RSO646" s="731"/>
      <c r="RSP646" s="732"/>
      <c r="RSQ646" s="731"/>
      <c r="RSR646" s="733"/>
      <c r="RSS646" s="731"/>
      <c r="RST646" s="732"/>
      <c r="RSU646" s="731"/>
      <c r="RSV646" s="733"/>
      <c r="RSW646" s="731"/>
      <c r="RSX646" s="732"/>
      <c r="RSY646" s="731"/>
      <c r="RSZ646" s="733"/>
      <c r="RTA646" s="731"/>
      <c r="RTB646" s="732"/>
      <c r="RTC646" s="731"/>
      <c r="RTD646" s="733"/>
      <c r="RTE646" s="731"/>
      <c r="RTF646" s="732"/>
      <c r="RTG646" s="731"/>
      <c r="RTH646" s="733"/>
      <c r="RTI646" s="731"/>
      <c r="RTJ646" s="732"/>
      <c r="RTK646" s="731"/>
      <c r="RTL646" s="733"/>
      <c r="RTM646" s="731"/>
      <c r="RTN646" s="732"/>
      <c r="RTO646" s="731"/>
      <c r="RTP646" s="733"/>
      <c r="RTQ646" s="731"/>
      <c r="RTR646" s="732"/>
      <c r="RTS646" s="731"/>
      <c r="RTT646" s="733"/>
      <c r="RTU646" s="731"/>
      <c r="RTV646" s="732"/>
      <c r="RTW646" s="731"/>
      <c r="RTX646" s="733"/>
      <c r="RTY646" s="731"/>
      <c r="RTZ646" s="732"/>
      <c r="RUA646" s="731"/>
      <c r="RUB646" s="733"/>
      <c r="RUC646" s="731"/>
      <c r="RUD646" s="732"/>
      <c r="RUE646" s="731"/>
      <c r="RUF646" s="733"/>
      <c r="RUG646" s="731"/>
      <c r="RUH646" s="732"/>
      <c r="RUI646" s="731"/>
      <c r="RUJ646" s="733"/>
      <c r="RUK646" s="731"/>
      <c r="RUL646" s="732"/>
      <c r="RUM646" s="731"/>
      <c r="RUN646" s="733"/>
      <c r="RUO646" s="731"/>
      <c r="RUP646" s="732"/>
      <c r="RUQ646" s="731"/>
      <c r="RUR646" s="733"/>
      <c r="RUS646" s="731"/>
      <c r="RUT646" s="732"/>
      <c r="RUU646" s="731"/>
      <c r="RUV646" s="733"/>
      <c r="RUW646" s="731"/>
      <c r="RUX646" s="732"/>
      <c r="RUY646" s="731"/>
      <c r="RUZ646" s="733"/>
      <c r="RVA646" s="731"/>
      <c r="RVB646" s="732"/>
      <c r="RVC646" s="731"/>
      <c r="RVD646" s="733"/>
      <c r="RVE646" s="731"/>
      <c r="RVF646" s="732"/>
      <c r="RVG646" s="731"/>
      <c r="RVH646" s="733"/>
      <c r="RVI646" s="731"/>
      <c r="RVJ646" s="732"/>
      <c r="RVK646" s="731"/>
      <c r="RVL646" s="733"/>
      <c r="RVM646" s="731"/>
      <c r="RVN646" s="732"/>
      <c r="RVO646" s="731"/>
      <c r="RVP646" s="733"/>
      <c r="RVQ646" s="731"/>
      <c r="RVR646" s="732"/>
      <c r="RVS646" s="731"/>
      <c r="RVT646" s="733"/>
      <c r="RVU646" s="731"/>
      <c r="RVV646" s="732"/>
      <c r="RVW646" s="731"/>
      <c r="RVX646" s="733"/>
      <c r="RVY646" s="731"/>
      <c r="RVZ646" s="732"/>
      <c r="RWA646" s="731"/>
      <c r="RWB646" s="733"/>
      <c r="RWC646" s="731"/>
      <c r="RWD646" s="732"/>
      <c r="RWE646" s="731"/>
      <c r="RWF646" s="733"/>
      <c r="RWG646" s="731"/>
      <c r="RWH646" s="732"/>
      <c r="RWI646" s="731"/>
      <c r="RWJ646" s="733"/>
      <c r="RWK646" s="731"/>
      <c r="RWL646" s="732"/>
      <c r="RWM646" s="731"/>
      <c r="RWN646" s="733"/>
      <c r="RWO646" s="731"/>
      <c r="RWP646" s="732"/>
      <c r="RWQ646" s="731"/>
      <c r="RWR646" s="733"/>
      <c r="RWS646" s="731"/>
      <c r="RWT646" s="732"/>
      <c r="RWU646" s="731"/>
      <c r="RWV646" s="733"/>
      <c r="RWW646" s="731"/>
      <c r="RWX646" s="732"/>
      <c r="RWY646" s="731"/>
      <c r="RWZ646" s="733"/>
      <c r="RXA646" s="731"/>
      <c r="RXB646" s="732"/>
      <c r="RXC646" s="731"/>
      <c r="RXD646" s="733"/>
      <c r="RXE646" s="731"/>
      <c r="RXF646" s="732"/>
      <c r="RXG646" s="731"/>
      <c r="RXH646" s="733"/>
      <c r="RXI646" s="731"/>
      <c r="RXJ646" s="732"/>
      <c r="RXK646" s="731"/>
      <c r="RXL646" s="733"/>
      <c r="RXM646" s="731"/>
      <c r="RXN646" s="732"/>
      <c r="RXO646" s="731"/>
      <c r="RXP646" s="733"/>
      <c r="RXQ646" s="731"/>
      <c r="RXR646" s="732"/>
      <c r="RXS646" s="731"/>
      <c r="RXT646" s="733"/>
      <c r="RXU646" s="731"/>
      <c r="RXV646" s="732"/>
      <c r="RXW646" s="731"/>
      <c r="RXX646" s="733"/>
      <c r="RXY646" s="731"/>
      <c r="RXZ646" s="732"/>
      <c r="RYA646" s="731"/>
      <c r="RYB646" s="733"/>
      <c r="RYC646" s="731"/>
      <c r="RYD646" s="732"/>
      <c r="RYE646" s="731"/>
      <c r="RYF646" s="733"/>
      <c r="RYG646" s="731"/>
      <c r="RYH646" s="732"/>
      <c r="RYI646" s="731"/>
      <c r="RYJ646" s="733"/>
      <c r="RYK646" s="731"/>
      <c r="RYL646" s="732"/>
      <c r="RYM646" s="731"/>
      <c r="RYN646" s="733"/>
      <c r="RYO646" s="731"/>
      <c r="RYP646" s="732"/>
      <c r="RYQ646" s="731"/>
      <c r="RYR646" s="733"/>
      <c r="RYS646" s="731"/>
      <c r="RYT646" s="732"/>
      <c r="RYU646" s="731"/>
      <c r="RYV646" s="733"/>
      <c r="RYW646" s="731"/>
      <c r="RYX646" s="732"/>
      <c r="RYY646" s="731"/>
      <c r="RYZ646" s="733"/>
      <c r="RZA646" s="731"/>
      <c r="RZB646" s="732"/>
      <c r="RZC646" s="731"/>
      <c r="RZD646" s="733"/>
      <c r="RZE646" s="731"/>
      <c r="RZF646" s="732"/>
      <c r="RZG646" s="731"/>
      <c r="RZH646" s="733"/>
      <c r="RZI646" s="731"/>
      <c r="RZJ646" s="732"/>
      <c r="RZK646" s="731"/>
      <c r="RZL646" s="733"/>
      <c r="RZM646" s="731"/>
      <c r="RZN646" s="732"/>
      <c r="RZO646" s="731"/>
      <c r="RZP646" s="733"/>
      <c r="RZQ646" s="731"/>
      <c r="RZR646" s="732"/>
      <c r="RZS646" s="731"/>
      <c r="RZT646" s="733"/>
      <c r="RZU646" s="731"/>
      <c r="RZV646" s="732"/>
      <c r="RZW646" s="731"/>
      <c r="RZX646" s="733"/>
      <c r="RZY646" s="731"/>
      <c r="RZZ646" s="732"/>
      <c r="SAA646" s="731"/>
      <c r="SAB646" s="733"/>
      <c r="SAC646" s="731"/>
      <c r="SAD646" s="732"/>
      <c r="SAE646" s="731"/>
      <c r="SAF646" s="733"/>
      <c r="SAG646" s="731"/>
      <c r="SAH646" s="732"/>
      <c r="SAI646" s="731"/>
      <c r="SAJ646" s="733"/>
      <c r="SAK646" s="731"/>
      <c r="SAL646" s="732"/>
      <c r="SAM646" s="731"/>
      <c r="SAN646" s="733"/>
      <c r="SAO646" s="731"/>
      <c r="SAP646" s="732"/>
      <c r="SAQ646" s="731"/>
      <c r="SAR646" s="733"/>
      <c r="SAS646" s="731"/>
      <c r="SAT646" s="732"/>
      <c r="SAU646" s="731"/>
      <c r="SAV646" s="733"/>
      <c r="SAW646" s="731"/>
      <c r="SAX646" s="732"/>
      <c r="SAY646" s="731"/>
      <c r="SAZ646" s="733"/>
      <c r="SBA646" s="731"/>
      <c r="SBB646" s="732"/>
      <c r="SBC646" s="731"/>
      <c r="SBD646" s="733"/>
      <c r="SBE646" s="731"/>
      <c r="SBF646" s="732"/>
      <c r="SBG646" s="731"/>
      <c r="SBH646" s="733"/>
      <c r="SBI646" s="731"/>
      <c r="SBJ646" s="732"/>
      <c r="SBK646" s="731"/>
      <c r="SBL646" s="733"/>
      <c r="SBM646" s="731"/>
      <c r="SBN646" s="732"/>
      <c r="SBO646" s="731"/>
      <c r="SBP646" s="733"/>
      <c r="SBQ646" s="731"/>
      <c r="SBR646" s="732"/>
      <c r="SBS646" s="731"/>
      <c r="SBT646" s="733"/>
      <c r="SBU646" s="731"/>
      <c r="SBV646" s="732"/>
      <c r="SBW646" s="731"/>
      <c r="SBX646" s="733"/>
      <c r="SBY646" s="731"/>
      <c r="SBZ646" s="732"/>
      <c r="SCA646" s="731"/>
      <c r="SCB646" s="733"/>
      <c r="SCC646" s="731"/>
      <c r="SCD646" s="732"/>
      <c r="SCE646" s="731"/>
      <c r="SCF646" s="733"/>
      <c r="SCG646" s="731"/>
      <c r="SCH646" s="732"/>
      <c r="SCI646" s="731"/>
      <c r="SCJ646" s="733"/>
      <c r="SCK646" s="731"/>
      <c r="SCL646" s="732"/>
      <c r="SCM646" s="731"/>
      <c r="SCN646" s="733"/>
      <c r="SCO646" s="731"/>
      <c r="SCP646" s="732"/>
      <c r="SCQ646" s="731"/>
      <c r="SCR646" s="733"/>
      <c r="SCS646" s="731"/>
      <c r="SCT646" s="732"/>
      <c r="SCU646" s="731"/>
      <c r="SCV646" s="733"/>
      <c r="SCW646" s="731"/>
      <c r="SCX646" s="732"/>
      <c r="SCY646" s="731"/>
      <c r="SCZ646" s="733"/>
      <c r="SDA646" s="731"/>
      <c r="SDB646" s="732"/>
      <c r="SDC646" s="731"/>
      <c r="SDD646" s="733"/>
      <c r="SDE646" s="731"/>
      <c r="SDF646" s="732"/>
      <c r="SDG646" s="731"/>
      <c r="SDH646" s="733"/>
      <c r="SDI646" s="731"/>
      <c r="SDJ646" s="732"/>
      <c r="SDK646" s="731"/>
      <c r="SDL646" s="733"/>
      <c r="SDM646" s="731"/>
      <c r="SDN646" s="732"/>
      <c r="SDO646" s="731"/>
      <c r="SDP646" s="733"/>
      <c r="SDQ646" s="731"/>
      <c r="SDR646" s="732"/>
      <c r="SDS646" s="731"/>
      <c r="SDT646" s="733"/>
      <c r="SDU646" s="731"/>
      <c r="SDV646" s="732"/>
      <c r="SDW646" s="731"/>
      <c r="SDX646" s="733"/>
      <c r="SDY646" s="731"/>
      <c r="SDZ646" s="732"/>
      <c r="SEA646" s="731"/>
      <c r="SEB646" s="733"/>
      <c r="SEC646" s="731"/>
      <c r="SED646" s="732"/>
      <c r="SEE646" s="731"/>
      <c r="SEF646" s="733"/>
      <c r="SEG646" s="731"/>
      <c r="SEH646" s="732"/>
      <c r="SEI646" s="731"/>
      <c r="SEJ646" s="733"/>
      <c r="SEK646" s="731"/>
      <c r="SEL646" s="732"/>
      <c r="SEM646" s="731"/>
      <c r="SEN646" s="733"/>
      <c r="SEO646" s="731"/>
      <c r="SEP646" s="732"/>
      <c r="SEQ646" s="731"/>
      <c r="SER646" s="733"/>
      <c r="SES646" s="731"/>
      <c r="SET646" s="732"/>
      <c r="SEU646" s="731"/>
      <c r="SEV646" s="733"/>
      <c r="SEW646" s="731"/>
      <c r="SEX646" s="732"/>
      <c r="SEY646" s="731"/>
      <c r="SEZ646" s="733"/>
      <c r="SFA646" s="731"/>
      <c r="SFB646" s="732"/>
      <c r="SFC646" s="731"/>
      <c r="SFD646" s="733"/>
      <c r="SFE646" s="731"/>
      <c r="SFF646" s="732"/>
      <c r="SFG646" s="731"/>
      <c r="SFH646" s="733"/>
      <c r="SFI646" s="731"/>
      <c r="SFJ646" s="732"/>
      <c r="SFK646" s="731"/>
      <c r="SFL646" s="733"/>
      <c r="SFM646" s="731"/>
      <c r="SFN646" s="732"/>
      <c r="SFO646" s="731"/>
      <c r="SFP646" s="733"/>
      <c r="SFQ646" s="731"/>
      <c r="SFR646" s="732"/>
      <c r="SFS646" s="731"/>
      <c r="SFT646" s="733"/>
      <c r="SFU646" s="731"/>
      <c r="SFV646" s="732"/>
      <c r="SFW646" s="731"/>
      <c r="SFX646" s="733"/>
      <c r="SFY646" s="731"/>
      <c r="SFZ646" s="732"/>
      <c r="SGA646" s="731"/>
      <c r="SGB646" s="733"/>
      <c r="SGC646" s="731"/>
      <c r="SGD646" s="732"/>
      <c r="SGE646" s="731"/>
      <c r="SGF646" s="733"/>
      <c r="SGG646" s="731"/>
      <c r="SGH646" s="732"/>
      <c r="SGI646" s="731"/>
      <c r="SGJ646" s="733"/>
      <c r="SGK646" s="731"/>
      <c r="SGL646" s="732"/>
      <c r="SGM646" s="731"/>
      <c r="SGN646" s="733"/>
      <c r="SGO646" s="731"/>
      <c r="SGP646" s="732"/>
      <c r="SGQ646" s="731"/>
      <c r="SGR646" s="733"/>
      <c r="SGS646" s="731"/>
      <c r="SGT646" s="732"/>
      <c r="SGU646" s="731"/>
      <c r="SGV646" s="733"/>
      <c r="SGW646" s="731"/>
      <c r="SGX646" s="732"/>
      <c r="SGY646" s="731"/>
      <c r="SGZ646" s="733"/>
      <c r="SHA646" s="731"/>
      <c r="SHB646" s="732"/>
      <c r="SHC646" s="731"/>
      <c r="SHD646" s="733"/>
      <c r="SHE646" s="731"/>
      <c r="SHF646" s="732"/>
      <c r="SHG646" s="731"/>
      <c r="SHH646" s="733"/>
      <c r="SHI646" s="731"/>
      <c r="SHJ646" s="732"/>
      <c r="SHK646" s="731"/>
      <c r="SHL646" s="733"/>
      <c r="SHM646" s="731"/>
      <c r="SHN646" s="732"/>
      <c r="SHO646" s="731"/>
      <c r="SHP646" s="733"/>
      <c r="SHQ646" s="731"/>
      <c r="SHR646" s="732"/>
      <c r="SHS646" s="731"/>
      <c r="SHT646" s="733"/>
      <c r="SHU646" s="731"/>
      <c r="SHV646" s="732"/>
      <c r="SHW646" s="731"/>
      <c r="SHX646" s="733"/>
      <c r="SHY646" s="731"/>
      <c r="SHZ646" s="732"/>
      <c r="SIA646" s="731"/>
      <c r="SIB646" s="733"/>
      <c r="SIC646" s="731"/>
      <c r="SID646" s="732"/>
      <c r="SIE646" s="731"/>
      <c r="SIF646" s="733"/>
      <c r="SIG646" s="731"/>
      <c r="SIH646" s="732"/>
      <c r="SII646" s="731"/>
      <c r="SIJ646" s="733"/>
      <c r="SIK646" s="731"/>
      <c r="SIL646" s="732"/>
      <c r="SIM646" s="731"/>
      <c r="SIN646" s="733"/>
      <c r="SIO646" s="731"/>
      <c r="SIP646" s="732"/>
      <c r="SIQ646" s="731"/>
      <c r="SIR646" s="733"/>
      <c r="SIS646" s="731"/>
      <c r="SIT646" s="732"/>
      <c r="SIU646" s="731"/>
      <c r="SIV646" s="733"/>
      <c r="SIW646" s="731"/>
      <c r="SIX646" s="732"/>
      <c r="SIY646" s="731"/>
      <c r="SIZ646" s="733"/>
      <c r="SJA646" s="731"/>
      <c r="SJB646" s="732"/>
      <c r="SJC646" s="731"/>
      <c r="SJD646" s="733"/>
      <c r="SJE646" s="731"/>
      <c r="SJF646" s="732"/>
      <c r="SJG646" s="731"/>
      <c r="SJH646" s="733"/>
      <c r="SJI646" s="731"/>
      <c r="SJJ646" s="732"/>
      <c r="SJK646" s="731"/>
      <c r="SJL646" s="733"/>
      <c r="SJM646" s="731"/>
      <c r="SJN646" s="732"/>
      <c r="SJO646" s="731"/>
      <c r="SJP646" s="733"/>
      <c r="SJQ646" s="731"/>
      <c r="SJR646" s="732"/>
      <c r="SJS646" s="731"/>
      <c r="SJT646" s="733"/>
      <c r="SJU646" s="731"/>
      <c r="SJV646" s="732"/>
      <c r="SJW646" s="731"/>
      <c r="SJX646" s="733"/>
      <c r="SJY646" s="731"/>
      <c r="SJZ646" s="732"/>
      <c r="SKA646" s="731"/>
      <c r="SKB646" s="733"/>
      <c r="SKC646" s="731"/>
      <c r="SKD646" s="732"/>
      <c r="SKE646" s="731"/>
      <c r="SKF646" s="733"/>
      <c r="SKG646" s="731"/>
      <c r="SKH646" s="732"/>
      <c r="SKI646" s="731"/>
      <c r="SKJ646" s="733"/>
      <c r="SKK646" s="731"/>
      <c r="SKL646" s="732"/>
      <c r="SKM646" s="731"/>
      <c r="SKN646" s="733"/>
      <c r="SKO646" s="731"/>
      <c r="SKP646" s="732"/>
      <c r="SKQ646" s="731"/>
      <c r="SKR646" s="733"/>
      <c r="SKS646" s="731"/>
      <c r="SKT646" s="732"/>
      <c r="SKU646" s="731"/>
      <c r="SKV646" s="733"/>
      <c r="SKW646" s="731"/>
      <c r="SKX646" s="732"/>
      <c r="SKY646" s="731"/>
      <c r="SKZ646" s="733"/>
      <c r="SLA646" s="731"/>
      <c r="SLB646" s="732"/>
      <c r="SLC646" s="731"/>
      <c r="SLD646" s="733"/>
      <c r="SLE646" s="731"/>
      <c r="SLF646" s="732"/>
      <c r="SLG646" s="731"/>
      <c r="SLH646" s="733"/>
      <c r="SLI646" s="731"/>
      <c r="SLJ646" s="732"/>
      <c r="SLK646" s="731"/>
      <c r="SLL646" s="733"/>
      <c r="SLM646" s="731"/>
      <c r="SLN646" s="732"/>
      <c r="SLO646" s="731"/>
      <c r="SLP646" s="733"/>
      <c r="SLQ646" s="731"/>
      <c r="SLR646" s="732"/>
      <c r="SLS646" s="731"/>
      <c r="SLT646" s="733"/>
      <c r="SLU646" s="731"/>
      <c r="SLV646" s="732"/>
      <c r="SLW646" s="731"/>
      <c r="SLX646" s="733"/>
      <c r="SLY646" s="731"/>
      <c r="SLZ646" s="732"/>
      <c r="SMA646" s="731"/>
      <c r="SMB646" s="733"/>
      <c r="SMC646" s="731"/>
      <c r="SMD646" s="732"/>
      <c r="SME646" s="731"/>
      <c r="SMF646" s="733"/>
      <c r="SMG646" s="731"/>
      <c r="SMH646" s="732"/>
      <c r="SMI646" s="731"/>
      <c r="SMJ646" s="733"/>
      <c r="SMK646" s="731"/>
      <c r="SML646" s="732"/>
      <c r="SMM646" s="731"/>
      <c r="SMN646" s="733"/>
      <c r="SMO646" s="731"/>
      <c r="SMP646" s="732"/>
      <c r="SMQ646" s="731"/>
      <c r="SMR646" s="733"/>
      <c r="SMS646" s="731"/>
      <c r="SMT646" s="732"/>
      <c r="SMU646" s="731"/>
      <c r="SMV646" s="733"/>
      <c r="SMW646" s="731"/>
      <c r="SMX646" s="732"/>
      <c r="SMY646" s="731"/>
      <c r="SMZ646" s="733"/>
      <c r="SNA646" s="731"/>
      <c r="SNB646" s="732"/>
      <c r="SNC646" s="731"/>
      <c r="SND646" s="733"/>
      <c r="SNE646" s="731"/>
      <c r="SNF646" s="732"/>
      <c r="SNG646" s="731"/>
      <c r="SNH646" s="733"/>
      <c r="SNI646" s="731"/>
      <c r="SNJ646" s="732"/>
      <c r="SNK646" s="731"/>
      <c r="SNL646" s="733"/>
      <c r="SNM646" s="731"/>
      <c r="SNN646" s="732"/>
      <c r="SNO646" s="731"/>
      <c r="SNP646" s="733"/>
      <c r="SNQ646" s="731"/>
      <c r="SNR646" s="732"/>
      <c r="SNS646" s="731"/>
      <c r="SNT646" s="733"/>
      <c r="SNU646" s="731"/>
      <c r="SNV646" s="732"/>
      <c r="SNW646" s="731"/>
      <c r="SNX646" s="733"/>
      <c r="SNY646" s="731"/>
      <c r="SNZ646" s="732"/>
      <c r="SOA646" s="731"/>
      <c r="SOB646" s="733"/>
      <c r="SOC646" s="731"/>
      <c r="SOD646" s="732"/>
      <c r="SOE646" s="731"/>
      <c r="SOF646" s="733"/>
      <c r="SOG646" s="731"/>
      <c r="SOH646" s="732"/>
      <c r="SOI646" s="731"/>
      <c r="SOJ646" s="733"/>
      <c r="SOK646" s="731"/>
      <c r="SOL646" s="732"/>
      <c r="SOM646" s="731"/>
      <c r="SON646" s="733"/>
      <c r="SOO646" s="731"/>
      <c r="SOP646" s="732"/>
      <c r="SOQ646" s="731"/>
      <c r="SOR646" s="733"/>
      <c r="SOS646" s="731"/>
      <c r="SOT646" s="732"/>
      <c r="SOU646" s="731"/>
      <c r="SOV646" s="733"/>
      <c r="SOW646" s="731"/>
      <c r="SOX646" s="732"/>
      <c r="SOY646" s="731"/>
      <c r="SOZ646" s="733"/>
      <c r="SPA646" s="731"/>
      <c r="SPB646" s="732"/>
      <c r="SPC646" s="731"/>
      <c r="SPD646" s="733"/>
      <c r="SPE646" s="731"/>
      <c r="SPF646" s="732"/>
      <c r="SPG646" s="731"/>
      <c r="SPH646" s="733"/>
      <c r="SPI646" s="731"/>
      <c r="SPJ646" s="732"/>
      <c r="SPK646" s="731"/>
      <c r="SPL646" s="733"/>
      <c r="SPM646" s="731"/>
      <c r="SPN646" s="732"/>
      <c r="SPO646" s="731"/>
      <c r="SPP646" s="733"/>
      <c r="SPQ646" s="731"/>
      <c r="SPR646" s="732"/>
      <c r="SPS646" s="731"/>
      <c r="SPT646" s="733"/>
      <c r="SPU646" s="731"/>
      <c r="SPV646" s="732"/>
      <c r="SPW646" s="731"/>
      <c r="SPX646" s="733"/>
      <c r="SPY646" s="731"/>
      <c r="SPZ646" s="732"/>
      <c r="SQA646" s="731"/>
      <c r="SQB646" s="733"/>
      <c r="SQC646" s="731"/>
      <c r="SQD646" s="732"/>
      <c r="SQE646" s="731"/>
      <c r="SQF646" s="733"/>
      <c r="SQG646" s="731"/>
      <c r="SQH646" s="732"/>
      <c r="SQI646" s="731"/>
      <c r="SQJ646" s="733"/>
      <c r="SQK646" s="731"/>
      <c r="SQL646" s="732"/>
      <c r="SQM646" s="731"/>
      <c r="SQN646" s="733"/>
      <c r="SQO646" s="731"/>
      <c r="SQP646" s="732"/>
      <c r="SQQ646" s="731"/>
      <c r="SQR646" s="733"/>
      <c r="SQS646" s="731"/>
      <c r="SQT646" s="732"/>
      <c r="SQU646" s="731"/>
      <c r="SQV646" s="733"/>
      <c r="SQW646" s="731"/>
      <c r="SQX646" s="732"/>
      <c r="SQY646" s="731"/>
      <c r="SQZ646" s="733"/>
      <c r="SRA646" s="731"/>
      <c r="SRB646" s="732"/>
      <c r="SRC646" s="731"/>
      <c r="SRD646" s="733"/>
      <c r="SRE646" s="731"/>
      <c r="SRF646" s="732"/>
      <c r="SRG646" s="731"/>
      <c r="SRH646" s="733"/>
      <c r="SRI646" s="731"/>
      <c r="SRJ646" s="732"/>
      <c r="SRK646" s="731"/>
      <c r="SRL646" s="733"/>
      <c r="SRM646" s="731"/>
      <c r="SRN646" s="732"/>
      <c r="SRO646" s="731"/>
      <c r="SRP646" s="733"/>
      <c r="SRQ646" s="731"/>
      <c r="SRR646" s="732"/>
      <c r="SRS646" s="731"/>
      <c r="SRT646" s="733"/>
      <c r="SRU646" s="731"/>
      <c r="SRV646" s="732"/>
      <c r="SRW646" s="731"/>
      <c r="SRX646" s="733"/>
      <c r="SRY646" s="731"/>
      <c r="SRZ646" s="732"/>
      <c r="SSA646" s="731"/>
      <c r="SSB646" s="733"/>
      <c r="SSC646" s="731"/>
      <c r="SSD646" s="732"/>
      <c r="SSE646" s="731"/>
      <c r="SSF646" s="733"/>
      <c r="SSG646" s="731"/>
      <c r="SSH646" s="732"/>
      <c r="SSI646" s="731"/>
      <c r="SSJ646" s="733"/>
      <c r="SSK646" s="731"/>
      <c r="SSL646" s="732"/>
      <c r="SSM646" s="731"/>
      <c r="SSN646" s="733"/>
      <c r="SSO646" s="731"/>
      <c r="SSP646" s="732"/>
      <c r="SSQ646" s="731"/>
      <c r="SSR646" s="733"/>
      <c r="SSS646" s="731"/>
      <c r="SST646" s="732"/>
      <c r="SSU646" s="731"/>
      <c r="SSV646" s="733"/>
      <c r="SSW646" s="731"/>
      <c r="SSX646" s="732"/>
      <c r="SSY646" s="731"/>
      <c r="SSZ646" s="733"/>
      <c r="STA646" s="731"/>
      <c r="STB646" s="732"/>
      <c r="STC646" s="731"/>
      <c r="STD646" s="733"/>
      <c r="STE646" s="731"/>
      <c r="STF646" s="732"/>
      <c r="STG646" s="731"/>
      <c r="STH646" s="733"/>
      <c r="STI646" s="731"/>
      <c r="STJ646" s="732"/>
      <c r="STK646" s="731"/>
      <c r="STL646" s="733"/>
      <c r="STM646" s="731"/>
      <c r="STN646" s="732"/>
      <c r="STO646" s="731"/>
      <c r="STP646" s="733"/>
      <c r="STQ646" s="731"/>
      <c r="STR646" s="732"/>
      <c r="STS646" s="731"/>
      <c r="STT646" s="733"/>
      <c r="STU646" s="731"/>
      <c r="STV646" s="732"/>
      <c r="STW646" s="731"/>
      <c r="STX646" s="733"/>
      <c r="STY646" s="731"/>
      <c r="STZ646" s="732"/>
      <c r="SUA646" s="731"/>
      <c r="SUB646" s="733"/>
      <c r="SUC646" s="731"/>
      <c r="SUD646" s="732"/>
      <c r="SUE646" s="731"/>
      <c r="SUF646" s="733"/>
      <c r="SUG646" s="731"/>
      <c r="SUH646" s="732"/>
      <c r="SUI646" s="731"/>
      <c r="SUJ646" s="733"/>
      <c r="SUK646" s="731"/>
      <c r="SUL646" s="732"/>
      <c r="SUM646" s="731"/>
      <c r="SUN646" s="733"/>
      <c r="SUO646" s="731"/>
      <c r="SUP646" s="732"/>
      <c r="SUQ646" s="731"/>
      <c r="SUR646" s="733"/>
      <c r="SUS646" s="731"/>
      <c r="SUT646" s="732"/>
      <c r="SUU646" s="731"/>
      <c r="SUV646" s="733"/>
      <c r="SUW646" s="731"/>
      <c r="SUX646" s="732"/>
      <c r="SUY646" s="731"/>
      <c r="SUZ646" s="733"/>
      <c r="SVA646" s="731"/>
      <c r="SVB646" s="732"/>
      <c r="SVC646" s="731"/>
      <c r="SVD646" s="733"/>
      <c r="SVE646" s="731"/>
      <c r="SVF646" s="732"/>
      <c r="SVG646" s="731"/>
      <c r="SVH646" s="733"/>
      <c r="SVI646" s="731"/>
      <c r="SVJ646" s="732"/>
      <c r="SVK646" s="731"/>
      <c r="SVL646" s="733"/>
      <c r="SVM646" s="731"/>
      <c r="SVN646" s="732"/>
      <c r="SVO646" s="731"/>
      <c r="SVP646" s="733"/>
      <c r="SVQ646" s="731"/>
      <c r="SVR646" s="732"/>
      <c r="SVS646" s="731"/>
      <c r="SVT646" s="733"/>
      <c r="SVU646" s="731"/>
      <c r="SVV646" s="732"/>
      <c r="SVW646" s="731"/>
      <c r="SVX646" s="733"/>
      <c r="SVY646" s="731"/>
      <c r="SVZ646" s="732"/>
      <c r="SWA646" s="731"/>
      <c r="SWB646" s="733"/>
      <c r="SWC646" s="731"/>
      <c r="SWD646" s="732"/>
      <c r="SWE646" s="731"/>
      <c r="SWF646" s="733"/>
      <c r="SWG646" s="731"/>
      <c r="SWH646" s="732"/>
      <c r="SWI646" s="731"/>
      <c r="SWJ646" s="733"/>
      <c r="SWK646" s="731"/>
      <c r="SWL646" s="732"/>
      <c r="SWM646" s="731"/>
      <c r="SWN646" s="733"/>
      <c r="SWO646" s="731"/>
      <c r="SWP646" s="732"/>
      <c r="SWQ646" s="731"/>
      <c r="SWR646" s="733"/>
      <c r="SWS646" s="731"/>
      <c r="SWT646" s="732"/>
      <c r="SWU646" s="731"/>
      <c r="SWV646" s="733"/>
      <c r="SWW646" s="731"/>
      <c r="SWX646" s="732"/>
      <c r="SWY646" s="731"/>
      <c r="SWZ646" s="733"/>
      <c r="SXA646" s="731"/>
      <c r="SXB646" s="732"/>
      <c r="SXC646" s="731"/>
      <c r="SXD646" s="733"/>
      <c r="SXE646" s="731"/>
      <c r="SXF646" s="732"/>
      <c r="SXG646" s="731"/>
      <c r="SXH646" s="733"/>
      <c r="SXI646" s="731"/>
      <c r="SXJ646" s="732"/>
      <c r="SXK646" s="731"/>
      <c r="SXL646" s="733"/>
      <c r="SXM646" s="731"/>
      <c r="SXN646" s="732"/>
      <c r="SXO646" s="731"/>
      <c r="SXP646" s="733"/>
      <c r="SXQ646" s="731"/>
      <c r="SXR646" s="732"/>
      <c r="SXS646" s="731"/>
      <c r="SXT646" s="733"/>
      <c r="SXU646" s="731"/>
      <c r="SXV646" s="732"/>
      <c r="SXW646" s="731"/>
      <c r="SXX646" s="733"/>
      <c r="SXY646" s="731"/>
      <c r="SXZ646" s="732"/>
      <c r="SYA646" s="731"/>
      <c r="SYB646" s="733"/>
      <c r="SYC646" s="731"/>
      <c r="SYD646" s="732"/>
      <c r="SYE646" s="731"/>
      <c r="SYF646" s="733"/>
      <c r="SYG646" s="731"/>
      <c r="SYH646" s="732"/>
      <c r="SYI646" s="731"/>
      <c r="SYJ646" s="733"/>
      <c r="SYK646" s="731"/>
      <c r="SYL646" s="732"/>
      <c r="SYM646" s="731"/>
      <c r="SYN646" s="733"/>
      <c r="SYO646" s="731"/>
      <c r="SYP646" s="732"/>
      <c r="SYQ646" s="731"/>
      <c r="SYR646" s="733"/>
      <c r="SYS646" s="731"/>
      <c r="SYT646" s="732"/>
      <c r="SYU646" s="731"/>
      <c r="SYV646" s="733"/>
      <c r="SYW646" s="731"/>
      <c r="SYX646" s="732"/>
      <c r="SYY646" s="731"/>
      <c r="SYZ646" s="733"/>
      <c r="SZA646" s="731"/>
      <c r="SZB646" s="732"/>
      <c r="SZC646" s="731"/>
      <c r="SZD646" s="733"/>
      <c r="SZE646" s="731"/>
      <c r="SZF646" s="732"/>
      <c r="SZG646" s="731"/>
      <c r="SZH646" s="733"/>
      <c r="SZI646" s="731"/>
      <c r="SZJ646" s="732"/>
      <c r="SZK646" s="731"/>
      <c r="SZL646" s="733"/>
      <c r="SZM646" s="731"/>
      <c r="SZN646" s="732"/>
      <c r="SZO646" s="731"/>
      <c r="SZP646" s="733"/>
      <c r="SZQ646" s="731"/>
      <c r="SZR646" s="732"/>
      <c r="SZS646" s="731"/>
      <c r="SZT646" s="733"/>
      <c r="SZU646" s="731"/>
      <c r="SZV646" s="732"/>
      <c r="SZW646" s="731"/>
      <c r="SZX646" s="733"/>
      <c r="SZY646" s="731"/>
      <c r="SZZ646" s="732"/>
      <c r="TAA646" s="731"/>
      <c r="TAB646" s="733"/>
      <c r="TAC646" s="731"/>
      <c r="TAD646" s="732"/>
      <c r="TAE646" s="731"/>
      <c r="TAF646" s="733"/>
      <c r="TAG646" s="731"/>
      <c r="TAH646" s="732"/>
      <c r="TAI646" s="731"/>
      <c r="TAJ646" s="733"/>
      <c r="TAK646" s="731"/>
      <c r="TAL646" s="732"/>
      <c r="TAM646" s="731"/>
      <c r="TAN646" s="733"/>
      <c r="TAO646" s="731"/>
      <c r="TAP646" s="732"/>
      <c r="TAQ646" s="731"/>
      <c r="TAR646" s="733"/>
      <c r="TAS646" s="731"/>
      <c r="TAT646" s="732"/>
      <c r="TAU646" s="731"/>
      <c r="TAV646" s="733"/>
      <c r="TAW646" s="731"/>
      <c r="TAX646" s="732"/>
      <c r="TAY646" s="731"/>
      <c r="TAZ646" s="733"/>
      <c r="TBA646" s="731"/>
      <c r="TBB646" s="732"/>
      <c r="TBC646" s="731"/>
      <c r="TBD646" s="733"/>
      <c r="TBE646" s="731"/>
      <c r="TBF646" s="732"/>
      <c r="TBG646" s="731"/>
      <c r="TBH646" s="733"/>
      <c r="TBI646" s="731"/>
      <c r="TBJ646" s="732"/>
      <c r="TBK646" s="731"/>
      <c r="TBL646" s="733"/>
      <c r="TBM646" s="731"/>
      <c r="TBN646" s="732"/>
      <c r="TBO646" s="731"/>
      <c r="TBP646" s="733"/>
      <c r="TBQ646" s="731"/>
      <c r="TBR646" s="732"/>
      <c r="TBS646" s="731"/>
      <c r="TBT646" s="733"/>
      <c r="TBU646" s="731"/>
      <c r="TBV646" s="732"/>
      <c r="TBW646" s="731"/>
      <c r="TBX646" s="733"/>
      <c r="TBY646" s="731"/>
      <c r="TBZ646" s="732"/>
      <c r="TCA646" s="731"/>
      <c r="TCB646" s="733"/>
      <c r="TCC646" s="731"/>
      <c r="TCD646" s="732"/>
      <c r="TCE646" s="731"/>
      <c r="TCF646" s="733"/>
      <c r="TCG646" s="731"/>
      <c r="TCH646" s="732"/>
      <c r="TCI646" s="731"/>
      <c r="TCJ646" s="733"/>
      <c r="TCK646" s="731"/>
      <c r="TCL646" s="732"/>
      <c r="TCM646" s="731"/>
      <c r="TCN646" s="733"/>
      <c r="TCO646" s="731"/>
      <c r="TCP646" s="732"/>
      <c r="TCQ646" s="731"/>
      <c r="TCR646" s="733"/>
      <c r="TCS646" s="731"/>
      <c r="TCT646" s="732"/>
      <c r="TCU646" s="731"/>
      <c r="TCV646" s="733"/>
      <c r="TCW646" s="731"/>
      <c r="TCX646" s="732"/>
      <c r="TCY646" s="731"/>
      <c r="TCZ646" s="733"/>
      <c r="TDA646" s="731"/>
      <c r="TDB646" s="732"/>
      <c r="TDC646" s="731"/>
      <c r="TDD646" s="733"/>
      <c r="TDE646" s="731"/>
      <c r="TDF646" s="732"/>
      <c r="TDG646" s="731"/>
      <c r="TDH646" s="733"/>
      <c r="TDI646" s="731"/>
      <c r="TDJ646" s="732"/>
      <c r="TDK646" s="731"/>
      <c r="TDL646" s="733"/>
      <c r="TDM646" s="731"/>
      <c r="TDN646" s="732"/>
      <c r="TDO646" s="731"/>
      <c r="TDP646" s="733"/>
      <c r="TDQ646" s="731"/>
      <c r="TDR646" s="732"/>
      <c r="TDS646" s="731"/>
      <c r="TDT646" s="733"/>
      <c r="TDU646" s="731"/>
      <c r="TDV646" s="732"/>
      <c r="TDW646" s="731"/>
      <c r="TDX646" s="733"/>
      <c r="TDY646" s="731"/>
      <c r="TDZ646" s="732"/>
      <c r="TEA646" s="731"/>
      <c r="TEB646" s="733"/>
      <c r="TEC646" s="731"/>
      <c r="TED646" s="732"/>
      <c r="TEE646" s="731"/>
      <c r="TEF646" s="733"/>
      <c r="TEG646" s="731"/>
      <c r="TEH646" s="732"/>
      <c r="TEI646" s="731"/>
      <c r="TEJ646" s="733"/>
      <c r="TEK646" s="731"/>
      <c r="TEL646" s="732"/>
      <c r="TEM646" s="731"/>
      <c r="TEN646" s="733"/>
      <c r="TEO646" s="731"/>
      <c r="TEP646" s="732"/>
      <c r="TEQ646" s="731"/>
      <c r="TER646" s="733"/>
      <c r="TES646" s="731"/>
      <c r="TET646" s="732"/>
      <c r="TEU646" s="731"/>
      <c r="TEV646" s="733"/>
      <c r="TEW646" s="731"/>
      <c r="TEX646" s="732"/>
      <c r="TEY646" s="731"/>
      <c r="TEZ646" s="733"/>
      <c r="TFA646" s="731"/>
      <c r="TFB646" s="732"/>
      <c r="TFC646" s="731"/>
      <c r="TFD646" s="733"/>
      <c r="TFE646" s="731"/>
      <c r="TFF646" s="732"/>
      <c r="TFG646" s="731"/>
      <c r="TFH646" s="733"/>
      <c r="TFI646" s="731"/>
      <c r="TFJ646" s="732"/>
      <c r="TFK646" s="731"/>
      <c r="TFL646" s="733"/>
      <c r="TFM646" s="731"/>
      <c r="TFN646" s="732"/>
      <c r="TFO646" s="731"/>
      <c r="TFP646" s="733"/>
      <c r="TFQ646" s="731"/>
      <c r="TFR646" s="732"/>
      <c r="TFS646" s="731"/>
      <c r="TFT646" s="733"/>
      <c r="TFU646" s="731"/>
      <c r="TFV646" s="732"/>
      <c r="TFW646" s="731"/>
      <c r="TFX646" s="733"/>
      <c r="TFY646" s="731"/>
      <c r="TFZ646" s="732"/>
      <c r="TGA646" s="731"/>
      <c r="TGB646" s="733"/>
      <c r="TGC646" s="731"/>
      <c r="TGD646" s="732"/>
      <c r="TGE646" s="731"/>
      <c r="TGF646" s="733"/>
      <c r="TGG646" s="731"/>
      <c r="TGH646" s="732"/>
      <c r="TGI646" s="731"/>
      <c r="TGJ646" s="733"/>
      <c r="TGK646" s="731"/>
      <c r="TGL646" s="732"/>
      <c r="TGM646" s="731"/>
      <c r="TGN646" s="733"/>
      <c r="TGO646" s="731"/>
      <c r="TGP646" s="732"/>
      <c r="TGQ646" s="731"/>
      <c r="TGR646" s="733"/>
      <c r="TGS646" s="731"/>
      <c r="TGT646" s="732"/>
      <c r="TGU646" s="731"/>
      <c r="TGV646" s="733"/>
      <c r="TGW646" s="731"/>
      <c r="TGX646" s="732"/>
      <c r="TGY646" s="731"/>
      <c r="TGZ646" s="733"/>
      <c r="THA646" s="731"/>
      <c r="THB646" s="732"/>
      <c r="THC646" s="731"/>
      <c r="THD646" s="733"/>
      <c r="THE646" s="731"/>
      <c r="THF646" s="732"/>
      <c r="THG646" s="731"/>
      <c r="THH646" s="733"/>
      <c r="THI646" s="731"/>
      <c r="THJ646" s="732"/>
      <c r="THK646" s="731"/>
      <c r="THL646" s="733"/>
      <c r="THM646" s="731"/>
      <c r="THN646" s="732"/>
      <c r="THO646" s="731"/>
      <c r="THP646" s="733"/>
      <c r="THQ646" s="731"/>
      <c r="THR646" s="732"/>
      <c r="THS646" s="731"/>
      <c r="THT646" s="733"/>
      <c r="THU646" s="731"/>
      <c r="THV646" s="732"/>
      <c r="THW646" s="731"/>
      <c r="THX646" s="733"/>
      <c r="THY646" s="731"/>
      <c r="THZ646" s="732"/>
      <c r="TIA646" s="731"/>
      <c r="TIB646" s="733"/>
      <c r="TIC646" s="731"/>
      <c r="TID646" s="732"/>
      <c r="TIE646" s="731"/>
      <c r="TIF646" s="733"/>
      <c r="TIG646" s="731"/>
      <c r="TIH646" s="732"/>
      <c r="TII646" s="731"/>
      <c r="TIJ646" s="733"/>
      <c r="TIK646" s="731"/>
      <c r="TIL646" s="732"/>
      <c r="TIM646" s="731"/>
      <c r="TIN646" s="733"/>
      <c r="TIO646" s="731"/>
      <c r="TIP646" s="732"/>
      <c r="TIQ646" s="731"/>
      <c r="TIR646" s="733"/>
      <c r="TIS646" s="731"/>
      <c r="TIT646" s="732"/>
      <c r="TIU646" s="731"/>
      <c r="TIV646" s="733"/>
      <c r="TIW646" s="731"/>
      <c r="TIX646" s="732"/>
      <c r="TIY646" s="731"/>
      <c r="TIZ646" s="733"/>
      <c r="TJA646" s="731"/>
      <c r="TJB646" s="732"/>
      <c r="TJC646" s="731"/>
      <c r="TJD646" s="733"/>
      <c r="TJE646" s="731"/>
      <c r="TJF646" s="732"/>
      <c r="TJG646" s="731"/>
      <c r="TJH646" s="733"/>
      <c r="TJI646" s="731"/>
      <c r="TJJ646" s="732"/>
      <c r="TJK646" s="731"/>
      <c r="TJL646" s="733"/>
      <c r="TJM646" s="731"/>
      <c r="TJN646" s="732"/>
      <c r="TJO646" s="731"/>
      <c r="TJP646" s="733"/>
      <c r="TJQ646" s="731"/>
      <c r="TJR646" s="732"/>
      <c r="TJS646" s="731"/>
      <c r="TJT646" s="733"/>
      <c r="TJU646" s="731"/>
      <c r="TJV646" s="732"/>
      <c r="TJW646" s="731"/>
      <c r="TJX646" s="733"/>
      <c r="TJY646" s="731"/>
      <c r="TJZ646" s="732"/>
      <c r="TKA646" s="731"/>
      <c r="TKB646" s="733"/>
      <c r="TKC646" s="731"/>
      <c r="TKD646" s="732"/>
      <c r="TKE646" s="731"/>
      <c r="TKF646" s="733"/>
      <c r="TKG646" s="731"/>
      <c r="TKH646" s="732"/>
      <c r="TKI646" s="731"/>
      <c r="TKJ646" s="733"/>
      <c r="TKK646" s="731"/>
      <c r="TKL646" s="732"/>
      <c r="TKM646" s="731"/>
      <c r="TKN646" s="733"/>
      <c r="TKO646" s="731"/>
      <c r="TKP646" s="732"/>
      <c r="TKQ646" s="731"/>
      <c r="TKR646" s="733"/>
      <c r="TKS646" s="731"/>
      <c r="TKT646" s="732"/>
      <c r="TKU646" s="731"/>
      <c r="TKV646" s="733"/>
      <c r="TKW646" s="731"/>
      <c r="TKX646" s="732"/>
      <c r="TKY646" s="731"/>
      <c r="TKZ646" s="733"/>
      <c r="TLA646" s="731"/>
      <c r="TLB646" s="732"/>
      <c r="TLC646" s="731"/>
      <c r="TLD646" s="733"/>
      <c r="TLE646" s="731"/>
      <c r="TLF646" s="732"/>
      <c r="TLG646" s="731"/>
      <c r="TLH646" s="733"/>
      <c r="TLI646" s="731"/>
      <c r="TLJ646" s="732"/>
      <c r="TLK646" s="731"/>
      <c r="TLL646" s="733"/>
      <c r="TLM646" s="731"/>
      <c r="TLN646" s="732"/>
      <c r="TLO646" s="731"/>
      <c r="TLP646" s="733"/>
      <c r="TLQ646" s="731"/>
      <c r="TLR646" s="732"/>
      <c r="TLS646" s="731"/>
      <c r="TLT646" s="733"/>
      <c r="TLU646" s="731"/>
      <c r="TLV646" s="732"/>
      <c r="TLW646" s="731"/>
      <c r="TLX646" s="733"/>
      <c r="TLY646" s="731"/>
      <c r="TLZ646" s="732"/>
      <c r="TMA646" s="731"/>
      <c r="TMB646" s="733"/>
      <c r="TMC646" s="731"/>
      <c r="TMD646" s="732"/>
      <c r="TME646" s="731"/>
      <c r="TMF646" s="733"/>
      <c r="TMG646" s="731"/>
      <c r="TMH646" s="732"/>
      <c r="TMI646" s="731"/>
      <c r="TMJ646" s="733"/>
      <c r="TMK646" s="731"/>
      <c r="TML646" s="732"/>
      <c r="TMM646" s="731"/>
      <c r="TMN646" s="733"/>
      <c r="TMO646" s="731"/>
      <c r="TMP646" s="732"/>
      <c r="TMQ646" s="731"/>
      <c r="TMR646" s="733"/>
      <c r="TMS646" s="731"/>
      <c r="TMT646" s="732"/>
      <c r="TMU646" s="731"/>
      <c r="TMV646" s="733"/>
      <c r="TMW646" s="731"/>
      <c r="TMX646" s="732"/>
      <c r="TMY646" s="731"/>
      <c r="TMZ646" s="733"/>
      <c r="TNA646" s="731"/>
      <c r="TNB646" s="732"/>
      <c r="TNC646" s="731"/>
      <c r="TND646" s="733"/>
      <c r="TNE646" s="731"/>
      <c r="TNF646" s="732"/>
      <c r="TNG646" s="731"/>
      <c r="TNH646" s="733"/>
      <c r="TNI646" s="731"/>
      <c r="TNJ646" s="732"/>
      <c r="TNK646" s="731"/>
      <c r="TNL646" s="733"/>
      <c r="TNM646" s="731"/>
      <c r="TNN646" s="732"/>
      <c r="TNO646" s="731"/>
      <c r="TNP646" s="733"/>
      <c r="TNQ646" s="731"/>
      <c r="TNR646" s="732"/>
      <c r="TNS646" s="731"/>
      <c r="TNT646" s="733"/>
      <c r="TNU646" s="731"/>
      <c r="TNV646" s="732"/>
      <c r="TNW646" s="731"/>
      <c r="TNX646" s="733"/>
      <c r="TNY646" s="731"/>
      <c r="TNZ646" s="732"/>
      <c r="TOA646" s="731"/>
      <c r="TOB646" s="733"/>
      <c r="TOC646" s="731"/>
      <c r="TOD646" s="732"/>
      <c r="TOE646" s="731"/>
      <c r="TOF646" s="733"/>
      <c r="TOG646" s="731"/>
      <c r="TOH646" s="732"/>
      <c r="TOI646" s="731"/>
      <c r="TOJ646" s="733"/>
      <c r="TOK646" s="731"/>
      <c r="TOL646" s="732"/>
      <c r="TOM646" s="731"/>
      <c r="TON646" s="733"/>
      <c r="TOO646" s="731"/>
      <c r="TOP646" s="732"/>
      <c r="TOQ646" s="731"/>
      <c r="TOR646" s="733"/>
      <c r="TOS646" s="731"/>
      <c r="TOT646" s="732"/>
      <c r="TOU646" s="731"/>
      <c r="TOV646" s="733"/>
      <c r="TOW646" s="731"/>
      <c r="TOX646" s="732"/>
      <c r="TOY646" s="731"/>
      <c r="TOZ646" s="733"/>
      <c r="TPA646" s="731"/>
      <c r="TPB646" s="732"/>
      <c r="TPC646" s="731"/>
      <c r="TPD646" s="733"/>
      <c r="TPE646" s="731"/>
      <c r="TPF646" s="732"/>
      <c r="TPG646" s="731"/>
      <c r="TPH646" s="733"/>
      <c r="TPI646" s="731"/>
      <c r="TPJ646" s="732"/>
      <c r="TPK646" s="731"/>
      <c r="TPL646" s="733"/>
      <c r="TPM646" s="731"/>
      <c r="TPN646" s="732"/>
      <c r="TPO646" s="731"/>
      <c r="TPP646" s="733"/>
      <c r="TPQ646" s="731"/>
      <c r="TPR646" s="732"/>
      <c r="TPS646" s="731"/>
      <c r="TPT646" s="733"/>
      <c r="TPU646" s="731"/>
      <c r="TPV646" s="732"/>
      <c r="TPW646" s="731"/>
      <c r="TPX646" s="733"/>
      <c r="TPY646" s="731"/>
      <c r="TPZ646" s="732"/>
      <c r="TQA646" s="731"/>
      <c r="TQB646" s="733"/>
      <c r="TQC646" s="731"/>
      <c r="TQD646" s="732"/>
      <c r="TQE646" s="731"/>
      <c r="TQF646" s="733"/>
      <c r="TQG646" s="731"/>
      <c r="TQH646" s="732"/>
      <c r="TQI646" s="731"/>
      <c r="TQJ646" s="733"/>
      <c r="TQK646" s="731"/>
      <c r="TQL646" s="732"/>
      <c r="TQM646" s="731"/>
      <c r="TQN646" s="733"/>
      <c r="TQO646" s="731"/>
      <c r="TQP646" s="732"/>
      <c r="TQQ646" s="731"/>
      <c r="TQR646" s="733"/>
      <c r="TQS646" s="731"/>
      <c r="TQT646" s="732"/>
      <c r="TQU646" s="731"/>
      <c r="TQV646" s="733"/>
      <c r="TQW646" s="731"/>
      <c r="TQX646" s="732"/>
      <c r="TQY646" s="731"/>
      <c r="TQZ646" s="733"/>
      <c r="TRA646" s="731"/>
      <c r="TRB646" s="732"/>
      <c r="TRC646" s="731"/>
      <c r="TRD646" s="733"/>
      <c r="TRE646" s="731"/>
      <c r="TRF646" s="732"/>
      <c r="TRG646" s="731"/>
      <c r="TRH646" s="733"/>
      <c r="TRI646" s="731"/>
      <c r="TRJ646" s="732"/>
      <c r="TRK646" s="731"/>
      <c r="TRL646" s="733"/>
      <c r="TRM646" s="731"/>
      <c r="TRN646" s="732"/>
      <c r="TRO646" s="731"/>
      <c r="TRP646" s="733"/>
      <c r="TRQ646" s="731"/>
      <c r="TRR646" s="732"/>
      <c r="TRS646" s="731"/>
      <c r="TRT646" s="733"/>
      <c r="TRU646" s="731"/>
      <c r="TRV646" s="732"/>
      <c r="TRW646" s="731"/>
      <c r="TRX646" s="733"/>
      <c r="TRY646" s="731"/>
      <c r="TRZ646" s="732"/>
      <c r="TSA646" s="731"/>
      <c r="TSB646" s="733"/>
      <c r="TSC646" s="731"/>
      <c r="TSD646" s="732"/>
      <c r="TSE646" s="731"/>
      <c r="TSF646" s="733"/>
      <c r="TSG646" s="731"/>
      <c r="TSH646" s="732"/>
      <c r="TSI646" s="731"/>
      <c r="TSJ646" s="733"/>
      <c r="TSK646" s="731"/>
      <c r="TSL646" s="732"/>
      <c r="TSM646" s="731"/>
      <c r="TSN646" s="733"/>
      <c r="TSO646" s="731"/>
      <c r="TSP646" s="732"/>
      <c r="TSQ646" s="731"/>
      <c r="TSR646" s="733"/>
      <c r="TSS646" s="731"/>
      <c r="TST646" s="732"/>
      <c r="TSU646" s="731"/>
      <c r="TSV646" s="733"/>
      <c r="TSW646" s="731"/>
      <c r="TSX646" s="732"/>
      <c r="TSY646" s="731"/>
      <c r="TSZ646" s="733"/>
      <c r="TTA646" s="731"/>
      <c r="TTB646" s="732"/>
      <c r="TTC646" s="731"/>
      <c r="TTD646" s="733"/>
      <c r="TTE646" s="731"/>
      <c r="TTF646" s="732"/>
      <c r="TTG646" s="731"/>
      <c r="TTH646" s="733"/>
      <c r="TTI646" s="731"/>
      <c r="TTJ646" s="732"/>
      <c r="TTK646" s="731"/>
      <c r="TTL646" s="733"/>
      <c r="TTM646" s="731"/>
      <c r="TTN646" s="732"/>
      <c r="TTO646" s="731"/>
      <c r="TTP646" s="733"/>
      <c r="TTQ646" s="731"/>
      <c r="TTR646" s="732"/>
      <c r="TTS646" s="731"/>
      <c r="TTT646" s="733"/>
      <c r="TTU646" s="731"/>
      <c r="TTV646" s="732"/>
      <c r="TTW646" s="731"/>
      <c r="TTX646" s="733"/>
      <c r="TTY646" s="731"/>
      <c r="TTZ646" s="732"/>
      <c r="TUA646" s="731"/>
      <c r="TUB646" s="733"/>
      <c r="TUC646" s="731"/>
      <c r="TUD646" s="732"/>
      <c r="TUE646" s="731"/>
      <c r="TUF646" s="733"/>
      <c r="TUG646" s="731"/>
      <c r="TUH646" s="732"/>
      <c r="TUI646" s="731"/>
      <c r="TUJ646" s="733"/>
      <c r="TUK646" s="731"/>
      <c r="TUL646" s="732"/>
      <c r="TUM646" s="731"/>
      <c r="TUN646" s="733"/>
      <c r="TUO646" s="731"/>
      <c r="TUP646" s="732"/>
      <c r="TUQ646" s="731"/>
      <c r="TUR646" s="733"/>
      <c r="TUS646" s="731"/>
      <c r="TUT646" s="732"/>
      <c r="TUU646" s="731"/>
      <c r="TUV646" s="733"/>
      <c r="TUW646" s="731"/>
      <c r="TUX646" s="732"/>
      <c r="TUY646" s="731"/>
      <c r="TUZ646" s="733"/>
      <c r="TVA646" s="731"/>
      <c r="TVB646" s="732"/>
      <c r="TVC646" s="731"/>
      <c r="TVD646" s="733"/>
      <c r="TVE646" s="731"/>
      <c r="TVF646" s="732"/>
      <c r="TVG646" s="731"/>
      <c r="TVH646" s="733"/>
      <c r="TVI646" s="731"/>
      <c r="TVJ646" s="732"/>
      <c r="TVK646" s="731"/>
      <c r="TVL646" s="733"/>
      <c r="TVM646" s="731"/>
      <c r="TVN646" s="732"/>
      <c r="TVO646" s="731"/>
      <c r="TVP646" s="733"/>
      <c r="TVQ646" s="731"/>
      <c r="TVR646" s="732"/>
      <c r="TVS646" s="731"/>
      <c r="TVT646" s="733"/>
      <c r="TVU646" s="731"/>
      <c r="TVV646" s="732"/>
      <c r="TVW646" s="731"/>
      <c r="TVX646" s="733"/>
      <c r="TVY646" s="731"/>
      <c r="TVZ646" s="732"/>
      <c r="TWA646" s="731"/>
      <c r="TWB646" s="733"/>
      <c r="TWC646" s="731"/>
      <c r="TWD646" s="732"/>
      <c r="TWE646" s="731"/>
      <c r="TWF646" s="733"/>
      <c r="TWG646" s="731"/>
      <c r="TWH646" s="732"/>
      <c r="TWI646" s="731"/>
      <c r="TWJ646" s="733"/>
      <c r="TWK646" s="731"/>
      <c r="TWL646" s="732"/>
      <c r="TWM646" s="731"/>
      <c r="TWN646" s="733"/>
      <c r="TWO646" s="731"/>
      <c r="TWP646" s="732"/>
      <c r="TWQ646" s="731"/>
      <c r="TWR646" s="733"/>
      <c r="TWS646" s="731"/>
      <c r="TWT646" s="732"/>
      <c r="TWU646" s="731"/>
      <c r="TWV646" s="733"/>
      <c r="TWW646" s="731"/>
      <c r="TWX646" s="732"/>
      <c r="TWY646" s="731"/>
      <c r="TWZ646" s="733"/>
      <c r="TXA646" s="731"/>
      <c r="TXB646" s="732"/>
      <c r="TXC646" s="731"/>
      <c r="TXD646" s="733"/>
      <c r="TXE646" s="731"/>
      <c r="TXF646" s="732"/>
      <c r="TXG646" s="731"/>
      <c r="TXH646" s="733"/>
      <c r="TXI646" s="731"/>
      <c r="TXJ646" s="732"/>
      <c r="TXK646" s="731"/>
      <c r="TXL646" s="733"/>
      <c r="TXM646" s="731"/>
      <c r="TXN646" s="732"/>
      <c r="TXO646" s="731"/>
      <c r="TXP646" s="733"/>
      <c r="TXQ646" s="731"/>
      <c r="TXR646" s="732"/>
      <c r="TXS646" s="731"/>
      <c r="TXT646" s="733"/>
      <c r="TXU646" s="731"/>
      <c r="TXV646" s="732"/>
      <c r="TXW646" s="731"/>
      <c r="TXX646" s="733"/>
      <c r="TXY646" s="731"/>
      <c r="TXZ646" s="732"/>
      <c r="TYA646" s="731"/>
      <c r="TYB646" s="733"/>
      <c r="TYC646" s="731"/>
      <c r="TYD646" s="732"/>
      <c r="TYE646" s="731"/>
      <c r="TYF646" s="733"/>
      <c r="TYG646" s="731"/>
      <c r="TYH646" s="732"/>
      <c r="TYI646" s="731"/>
      <c r="TYJ646" s="733"/>
      <c r="TYK646" s="731"/>
      <c r="TYL646" s="732"/>
      <c r="TYM646" s="731"/>
      <c r="TYN646" s="733"/>
      <c r="TYO646" s="731"/>
      <c r="TYP646" s="732"/>
      <c r="TYQ646" s="731"/>
      <c r="TYR646" s="733"/>
      <c r="TYS646" s="731"/>
      <c r="TYT646" s="732"/>
      <c r="TYU646" s="731"/>
      <c r="TYV646" s="733"/>
      <c r="TYW646" s="731"/>
      <c r="TYX646" s="732"/>
      <c r="TYY646" s="731"/>
      <c r="TYZ646" s="733"/>
      <c r="TZA646" s="731"/>
      <c r="TZB646" s="732"/>
      <c r="TZC646" s="731"/>
      <c r="TZD646" s="733"/>
      <c r="TZE646" s="731"/>
      <c r="TZF646" s="732"/>
      <c r="TZG646" s="731"/>
      <c r="TZH646" s="733"/>
      <c r="TZI646" s="731"/>
      <c r="TZJ646" s="732"/>
      <c r="TZK646" s="731"/>
      <c r="TZL646" s="733"/>
      <c r="TZM646" s="731"/>
      <c r="TZN646" s="732"/>
      <c r="TZO646" s="731"/>
      <c r="TZP646" s="733"/>
      <c r="TZQ646" s="731"/>
      <c r="TZR646" s="732"/>
      <c r="TZS646" s="731"/>
      <c r="TZT646" s="733"/>
      <c r="TZU646" s="731"/>
      <c r="TZV646" s="732"/>
      <c r="TZW646" s="731"/>
      <c r="TZX646" s="733"/>
      <c r="TZY646" s="731"/>
      <c r="TZZ646" s="732"/>
      <c r="UAA646" s="731"/>
      <c r="UAB646" s="733"/>
      <c r="UAC646" s="731"/>
      <c r="UAD646" s="732"/>
      <c r="UAE646" s="731"/>
      <c r="UAF646" s="733"/>
      <c r="UAG646" s="731"/>
      <c r="UAH646" s="732"/>
      <c r="UAI646" s="731"/>
      <c r="UAJ646" s="733"/>
      <c r="UAK646" s="731"/>
      <c r="UAL646" s="732"/>
      <c r="UAM646" s="731"/>
      <c r="UAN646" s="733"/>
      <c r="UAO646" s="731"/>
      <c r="UAP646" s="732"/>
      <c r="UAQ646" s="731"/>
      <c r="UAR646" s="733"/>
      <c r="UAS646" s="731"/>
      <c r="UAT646" s="732"/>
      <c r="UAU646" s="731"/>
      <c r="UAV646" s="733"/>
      <c r="UAW646" s="731"/>
      <c r="UAX646" s="732"/>
      <c r="UAY646" s="731"/>
      <c r="UAZ646" s="733"/>
      <c r="UBA646" s="731"/>
      <c r="UBB646" s="732"/>
      <c r="UBC646" s="731"/>
      <c r="UBD646" s="733"/>
      <c r="UBE646" s="731"/>
      <c r="UBF646" s="732"/>
      <c r="UBG646" s="731"/>
      <c r="UBH646" s="733"/>
      <c r="UBI646" s="731"/>
      <c r="UBJ646" s="732"/>
      <c r="UBK646" s="731"/>
      <c r="UBL646" s="733"/>
      <c r="UBM646" s="731"/>
      <c r="UBN646" s="732"/>
      <c r="UBO646" s="731"/>
      <c r="UBP646" s="733"/>
      <c r="UBQ646" s="731"/>
      <c r="UBR646" s="732"/>
      <c r="UBS646" s="731"/>
      <c r="UBT646" s="733"/>
      <c r="UBU646" s="731"/>
      <c r="UBV646" s="732"/>
      <c r="UBW646" s="731"/>
      <c r="UBX646" s="733"/>
      <c r="UBY646" s="731"/>
      <c r="UBZ646" s="732"/>
      <c r="UCA646" s="731"/>
      <c r="UCB646" s="733"/>
      <c r="UCC646" s="731"/>
      <c r="UCD646" s="732"/>
      <c r="UCE646" s="731"/>
      <c r="UCF646" s="733"/>
      <c r="UCG646" s="731"/>
      <c r="UCH646" s="732"/>
      <c r="UCI646" s="731"/>
      <c r="UCJ646" s="733"/>
      <c r="UCK646" s="731"/>
      <c r="UCL646" s="732"/>
      <c r="UCM646" s="731"/>
      <c r="UCN646" s="733"/>
      <c r="UCO646" s="731"/>
      <c r="UCP646" s="732"/>
      <c r="UCQ646" s="731"/>
      <c r="UCR646" s="733"/>
      <c r="UCS646" s="731"/>
      <c r="UCT646" s="732"/>
      <c r="UCU646" s="731"/>
      <c r="UCV646" s="733"/>
      <c r="UCW646" s="731"/>
      <c r="UCX646" s="732"/>
      <c r="UCY646" s="731"/>
      <c r="UCZ646" s="733"/>
      <c r="UDA646" s="731"/>
      <c r="UDB646" s="732"/>
      <c r="UDC646" s="731"/>
      <c r="UDD646" s="733"/>
      <c r="UDE646" s="731"/>
      <c r="UDF646" s="732"/>
      <c r="UDG646" s="731"/>
      <c r="UDH646" s="733"/>
      <c r="UDI646" s="731"/>
      <c r="UDJ646" s="732"/>
      <c r="UDK646" s="731"/>
      <c r="UDL646" s="733"/>
      <c r="UDM646" s="731"/>
      <c r="UDN646" s="732"/>
      <c r="UDO646" s="731"/>
      <c r="UDP646" s="733"/>
      <c r="UDQ646" s="731"/>
      <c r="UDR646" s="732"/>
      <c r="UDS646" s="731"/>
      <c r="UDT646" s="733"/>
      <c r="UDU646" s="731"/>
      <c r="UDV646" s="732"/>
      <c r="UDW646" s="731"/>
      <c r="UDX646" s="733"/>
      <c r="UDY646" s="731"/>
      <c r="UDZ646" s="732"/>
      <c r="UEA646" s="731"/>
      <c r="UEB646" s="733"/>
      <c r="UEC646" s="731"/>
      <c r="UED646" s="732"/>
      <c r="UEE646" s="731"/>
      <c r="UEF646" s="733"/>
      <c r="UEG646" s="731"/>
      <c r="UEH646" s="732"/>
      <c r="UEI646" s="731"/>
      <c r="UEJ646" s="733"/>
      <c r="UEK646" s="731"/>
      <c r="UEL646" s="732"/>
      <c r="UEM646" s="731"/>
      <c r="UEN646" s="733"/>
      <c r="UEO646" s="731"/>
      <c r="UEP646" s="732"/>
      <c r="UEQ646" s="731"/>
      <c r="UER646" s="733"/>
      <c r="UES646" s="731"/>
      <c r="UET646" s="732"/>
      <c r="UEU646" s="731"/>
      <c r="UEV646" s="733"/>
      <c r="UEW646" s="731"/>
      <c r="UEX646" s="732"/>
      <c r="UEY646" s="731"/>
      <c r="UEZ646" s="733"/>
      <c r="UFA646" s="731"/>
      <c r="UFB646" s="732"/>
      <c r="UFC646" s="731"/>
      <c r="UFD646" s="733"/>
      <c r="UFE646" s="731"/>
      <c r="UFF646" s="732"/>
      <c r="UFG646" s="731"/>
      <c r="UFH646" s="733"/>
      <c r="UFI646" s="731"/>
      <c r="UFJ646" s="732"/>
      <c r="UFK646" s="731"/>
      <c r="UFL646" s="733"/>
      <c r="UFM646" s="731"/>
      <c r="UFN646" s="732"/>
      <c r="UFO646" s="731"/>
      <c r="UFP646" s="733"/>
      <c r="UFQ646" s="731"/>
      <c r="UFR646" s="732"/>
      <c r="UFS646" s="731"/>
      <c r="UFT646" s="733"/>
      <c r="UFU646" s="731"/>
      <c r="UFV646" s="732"/>
      <c r="UFW646" s="731"/>
      <c r="UFX646" s="733"/>
      <c r="UFY646" s="731"/>
      <c r="UFZ646" s="732"/>
      <c r="UGA646" s="731"/>
      <c r="UGB646" s="733"/>
      <c r="UGC646" s="731"/>
      <c r="UGD646" s="732"/>
      <c r="UGE646" s="731"/>
      <c r="UGF646" s="733"/>
      <c r="UGG646" s="731"/>
      <c r="UGH646" s="732"/>
      <c r="UGI646" s="731"/>
      <c r="UGJ646" s="733"/>
      <c r="UGK646" s="731"/>
      <c r="UGL646" s="732"/>
      <c r="UGM646" s="731"/>
      <c r="UGN646" s="733"/>
      <c r="UGO646" s="731"/>
      <c r="UGP646" s="732"/>
      <c r="UGQ646" s="731"/>
      <c r="UGR646" s="733"/>
      <c r="UGS646" s="731"/>
      <c r="UGT646" s="732"/>
      <c r="UGU646" s="731"/>
      <c r="UGV646" s="733"/>
      <c r="UGW646" s="731"/>
      <c r="UGX646" s="732"/>
      <c r="UGY646" s="731"/>
      <c r="UGZ646" s="733"/>
      <c r="UHA646" s="731"/>
      <c r="UHB646" s="732"/>
      <c r="UHC646" s="731"/>
      <c r="UHD646" s="733"/>
      <c r="UHE646" s="731"/>
      <c r="UHF646" s="732"/>
      <c r="UHG646" s="731"/>
      <c r="UHH646" s="733"/>
      <c r="UHI646" s="731"/>
      <c r="UHJ646" s="732"/>
      <c r="UHK646" s="731"/>
      <c r="UHL646" s="733"/>
      <c r="UHM646" s="731"/>
      <c r="UHN646" s="732"/>
      <c r="UHO646" s="731"/>
      <c r="UHP646" s="733"/>
      <c r="UHQ646" s="731"/>
      <c r="UHR646" s="732"/>
      <c r="UHS646" s="731"/>
      <c r="UHT646" s="733"/>
      <c r="UHU646" s="731"/>
      <c r="UHV646" s="732"/>
      <c r="UHW646" s="731"/>
      <c r="UHX646" s="733"/>
      <c r="UHY646" s="731"/>
      <c r="UHZ646" s="732"/>
      <c r="UIA646" s="731"/>
      <c r="UIB646" s="733"/>
      <c r="UIC646" s="731"/>
      <c r="UID646" s="732"/>
      <c r="UIE646" s="731"/>
      <c r="UIF646" s="733"/>
      <c r="UIG646" s="731"/>
      <c r="UIH646" s="732"/>
      <c r="UII646" s="731"/>
      <c r="UIJ646" s="733"/>
      <c r="UIK646" s="731"/>
      <c r="UIL646" s="732"/>
      <c r="UIM646" s="731"/>
      <c r="UIN646" s="733"/>
      <c r="UIO646" s="731"/>
      <c r="UIP646" s="732"/>
      <c r="UIQ646" s="731"/>
      <c r="UIR646" s="733"/>
      <c r="UIS646" s="731"/>
      <c r="UIT646" s="732"/>
      <c r="UIU646" s="731"/>
      <c r="UIV646" s="733"/>
      <c r="UIW646" s="731"/>
      <c r="UIX646" s="732"/>
      <c r="UIY646" s="731"/>
      <c r="UIZ646" s="733"/>
      <c r="UJA646" s="731"/>
      <c r="UJB646" s="732"/>
      <c r="UJC646" s="731"/>
      <c r="UJD646" s="733"/>
      <c r="UJE646" s="731"/>
      <c r="UJF646" s="732"/>
      <c r="UJG646" s="731"/>
      <c r="UJH646" s="733"/>
      <c r="UJI646" s="731"/>
      <c r="UJJ646" s="732"/>
      <c r="UJK646" s="731"/>
      <c r="UJL646" s="733"/>
      <c r="UJM646" s="731"/>
      <c r="UJN646" s="732"/>
      <c r="UJO646" s="731"/>
      <c r="UJP646" s="733"/>
      <c r="UJQ646" s="731"/>
      <c r="UJR646" s="732"/>
      <c r="UJS646" s="731"/>
      <c r="UJT646" s="733"/>
      <c r="UJU646" s="731"/>
      <c r="UJV646" s="732"/>
      <c r="UJW646" s="731"/>
      <c r="UJX646" s="733"/>
      <c r="UJY646" s="731"/>
      <c r="UJZ646" s="732"/>
      <c r="UKA646" s="731"/>
      <c r="UKB646" s="733"/>
      <c r="UKC646" s="731"/>
      <c r="UKD646" s="732"/>
      <c r="UKE646" s="731"/>
      <c r="UKF646" s="733"/>
      <c r="UKG646" s="731"/>
      <c r="UKH646" s="732"/>
      <c r="UKI646" s="731"/>
      <c r="UKJ646" s="733"/>
      <c r="UKK646" s="731"/>
      <c r="UKL646" s="732"/>
      <c r="UKM646" s="731"/>
      <c r="UKN646" s="733"/>
      <c r="UKO646" s="731"/>
      <c r="UKP646" s="732"/>
      <c r="UKQ646" s="731"/>
      <c r="UKR646" s="733"/>
      <c r="UKS646" s="731"/>
      <c r="UKT646" s="732"/>
      <c r="UKU646" s="731"/>
      <c r="UKV646" s="733"/>
      <c r="UKW646" s="731"/>
      <c r="UKX646" s="732"/>
      <c r="UKY646" s="731"/>
      <c r="UKZ646" s="733"/>
      <c r="ULA646" s="731"/>
      <c r="ULB646" s="732"/>
      <c r="ULC646" s="731"/>
      <c r="ULD646" s="733"/>
      <c r="ULE646" s="731"/>
      <c r="ULF646" s="732"/>
      <c r="ULG646" s="731"/>
      <c r="ULH646" s="733"/>
      <c r="ULI646" s="731"/>
      <c r="ULJ646" s="732"/>
      <c r="ULK646" s="731"/>
      <c r="ULL646" s="733"/>
      <c r="ULM646" s="731"/>
      <c r="ULN646" s="732"/>
      <c r="ULO646" s="731"/>
      <c r="ULP646" s="733"/>
      <c r="ULQ646" s="731"/>
      <c r="ULR646" s="732"/>
      <c r="ULS646" s="731"/>
      <c r="ULT646" s="733"/>
      <c r="ULU646" s="731"/>
      <c r="ULV646" s="732"/>
      <c r="ULW646" s="731"/>
      <c r="ULX646" s="733"/>
      <c r="ULY646" s="731"/>
      <c r="ULZ646" s="732"/>
      <c r="UMA646" s="731"/>
      <c r="UMB646" s="733"/>
      <c r="UMC646" s="731"/>
      <c r="UMD646" s="732"/>
      <c r="UME646" s="731"/>
      <c r="UMF646" s="733"/>
      <c r="UMG646" s="731"/>
      <c r="UMH646" s="732"/>
      <c r="UMI646" s="731"/>
      <c r="UMJ646" s="733"/>
      <c r="UMK646" s="731"/>
      <c r="UML646" s="732"/>
      <c r="UMM646" s="731"/>
      <c r="UMN646" s="733"/>
      <c r="UMO646" s="731"/>
      <c r="UMP646" s="732"/>
      <c r="UMQ646" s="731"/>
      <c r="UMR646" s="733"/>
      <c r="UMS646" s="731"/>
      <c r="UMT646" s="732"/>
      <c r="UMU646" s="731"/>
      <c r="UMV646" s="733"/>
      <c r="UMW646" s="731"/>
      <c r="UMX646" s="732"/>
      <c r="UMY646" s="731"/>
      <c r="UMZ646" s="733"/>
      <c r="UNA646" s="731"/>
      <c r="UNB646" s="732"/>
      <c r="UNC646" s="731"/>
      <c r="UND646" s="733"/>
      <c r="UNE646" s="731"/>
      <c r="UNF646" s="732"/>
      <c r="UNG646" s="731"/>
      <c r="UNH646" s="733"/>
      <c r="UNI646" s="731"/>
      <c r="UNJ646" s="732"/>
      <c r="UNK646" s="731"/>
      <c r="UNL646" s="733"/>
      <c r="UNM646" s="731"/>
      <c r="UNN646" s="732"/>
      <c r="UNO646" s="731"/>
      <c r="UNP646" s="733"/>
      <c r="UNQ646" s="731"/>
      <c r="UNR646" s="732"/>
      <c r="UNS646" s="731"/>
      <c r="UNT646" s="733"/>
      <c r="UNU646" s="731"/>
      <c r="UNV646" s="732"/>
      <c r="UNW646" s="731"/>
      <c r="UNX646" s="733"/>
      <c r="UNY646" s="731"/>
      <c r="UNZ646" s="732"/>
      <c r="UOA646" s="731"/>
      <c r="UOB646" s="733"/>
      <c r="UOC646" s="731"/>
      <c r="UOD646" s="732"/>
      <c r="UOE646" s="731"/>
      <c r="UOF646" s="733"/>
      <c r="UOG646" s="731"/>
      <c r="UOH646" s="732"/>
      <c r="UOI646" s="731"/>
      <c r="UOJ646" s="733"/>
      <c r="UOK646" s="731"/>
      <c r="UOL646" s="732"/>
      <c r="UOM646" s="731"/>
      <c r="UON646" s="733"/>
      <c r="UOO646" s="731"/>
      <c r="UOP646" s="732"/>
      <c r="UOQ646" s="731"/>
      <c r="UOR646" s="733"/>
      <c r="UOS646" s="731"/>
      <c r="UOT646" s="732"/>
      <c r="UOU646" s="731"/>
      <c r="UOV646" s="733"/>
      <c r="UOW646" s="731"/>
      <c r="UOX646" s="732"/>
      <c r="UOY646" s="731"/>
      <c r="UOZ646" s="733"/>
      <c r="UPA646" s="731"/>
      <c r="UPB646" s="732"/>
      <c r="UPC646" s="731"/>
      <c r="UPD646" s="733"/>
      <c r="UPE646" s="731"/>
      <c r="UPF646" s="732"/>
      <c r="UPG646" s="731"/>
      <c r="UPH646" s="733"/>
      <c r="UPI646" s="731"/>
      <c r="UPJ646" s="732"/>
      <c r="UPK646" s="731"/>
      <c r="UPL646" s="733"/>
      <c r="UPM646" s="731"/>
      <c r="UPN646" s="732"/>
      <c r="UPO646" s="731"/>
      <c r="UPP646" s="733"/>
      <c r="UPQ646" s="731"/>
      <c r="UPR646" s="732"/>
      <c r="UPS646" s="731"/>
      <c r="UPT646" s="733"/>
      <c r="UPU646" s="731"/>
      <c r="UPV646" s="732"/>
      <c r="UPW646" s="731"/>
      <c r="UPX646" s="733"/>
      <c r="UPY646" s="731"/>
      <c r="UPZ646" s="732"/>
      <c r="UQA646" s="731"/>
      <c r="UQB646" s="733"/>
      <c r="UQC646" s="731"/>
      <c r="UQD646" s="732"/>
      <c r="UQE646" s="731"/>
      <c r="UQF646" s="733"/>
      <c r="UQG646" s="731"/>
      <c r="UQH646" s="732"/>
      <c r="UQI646" s="731"/>
      <c r="UQJ646" s="733"/>
      <c r="UQK646" s="731"/>
      <c r="UQL646" s="732"/>
      <c r="UQM646" s="731"/>
      <c r="UQN646" s="733"/>
      <c r="UQO646" s="731"/>
      <c r="UQP646" s="732"/>
      <c r="UQQ646" s="731"/>
      <c r="UQR646" s="733"/>
      <c r="UQS646" s="731"/>
      <c r="UQT646" s="732"/>
      <c r="UQU646" s="731"/>
      <c r="UQV646" s="733"/>
      <c r="UQW646" s="731"/>
      <c r="UQX646" s="732"/>
      <c r="UQY646" s="731"/>
      <c r="UQZ646" s="733"/>
      <c r="URA646" s="731"/>
      <c r="URB646" s="732"/>
      <c r="URC646" s="731"/>
      <c r="URD646" s="733"/>
      <c r="URE646" s="731"/>
      <c r="URF646" s="732"/>
      <c r="URG646" s="731"/>
      <c r="URH646" s="733"/>
      <c r="URI646" s="731"/>
      <c r="URJ646" s="732"/>
      <c r="URK646" s="731"/>
      <c r="URL646" s="733"/>
      <c r="URM646" s="731"/>
      <c r="URN646" s="732"/>
      <c r="URO646" s="731"/>
      <c r="URP646" s="733"/>
      <c r="URQ646" s="731"/>
      <c r="URR646" s="732"/>
      <c r="URS646" s="731"/>
      <c r="URT646" s="733"/>
      <c r="URU646" s="731"/>
      <c r="URV646" s="732"/>
      <c r="URW646" s="731"/>
      <c r="URX646" s="733"/>
      <c r="URY646" s="731"/>
      <c r="URZ646" s="732"/>
      <c r="USA646" s="731"/>
      <c r="USB646" s="733"/>
      <c r="USC646" s="731"/>
      <c r="USD646" s="732"/>
      <c r="USE646" s="731"/>
      <c r="USF646" s="733"/>
      <c r="USG646" s="731"/>
      <c r="USH646" s="732"/>
      <c r="USI646" s="731"/>
      <c r="USJ646" s="733"/>
      <c r="USK646" s="731"/>
      <c r="USL646" s="732"/>
      <c r="USM646" s="731"/>
      <c r="USN646" s="733"/>
      <c r="USO646" s="731"/>
      <c r="USP646" s="732"/>
      <c r="USQ646" s="731"/>
      <c r="USR646" s="733"/>
      <c r="USS646" s="731"/>
      <c r="UST646" s="732"/>
      <c r="USU646" s="731"/>
      <c r="USV646" s="733"/>
      <c r="USW646" s="731"/>
      <c r="USX646" s="732"/>
      <c r="USY646" s="731"/>
      <c r="USZ646" s="733"/>
      <c r="UTA646" s="731"/>
      <c r="UTB646" s="732"/>
      <c r="UTC646" s="731"/>
      <c r="UTD646" s="733"/>
      <c r="UTE646" s="731"/>
      <c r="UTF646" s="732"/>
      <c r="UTG646" s="731"/>
      <c r="UTH646" s="733"/>
      <c r="UTI646" s="731"/>
      <c r="UTJ646" s="732"/>
      <c r="UTK646" s="731"/>
      <c r="UTL646" s="733"/>
      <c r="UTM646" s="731"/>
      <c r="UTN646" s="732"/>
      <c r="UTO646" s="731"/>
      <c r="UTP646" s="733"/>
      <c r="UTQ646" s="731"/>
      <c r="UTR646" s="732"/>
      <c r="UTS646" s="731"/>
      <c r="UTT646" s="733"/>
      <c r="UTU646" s="731"/>
      <c r="UTV646" s="732"/>
      <c r="UTW646" s="731"/>
      <c r="UTX646" s="733"/>
      <c r="UTY646" s="731"/>
      <c r="UTZ646" s="732"/>
      <c r="UUA646" s="731"/>
      <c r="UUB646" s="733"/>
      <c r="UUC646" s="731"/>
      <c r="UUD646" s="732"/>
      <c r="UUE646" s="731"/>
      <c r="UUF646" s="733"/>
      <c r="UUG646" s="731"/>
      <c r="UUH646" s="732"/>
      <c r="UUI646" s="731"/>
      <c r="UUJ646" s="733"/>
      <c r="UUK646" s="731"/>
      <c r="UUL646" s="732"/>
      <c r="UUM646" s="731"/>
      <c r="UUN646" s="733"/>
      <c r="UUO646" s="731"/>
      <c r="UUP646" s="732"/>
      <c r="UUQ646" s="731"/>
      <c r="UUR646" s="733"/>
      <c r="UUS646" s="731"/>
      <c r="UUT646" s="732"/>
      <c r="UUU646" s="731"/>
      <c r="UUV646" s="733"/>
      <c r="UUW646" s="731"/>
      <c r="UUX646" s="732"/>
      <c r="UUY646" s="731"/>
      <c r="UUZ646" s="733"/>
      <c r="UVA646" s="731"/>
      <c r="UVB646" s="732"/>
      <c r="UVC646" s="731"/>
      <c r="UVD646" s="733"/>
      <c r="UVE646" s="731"/>
      <c r="UVF646" s="732"/>
      <c r="UVG646" s="731"/>
      <c r="UVH646" s="733"/>
      <c r="UVI646" s="731"/>
      <c r="UVJ646" s="732"/>
      <c r="UVK646" s="731"/>
      <c r="UVL646" s="733"/>
      <c r="UVM646" s="731"/>
      <c r="UVN646" s="732"/>
      <c r="UVO646" s="731"/>
      <c r="UVP646" s="733"/>
      <c r="UVQ646" s="731"/>
      <c r="UVR646" s="732"/>
      <c r="UVS646" s="731"/>
      <c r="UVT646" s="733"/>
      <c r="UVU646" s="731"/>
      <c r="UVV646" s="732"/>
      <c r="UVW646" s="731"/>
      <c r="UVX646" s="733"/>
      <c r="UVY646" s="731"/>
      <c r="UVZ646" s="732"/>
      <c r="UWA646" s="731"/>
      <c r="UWB646" s="733"/>
      <c r="UWC646" s="731"/>
      <c r="UWD646" s="732"/>
      <c r="UWE646" s="731"/>
      <c r="UWF646" s="733"/>
      <c r="UWG646" s="731"/>
      <c r="UWH646" s="732"/>
      <c r="UWI646" s="731"/>
      <c r="UWJ646" s="733"/>
      <c r="UWK646" s="731"/>
      <c r="UWL646" s="732"/>
      <c r="UWM646" s="731"/>
      <c r="UWN646" s="733"/>
      <c r="UWO646" s="731"/>
      <c r="UWP646" s="732"/>
      <c r="UWQ646" s="731"/>
      <c r="UWR646" s="733"/>
      <c r="UWS646" s="731"/>
      <c r="UWT646" s="732"/>
      <c r="UWU646" s="731"/>
      <c r="UWV646" s="733"/>
      <c r="UWW646" s="731"/>
      <c r="UWX646" s="732"/>
      <c r="UWY646" s="731"/>
      <c r="UWZ646" s="733"/>
      <c r="UXA646" s="731"/>
      <c r="UXB646" s="732"/>
      <c r="UXC646" s="731"/>
      <c r="UXD646" s="733"/>
      <c r="UXE646" s="731"/>
      <c r="UXF646" s="732"/>
      <c r="UXG646" s="731"/>
      <c r="UXH646" s="733"/>
      <c r="UXI646" s="731"/>
      <c r="UXJ646" s="732"/>
      <c r="UXK646" s="731"/>
      <c r="UXL646" s="733"/>
      <c r="UXM646" s="731"/>
      <c r="UXN646" s="732"/>
      <c r="UXO646" s="731"/>
      <c r="UXP646" s="733"/>
      <c r="UXQ646" s="731"/>
      <c r="UXR646" s="732"/>
      <c r="UXS646" s="731"/>
      <c r="UXT646" s="733"/>
      <c r="UXU646" s="731"/>
      <c r="UXV646" s="732"/>
      <c r="UXW646" s="731"/>
      <c r="UXX646" s="733"/>
      <c r="UXY646" s="731"/>
      <c r="UXZ646" s="732"/>
      <c r="UYA646" s="731"/>
      <c r="UYB646" s="733"/>
      <c r="UYC646" s="731"/>
      <c r="UYD646" s="732"/>
      <c r="UYE646" s="731"/>
      <c r="UYF646" s="733"/>
      <c r="UYG646" s="731"/>
      <c r="UYH646" s="732"/>
      <c r="UYI646" s="731"/>
      <c r="UYJ646" s="733"/>
      <c r="UYK646" s="731"/>
      <c r="UYL646" s="732"/>
      <c r="UYM646" s="731"/>
      <c r="UYN646" s="733"/>
      <c r="UYO646" s="731"/>
      <c r="UYP646" s="732"/>
      <c r="UYQ646" s="731"/>
      <c r="UYR646" s="733"/>
      <c r="UYS646" s="731"/>
      <c r="UYT646" s="732"/>
      <c r="UYU646" s="731"/>
      <c r="UYV646" s="733"/>
      <c r="UYW646" s="731"/>
      <c r="UYX646" s="732"/>
      <c r="UYY646" s="731"/>
      <c r="UYZ646" s="733"/>
      <c r="UZA646" s="731"/>
      <c r="UZB646" s="732"/>
      <c r="UZC646" s="731"/>
      <c r="UZD646" s="733"/>
      <c r="UZE646" s="731"/>
      <c r="UZF646" s="732"/>
      <c r="UZG646" s="731"/>
      <c r="UZH646" s="733"/>
      <c r="UZI646" s="731"/>
      <c r="UZJ646" s="732"/>
      <c r="UZK646" s="731"/>
      <c r="UZL646" s="733"/>
      <c r="UZM646" s="731"/>
      <c r="UZN646" s="732"/>
      <c r="UZO646" s="731"/>
      <c r="UZP646" s="733"/>
      <c r="UZQ646" s="731"/>
      <c r="UZR646" s="732"/>
      <c r="UZS646" s="731"/>
      <c r="UZT646" s="733"/>
      <c r="UZU646" s="731"/>
      <c r="UZV646" s="732"/>
      <c r="UZW646" s="731"/>
      <c r="UZX646" s="733"/>
      <c r="UZY646" s="731"/>
      <c r="UZZ646" s="732"/>
      <c r="VAA646" s="731"/>
      <c r="VAB646" s="733"/>
      <c r="VAC646" s="731"/>
      <c r="VAD646" s="732"/>
      <c r="VAE646" s="731"/>
      <c r="VAF646" s="733"/>
      <c r="VAG646" s="731"/>
      <c r="VAH646" s="732"/>
      <c r="VAI646" s="731"/>
      <c r="VAJ646" s="733"/>
      <c r="VAK646" s="731"/>
      <c r="VAL646" s="732"/>
      <c r="VAM646" s="731"/>
      <c r="VAN646" s="733"/>
      <c r="VAO646" s="731"/>
      <c r="VAP646" s="732"/>
      <c r="VAQ646" s="731"/>
      <c r="VAR646" s="733"/>
      <c r="VAS646" s="731"/>
      <c r="VAT646" s="732"/>
      <c r="VAU646" s="731"/>
      <c r="VAV646" s="733"/>
      <c r="VAW646" s="731"/>
      <c r="VAX646" s="732"/>
      <c r="VAY646" s="731"/>
      <c r="VAZ646" s="733"/>
      <c r="VBA646" s="731"/>
      <c r="VBB646" s="732"/>
      <c r="VBC646" s="731"/>
      <c r="VBD646" s="733"/>
      <c r="VBE646" s="731"/>
      <c r="VBF646" s="732"/>
      <c r="VBG646" s="731"/>
      <c r="VBH646" s="733"/>
      <c r="VBI646" s="731"/>
      <c r="VBJ646" s="732"/>
      <c r="VBK646" s="731"/>
      <c r="VBL646" s="733"/>
      <c r="VBM646" s="731"/>
      <c r="VBN646" s="732"/>
      <c r="VBO646" s="731"/>
      <c r="VBP646" s="733"/>
      <c r="VBQ646" s="731"/>
      <c r="VBR646" s="732"/>
      <c r="VBS646" s="731"/>
      <c r="VBT646" s="733"/>
      <c r="VBU646" s="731"/>
      <c r="VBV646" s="732"/>
      <c r="VBW646" s="731"/>
      <c r="VBX646" s="733"/>
      <c r="VBY646" s="731"/>
      <c r="VBZ646" s="732"/>
      <c r="VCA646" s="731"/>
      <c r="VCB646" s="733"/>
      <c r="VCC646" s="731"/>
      <c r="VCD646" s="732"/>
      <c r="VCE646" s="731"/>
      <c r="VCF646" s="733"/>
      <c r="VCG646" s="731"/>
      <c r="VCH646" s="732"/>
      <c r="VCI646" s="731"/>
      <c r="VCJ646" s="733"/>
      <c r="VCK646" s="731"/>
      <c r="VCL646" s="732"/>
      <c r="VCM646" s="731"/>
      <c r="VCN646" s="733"/>
      <c r="VCO646" s="731"/>
      <c r="VCP646" s="732"/>
      <c r="VCQ646" s="731"/>
      <c r="VCR646" s="733"/>
      <c r="VCS646" s="731"/>
      <c r="VCT646" s="732"/>
      <c r="VCU646" s="731"/>
      <c r="VCV646" s="733"/>
      <c r="VCW646" s="731"/>
      <c r="VCX646" s="732"/>
      <c r="VCY646" s="731"/>
      <c r="VCZ646" s="733"/>
      <c r="VDA646" s="731"/>
      <c r="VDB646" s="732"/>
      <c r="VDC646" s="731"/>
      <c r="VDD646" s="733"/>
      <c r="VDE646" s="731"/>
      <c r="VDF646" s="732"/>
      <c r="VDG646" s="731"/>
      <c r="VDH646" s="733"/>
      <c r="VDI646" s="731"/>
      <c r="VDJ646" s="732"/>
      <c r="VDK646" s="731"/>
      <c r="VDL646" s="733"/>
      <c r="VDM646" s="731"/>
      <c r="VDN646" s="732"/>
      <c r="VDO646" s="731"/>
      <c r="VDP646" s="733"/>
      <c r="VDQ646" s="731"/>
      <c r="VDR646" s="732"/>
      <c r="VDS646" s="731"/>
      <c r="VDT646" s="733"/>
      <c r="VDU646" s="731"/>
      <c r="VDV646" s="732"/>
      <c r="VDW646" s="731"/>
      <c r="VDX646" s="733"/>
      <c r="VDY646" s="731"/>
      <c r="VDZ646" s="732"/>
      <c r="VEA646" s="731"/>
      <c r="VEB646" s="733"/>
      <c r="VEC646" s="731"/>
      <c r="VED646" s="732"/>
      <c r="VEE646" s="731"/>
      <c r="VEF646" s="733"/>
      <c r="VEG646" s="731"/>
      <c r="VEH646" s="732"/>
      <c r="VEI646" s="731"/>
      <c r="VEJ646" s="733"/>
      <c r="VEK646" s="731"/>
      <c r="VEL646" s="732"/>
      <c r="VEM646" s="731"/>
      <c r="VEN646" s="733"/>
      <c r="VEO646" s="731"/>
      <c r="VEP646" s="732"/>
      <c r="VEQ646" s="731"/>
      <c r="VER646" s="733"/>
      <c r="VES646" s="731"/>
      <c r="VET646" s="732"/>
      <c r="VEU646" s="731"/>
      <c r="VEV646" s="733"/>
      <c r="VEW646" s="731"/>
      <c r="VEX646" s="732"/>
      <c r="VEY646" s="731"/>
      <c r="VEZ646" s="733"/>
      <c r="VFA646" s="731"/>
      <c r="VFB646" s="732"/>
      <c r="VFC646" s="731"/>
      <c r="VFD646" s="733"/>
      <c r="VFE646" s="731"/>
      <c r="VFF646" s="732"/>
      <c r="VFG646" s="731"/>
      <c r="VFH646" s="733"/>
      <c r="VFI646" s="731"/>
      <c r="VFJ646" s="732"/>
      <c r="VFK646" s="731"/>
      <c r="VFL646" s="733"/>
      <c r="VFM646" s="731"/>
      <c r="VFN646" s="732"/>
      <c r="VFO646" s="731"/>
      <c r="VFP646" s="733"/>
      <c r="VFQ646" s="731"/>
      <c r="VFR646" s="732"/>
      <c r="VFS646" s="731"/>
      <c r="VFT646" s="733"/>
      <c r="VFU646" s="731"/>
      <c r="VFV646" s="732"/>
      <c r="VFW646" s="731"/>
      <c r="VFX646" s="733"/>
      <c r="VFY646" s="731"/>
      <c r="VFZ646" s="732"/>
      <c r="VGA646" s="731"/>
      <c r="VGB646" s="733"/>
      <c r="VGC646" s="731"/>
      <c r="VGD646" s="732"/>
      <c r="VGE646" s="731"/>
      <c r="VGF646" s="733"/>
      <c r="VGG646" s="731"/>
      <c r="VGH646" s="732"/>
      <c r="VGI646" s="731"/>
      <c r="VGJ646" s="733"/>
      <c r="VGK646" s="731"/>
      <c r="VGL646" s="732"/>
      <c r="VGM646" s="731"/>
      <c r="VGN646" s="733"/>
      <c r="VGO646" s="731"/>
      <c r="VGP646" s="732"/>
      <c r="VGQ646" s="731"/>
      <c r="VGR646" s="733"/>
      <c r="VGS646" s="731"/>
      <c r="VGT646" s="732"/>
      <c r="VGU646" s="731"/>
      <c r="VGV646" s="733"/>
      <c r="VGW646" s="731"/>
      <c r="VGX646" s="732"/>
      <c r="VGY646" s="731"/>
      <c r="VGZ646" s="733"/>
      <c r="VHA646" s="731"/>
      <c r="VHB646" s="732"/>
      <c r="VHC646" s="731"/>
      <c r="VHD646" s="733"/>
      <c r="VHE646" s="731"/>
      <c r="VHF646" s="732"/>
      <c r="VHG646" s="731"/>
      <c r="VHH646" s="733"/>
      <c r="VHI646" s="731"/>
      <c r="VHJ646" s="732"/>
      <c r="VHK646" s="731"/>
      <c r="VHL646" s="733"/>
      <c r="VHM646" s="731"/>
      <c r="VHN646" s="732"/>
      <c r="VHO646" s="731"/>
      <c r="VHP646" s="733"/>
      <c r="VHQ646" s="731"/>
      <c r="VHR646" s="732"/>
      <c r="VHS646" s="731"/>
      <c r="VHT646" s="733"/>
      <c r="VHU646" s="731"/>
      <c r="VHV646" s="732"/>
      <c r="VHW646" s="731"/>
      <c r="VHX646" s="733"/>
      <c r="VHY646" s="731"/>
      <c r="VHZ646" s="732"/>
      <c r="VIA646" s="731"/>
      <c r="VIB646" s="733"/>
      <c r="VIC646" s="731"/>
      <c r="VID646" s="732"/>
      <c r="VIE646" s="731"/>
      <c r="VIF646" s="733"/>
      <c r="VIG646" s="731"/>
      <c r="VIH646" s="732"/>
      <c r="VII646" s="731"/>
      <c r="VIJ646" s="733"/>
      <c r="VIK646" s="731"/>
      <c r="VIL646" s="732"/>
      <c r="VIM646" s="731"/>
      <c r="VIN646" s="733"/>
      <c r="VIO646" s="731"/>
      <c r="VIP646" s="732"/>
      <c r="VIQ646" s="731"/>
      <c r="VIR646" s="733"/>
      <c r="VIS646" s="731"/>
      <c r="VIT646" s="732"/>
      <c r="VIU646" s="731"/>
      <c r="VIV646" s="733"/>
      <c r="VIW646" s="731"/>
      <c r="VIX646" s="732"/>
      <c r="VIY646" s="731"/>
      <c r="VIZ646" s="733"/>
      <c r="VJA646" s="731"/>
      <c r="VJB646" s="732"/>
      <c r="VJC646" s="731"/>
      <c r="VJD646" s="733"/>
      <c r="VJE646" s="731"/>
      <c r="VJF646" s="732"/>
      <c r="VJG646" s="731"/>
      <c r="VJH646" s="733"/>
      <c r="VJI646" s="731"/>
      <c r="VJJ646" s="732"/>
      <c r="VJK646" s="731"/>
      <c r="VJL646" s="733"/>
      <c r="VJM646" s="731"/>
      <c r="VJN646" s="732"/>
      <c r="VJO646" s="731"/>
      <c r="VJP646" s="733"/>
      <c r="VJQ646" s="731"/>
      <c r="VJR646" s="732"/>
      <c r="VJS646" s="731"/>
      <c r="VJT646" s="733"/>
      <c r="VJU646" s="731"/>
      <c r="VJV646" s="732"/>
      <c r="VJW646" s="731"/>
      <c r="VJX646" s="733"/>
      <c r="VJY646" s="731"/>
      <c r="VJZ646" s="732"/>
      <c r="VKA646" s="731"/>
      <c r="VKB646" s="733"/>
      <c r="VKC646" s="731"/>
      <c r="VKD646" s="732"/>
      <c r="VKE646" s="731"/>
      <c r="VKF646" s="733"/>
      <c r="VKG646" s="731"/>
      <c r="VKH646" s="732"/>
      <c r="VKI646" s="731"/>
      <c r="VKJ646" s="733"/>
      <c r="VKK646" s="731"/>
      <c r="VKL646" s="732"/>
      <c r="VKM646" s="731"/>
      <c r="VKN646" s="733"/>
      <c r="VKO646" s="731"/>
      <c r="VKP646" s="732"/>
      <c r="VKQ646" s="731"/>
      <c r="VKR646" s="733"/>
      <c r="VKS646" s="731"/>
      <c r="VKT646" s="732"/>
      <c r="VKU646" s="731"/>
      <c r="VKV646" s="733"/>
      <c r="VKW646" s="731"/>
      <c r="VKX646" s="732"/>
      <c r="VKY646" s="731"/>
      <c r="VKZ646" s="733"/>
      <c r="VLA646" s="731"/>
      <c r="VLB646" s="732"/>
      <c r="VLC646" s="731"/>
      <c r="VLD646" s="733"/>
      <c r="VLE646" s="731"/>
      <c r="VLF646" s="732"/>
      <c r="VLG646" s="731"/>
      <c r="VLH646" s="733"/>
      <c r="VLI646" s="731"/>
      <c r="VLJ646" s="732"/>
      <c r="VLK646" s="731"/>
      <c r="VLL646" s="733"/>
      <c r="VLM646" s="731"/>
      <c r="VLN646" s="732"/>
      <c r="VLO646" s="731"/>
      <c r="VLP646" s="733"/>
      <c r="VLQ646" s="731"/>
      <c r="VLR646" s="732"/>
      <c r="VLS646" s="731"/>
      <c r="VLT646" s="733"/>
      <c r="VLU646" s="731"/>
      <c r="VLV646" s="732"/>
      <c r="VLW646" s="731"/>
      <c r="VLX646" s="733"/>
      <c r="VLY646" s="731"/>
      <c r="VLZ646" s="732"/>
      <c r="VMA646" s="731"/>
      <c r="VMB646" s="733"/>
      <c r="VMC646" s="731"/>
      <c r="VMD646" s="732"/>
      <c r="VME646" s="731"/>
      <c r="VMF646" s="733"/>
      <c r="VMG646" s="731"/>
      <c r="VMH646" s="732"/>
      <c r="VMI646" s="731"/>
      <c r="VMJ646" s="733"/>
      <c r="VMK646" s="731"/>
      <c r="VML646" s="732"/>
      <c r="VMM646" s="731"/>
      <c r="VMN646" s="733"/>
      <c r="VMO646" s="731"/>
      <c r="VMP646" s="732"/>
      <c r="VMQ646" s="731"/>
      <c r="VMR646" s="733"/>
      <c r="VMS646" s="731"/>
      <c r="VMT646" s="732"/>
      <c r="VMU646" s="731"/>
      <c r="VMV646" s="733"/>
      <c r="VMW646" s="731"/>
      <c r="VMX646" s="732"/>
      <c r="VMY646" s="731"/>
      <c r="VMZ646" s="733"/>
      <c r="VNA646" s="731"/>
      <c r="VNB646" s="732"/>
      <c r="VNC646" s="731"/>
      <c r="VND646" s="733"/>
      <c r="VNE646" s="731"/>
      <c r="VNF646" s="732"/>
      <c r="VNG646" s="731"/>
      <c r="VNH646" s="733"/>
      <c r="VNI646" s="731"/>
      <c r="VNJ646" s="732"/>
      <c r="VNK646" s="731"/>
      <c r="VNL646" s="733"/>
      <c r="VNM646" s="731"/>
      <c r="VNN646" s="732"/>
      <c r="VNO646" s="731"/>
      <c r="VNP646" s="733"/>
      <c r="VNQ646" s="731"/>
      <c r="VNR646" s="732"/>
      <c r="VNS646" s="731"/>
      <c r="VNT646" s="733"/>
      <c r="VNU646" s="731"/>
      <c r="VNV646" s="732"/>
      <c r="VNW646" s="731"/>
      <c r="VNX646" s="733"/>
      <c r="VNY646" s="731"/>
      <c r="VNZ646" s="732"/>
      <c r="VOA646" s="731"/>
      <c r="VOB646" s="733"/>
      <c r="VOC646" s="731"/>
      <c r="VOD646" s="732"/>
      <c r="VOE646" s="731"/>
      <c r="VOF646" s="733"/>
      <c r="VOG646" s="731"/>
      <c r="VOH646" s="732"/>
      <c r="VOI646" s="731"/>
      <c r="VOJ646" s="733"/>
      <c r="VOK646" s="731"/>
      <c r="VOL646" s="732"/>
      <c r="VOM646" s="731"/>
      <c r="VON646" s="733"/>
      <c r="VOO646" s="731"/>
      <c r="VOP646" s="732"/>
      <c r="VOQ646" s="731"/>
      <c r="VOR646" s="733"/>
      <c r="VOS646" s="731"/>
      <c r="VOT646" s="732"/>
      <c r="VOU646" s="731"/>
      <c r="VOV646" s="733"/>
      <c r="VOW646" s="731"/>
      <c r="VOX646" s="732"/>
      <c r="VOY646" s="731"/>
      <c r="VOZ646" s="733"/>
      <c r="VPA646" s="731"/>
      <c r="VPB646" s="732"/>
      <c r="VPC646" s="731"/>
      <c r="VPD646" s="733"/>
      <c r="VPE646" s="731"/>
      <c r="VPF646" s="732"/>
      <c r="VPG646" s="731"/>
      <c r="VPH646" s="733"/>
      <c r="VPI646" s="731"/>
      <c r="VPJ646" s="732"/>
      <c r="VPK646" s="731"/>
      <c r="VPL646" s="733"/>
      <c r="VPM646" s="731"/>
      <c r="VPN646" s="732"/>
      <c r="VPO646" s="731"/>
      <c r="VPP646" s="733"/>
      <c r="VPQ646" s="731"/>
      <c r="VPR646" s="732"/>
      <c r="VPS646" s="731"/>
      <c r="VPT646" s="733"/>
      <c r="VPU646" s="731"/>
      <c r="VPV646" s="732"/>
      <c r="VPW646" s="731"/>
      <c r="VPX646" s="733"/>
      <c r="VPY646" s="731"/>
      <c r="VPZ646" s="732"/>
      <c r="VQA646" s="731"/>
      <c r="VQB646" s="733"/>
      <c r="VQC646" s="731"/>
      <c r="VQD646" s="732"/>
      <c r="VQE646" s="731"/>
      <c r="VQF646" s="733"/>
      <c r="VQG646" s="731"/>
      <c r="VQH646" s="732"/>
      <c r="VQI646" s="731"/>
      <c r="VQJ646" s="733"/>
      <c r="VQK646" s="731"/>
      <c r="VQL646" s="732"/>
      <c r="VQM646" s="731"/>
      <c r="VQN646" s="733"/>
      <c r="VQO646" s="731"/>
      <c r="VQP646" s="732"/>
      <c r="VQQ646" s="731"/>
      <c r="VQR646" s="733"/>
      <c r="VQS646" s="731"/>
      <c r="VQT646" s="732"/>
      <c r="VQU646" s="731"/>
      <c r="VQV646" s="733"/>
      <c r="VQW646" s="731"/>
      <c r="VQX646" s="732"/>
      <c r="VQY646" s="731"/>
      <c r="VQZ646" s="733"/>
      <c r="VRA646" s="731"/>
      <c r="VRB646" s="732"/>
      <c r="VRC646" s="731"/>
      <c r="VRD646" s="733"/>
      <c r="VRE646" s="731"/>
      <c r="VRF646" s="732"/>
      <c r="VRG646" s="731"/>
      <c r="VRH646" s="733"/>
      <c r="VRI646" s="731"/>
      <c r="VRJ646" s="732"/>
      <c r="VRK646" s="731"/>
      <c r="VRL646" s="733"/>
      <c r="VRM646" s="731"/>
      <c r="VRN646" s="732"/>
      <c r="VRO646" s="731"/>
      <c r="VRP646" s="733"/>
      <c r="VRQ646" s="731"/>
      <c r="VRR646" s="732"/>
      <c r="VRS646" s="731"/>
      <c r="VRT646" s="733"/>
      <c r="VRU646" s="731"/>
      <c r="VRV646" s="732"/>
      <c r="VRW646" s="731"/>
      <c r="VRX646" s="733"/>
      <c r="VRY646" s="731"/>
      <c r="VRZ646" s="732"/>
      <c r="VSA646" s="731"/>
      <c r="VSB646" s="733"/>
      <c r="VSC646" s="731"/>
      <c r="VSD646" s="732"/>
      <c r="VSE646" s="731"/>
      <c r="VSF646" s="733"/>
      <c r="VSG646" s="731"/>
      <c r="VSH646" s="732"/>
      <c r="VSI646" s="731"/>
      <c r="VSJ646" s="733"/>
      <c r="VSK646" s="731"/>
      <c r="VSL646" s="732"/>
      <c r="VSM646" s="731"/>
      <c r="VSN646" s="733"/>
      <c r="VSO646" s="731"/>
      <c r="VSP646" s="732"/>
      <c r="VSQ646" s="731"/>
      <c r="VSR646" s="733"/>
      <c r="VSS646" s="731"/>
      <c r="VST646" s="732"/>
      <c r="VSU646" s="731"/>
      <c r="VSV646" s="733"/>
      <c r="VSW646" s="731"/>
      <c r="VSX646" s="732"/>
      <c r="VSY646" s="731"/>
      <c r="VSZ646" s="733"/>
      <c r="VTA646" s="731"/>
      <c r="VTB646" s="732"/>
      <c r="VTC646" s="731"/>
      <c r="VTD646" s="733"/>
      <c r="VTE646" s="731"/>
      <c r="VTF646" s="732"/>
      <c r="VTG646" s="731"/>
      <c r="VTH646" s="733"/>
      <c r="VTI646" s="731"/>
      <c r="VTJ646" s="732"/>
      <c r="VTK646" s="731"/>
      <c r="VTL646" s="733"/>
      <c r="VTM646" s="731"/>
      <c r="VTN646" s="732"/>
      <c r="VTO646" s="731"/>
      <c r="VTP646" s="733"/>
      <c r="VTQ646" s="731"/>
      <c r="VTR646" s="732"/>
      <c r="VTS646" s="731"/>
      <c r="VTT646" s="733"/>
      <c r="VTU646" s="731"/>
      <c r="VTV646" s="732"/>
      <c r="VTW646" s="731"/>
      <c r="VTX646" s="733"/>
      <c r="VTY646" s="731"/>
      <c r="VTZ646" s="732"/>
      <c r="VUA646" s="731"/>
      <c r="VUB646" s="733"/>
      <c r="VUC646" s="731"/>
      <c r="VUD646" s="732"/>
      <c r="VUE646" s="731"/>
      <c r="VUF646" s="733"/>
      <c r="VUG646" s="731"/>
      <c r="VUH646" s="732"/>
      <c r="VUI646" s="731"/>
      <c r="VUJ646" s="733"/>
      <c r="VUK646" s="731"/>
      <c r="VUL646" s="732"/>
      <c r="VUM646" s="731"/>
      <c r="VUN646" s="733"/>
      <c r="VUO646" s="731"/>
      <c r="VUP646" s="732"/>
      <c r="VUQ646" s="731"/>
      <c r="VUR646" s="733"/>
      <c r="VUS646" s="731"/>
      <c r="VUT646" s="732"/>
      <c r="VUU646" s="731"/>
      <c r="VUV646" s="733"/>
      <c r="VUW646" s="731"/>
      <c r="VUX646" s="732"/>
      <c r="VUY646" s="731"/>
      <c r="VUZ646" s="733"/>
      <c r="VVA646" s="731"/>
      <c r="VVB646" s="732"/>
      <c r="VVC646" s="731"/>
      <c r="VVD646" s="733"/>
      <c r="VVE646" s="731"/>
      <c r="VVF646" s="732"/>
      <c r="VVG646" s="731"/>
      <c r="VVH646" s="733"/>
      <c r="VVI646" s="731"/>
      <c r="VVJ646" s="732"/>
      <c r="VVK646" s="731"/>
      <c r="VVL646" s="733"/>
      <c r="VVM646" s="731"/>
      <c r="VVN646" s="732"/>
      <c r="VVO646" s="731"/>
      <c r="VVP646" s="733"/>
      <c r="VVQ646" s="731"/>
      <c r="VVR646" s="732"/>
      <c r="VVS646" s="731"/>
      <c r="VVT646" s="733"/>
      <c r="VVU646" s="731"/>
      <c r="VVV646" s="732"/>
      <c r="VVW646" s="731"/>
      <c r="VVX646" s="733"/>
      <c r="VVY646" s="731"/>
      <c r="VVZ646" s="732"/>
      <c r="VWA646" s="731"/>
      <c r="VWB646" s="733"/>
      <c r="VWC646" s="731"/>
      <c r="VWD646" s="732"/>
      <c r="VWE646" s="731"/>
      <c r="VWF646" s="733"/>
      <c r="VWG646" s="731"/>
      <c r="VWH646" s="732"/>
      <c r="VWI646" s="731"/>
      <c r="VWJ646" s="733"/>
      <c r="VWK646" s="731"/>
      <c r="VWL646" s="732"/>
      <c r="VWM646" s="731"/>
      <c r="VWN646" s="733"/>
      <c r="VWO646" s="731"/>
      <c r="VWP646" s="732"/>
      <c r="VWQ646" s="731"/>
      <c r="VWR646" s="733"/>
      <c r="VWS646" s="731"/>
      <c r="VWT646" s="732"/>
      <c r="VWU646" s="731"/>
      <c r="VWV646" s="733"/>
      <c r="VWW646" s="731"/>
      <c r="VWX646" s="732"/>
      <c r="VWY646" s="731"/>
      <c r="VWZ646" s="733"/>
      <c r="VXA646" s="731"/>
      <c r="VXB646" s="732"/>
      <c r="VXC646" s="731"/>
      <c r="VXD646" s="733"/>
      <c r="VXE646" s="731"/>
      <c r="VXF646" s="732"/>
      <c r="VXG646" s="731"/>
      <c r="VXH646" s="733"/>
      <c r="VXI646" s="731"/>
      <c r="VXJ646" s="732"/>
      <c r="VXK646" s="731"/>
      <c r="VXL646" s="733"/>
      <c r="VXM646" s="731"/>
      <c r="VXN646" s="732"/>
      <c r="VXO646" s="731"/>
      <c r="VXP646" s="733"/>
      <c r="VXQ646" s="731"/>
      <c r="VXR646" s="732"/>
      <c r="VXS646" s="731"/>
      <c r="VXT646" s="733"/>
      <c r="VXU646" s="731"/>
      <c r="VXV646" s="732"/>
      <c r="VXW646" s="731"/>
      <c r="VXX646" s="733"/>
      <c r="VXY646" s="731"/>
      <c r="VXZ646" s="732"/>
      <c r="VYA646" s="731"/>
      <c r="VYB646" s="733"/>
      <c r="VYC646" s="731"/>
      <c r="VYD646" s="732"/>
      <c r="VYE646" s="731"/>
      <c r="VYF646" s="733"/>
      <c r="VYG646" s="731"/>
      <c r="VYH646" s="732"/>
      <c r="VYI646" s="731"/>
      <c r="VYJ646" s="733"/>
      <c r="VYK646" s="731"/>
      <c r="VYL646" s="732"/>
      <c r="VYM646" s="731"/>
      <c r="VYN646" s="733"/>
      <c r="VYO646" s="731"/>
      <c r="VYP646" s="732"/>
      <c r="VYQ646" s="731"/>
      <c r="VYR646" s="733"/>
      <c r="VYS646" s="731"/>
      <c r="VYT646" s="732"/>
      <c r="VYU646" s="731"/>
      <c r="VYV646" s="733"/>
      <c r="VYW646" s="731"/>
      <c r="VYX646" s="732"/>
      <c r="VYY646" s="731"/>
      <c r="VYZ646" s="733"/>
      <c r="VZA646" s="731"/>
      <c r="VZB646" s="732"/>
      <c r="VZC646" s="731"/>
      <c r="VZD646" s="733"/>
      <c r="VZE646" s="731"/>
      <c r="VZF646" s="732"/>
      <c r="VZG646" s="731"/>
      <c r="VZH646" s="733"/>
      <c r="VZI646" s="731"/>
      <c r="VZJ646" s="732"/>
      <c r="VZK646" s="731"/>
      <c r="VZL646" s="733"/>
      <c r="VZM646" s="731"/>
      <c r="VZN646" s="732"/>
      <c r="VZO646" s="731"/>
      <c r="VZP646" s="733"/>
      <c r="VZQ646" s="731"/>
      <c r="VZR646" s="732"/>
      <c r="VZS646" s="731"/>
      <c r="VZT646" s="733"/>
      <c r="VZU646" s="731"/>
      <c r="VZV646" s="732"/>
      <c r="VZW646" s="731"/>
      <c r="VZX646" s="733"/>
      <c r="VZY646" s="731"/>
      <c r="VZZ646" s="732"/>
      <c r="WAA646" s="731"/>
      <c r="WAB646" s="733"/>
      <c r="WAC646" s="731"/>
      <c r="WAD646" s="732"/>
      <c r="WAE646" s="731"/>
      <c r="WAF646" s="733"/>
      <c r="WAG646" s="731"/>
      <c r="WAH646" s="732"/>
      <c r="WAI646" s="731"/>
      <c r="WAJ646" s="733"/>
      <c r="WAK646" s="731"/>
      <c r="WAL646" s="732"/>
      <c r="WAM646" s="731"/>
      <c r="WAN646" s="733"/>
      <c r="WAO646" s="731"/>
      <c r="WAP646" s="732"/>
      <c r="WAQ646" s="731"/>
      <c r="WAR646" s="733"/>
      <c r="WAS646" s="731"/>
      <c r="WAT646" s="732"/>
      <c r="WAU646" s="731"/>
      <c r="WAV646" s="733"/>
      <c r="WAW646" s="731"/>
      <c r="WAX646" s="732"/>
      <c r="WAY646" s="731"/>
      <c r="WAZ646" s="733"/>
      <c r="WBA646" s="731"/>
      <c r="WBB646" s="732"/>
      <c r="WBC646" s="731"/>
      <c r="WBD646" s="733"/>
      <c r="WBE646" s="731"/>
      <c r="WBF646" s="732"/>
      <c r="WBG646" s="731"/>
      <c r="WBH646" s="733"/>
      <c r="WBI646" s="731"/>
      <c r="WBJ646" s="732"/>
      <c r="WBK646" s="731"/>
      <c r="WBL646" s="733"/>
      <c r="WBM646" s="731"/>
      <c r="WBN646" s="732"/>
      <c r="WBO646" s="731"/>
      <c r="WBP646" s="733"/>
      <c r="WBQ646" s="731"/>
      <c r="WBR646" s="732"/>
      <c r="WBS646" s="731"/>
      <c r="WBT646" s="733"/>
      <c r="WBU646" s="731"/>
      <c r="WBV646" s="732"/>
      <c r="WBW646" s="731"/>
      <c r="WBX646" s="733"/>
      <c r="WBY646" s="731"/>
      <c r="WBZ646" s="732"/>
      <c r="WCA646" s="731"/>
      <c r="WCB646" s="733"/>
      <c r="WCC646" s="731"/>
      <c r="WCD646" s="732"/>
      <c r="WCE646" s="731"/>
      <c r="WCF646" s="733"/>
      <c r="WCG646" s="731"/>
      <c r="WCH646" s="732"/>
      <c r="WCI646" s="731"/>
      <c r="WCJ646" s="733"/>
      <c r="WCK646" s="731"/>
      <c r="WCL646" s="732"/>
      <c r="WCM646" s="731"/>
      <c r="WCN646" s="733"/>
      <c r="WCO646" s="731"/>
      <c r="WCP646" s="732"/>
      <c r="WCQ646" s="731"/>
      <c r="WCR646" s="733"/>
      <c r="WCS646" s="731"/>
      <c r="WCT646" s="732"/>
      <c r="WCU646" s="731"/>
      <c r="WCV646" s="733"/>
      <c r="WCW646" s="731"/>
      <c r="WCX646" s="732"/>
      <c r="WCY646" s="731"/>
      <c r="WCZ646" s="733"/>
      <c r="WDA646" s="731"/>
      <c r="WDB646" s="732"/>
      <c r="WDC646" s="731"/>
      <c r="WDD646" s="733"/>
      <c r="WDE646" s="731"/>
      <c r="WDF646" s="732"/>
      <c r="WDG646" s="731"/>
      <c r="WDH646" s="733"/>
      <c r="WDI646" s="731"/>
      <c r="WDJ646" s="732"/>
      <c r="WDK646" s="731"/>
      <c r="WDL646" s="733"/>
      <c r="WDM646" s="731"/>
      <c r="WDN646" s="732"/>
      <c r="WDO646" s="731"/>
      <c r="WDP646" s="733"/>
      <c r="WDQ646" s="731"/>
      <c r="WDR646" s="732"/>
      <c r="WDS646" s="731"/>
      <c r="WDT646" s="733"/>
      <c r="WDU646" s="731"/>
      <c r="WDV646" s="732"/>
      <c r="WDW646" s="731"/>
      <c r="WDX646" s="733"/>
      <c r="WDY646" s="731"/>
      <c r="WDZ646" s="732"/>
      <c r="WEA646" s="731"/>
      <c r="WEB646" s="733"/>
      <c r="WEC646" s="731"/>
      <c r="WED646" s="732"/>
      <c r="WEE646" s="731"/>
      <c r="WEF646" s="733"/>
      <c r="WEG646" s="731"/>
      <c r="WEH646" s="732"/>
      <c r="WEI646" s="731"/>
      <c r="WEJ646" s="733"/>
      <c r="WEK646" s="731"/>
      <c r="WEL646" s="732"/>
      <c r="WEM646" s="731"/>
      <c r="WEN646" s="733"/>
      <c r="WEO646" s="731"/>
      <c r="WEP646" s="732"/>
      <c r="WEQ646" s="731"/>
      <c r="WER646" s="733"/>
      <c r="WES646" s="731"/>
      <c r="WET646" s="732"/>
      <c r="WEU646" s="731"/>
      <c r="WEV646" s="733"/>
      <c r="WEW646" s="731"/>
      <c r="WEX646" s="732"/>
      <c r="WEY646" s="731"/>
      <c r="WEZ646" s="733"/>
      <c r="WFA646" s="731"/>
      <c r="WFB646" s="732"/>
      <c r="WFC646" s="731"/>
      <c r="WFD646" s="733"/>
      <c r="WFE646" s="731"/>
      <c r="WFF646" s="732"/>
      <c r="WFG646" s="731"/>
      <c r="WFH646" s="733"/>
      <c r="WFI646" s="731"/>
      <c r="WFJ646" s="732"/>
      <c r="WFK646" s="731"/>
      <c r="WFL646" s="733"/>
      <c r="WFM646" s="731"/>
      <c r="WFN646" s="732"/>
      <c r="WFO646" s="731"/>
      <c r="WFP646" s="733"/>
      <c r="WFQ646" s="731"/>
      <c r="WFR646" s="732"/>
      <c r="WFS646" s="731"/>
      <c r="WFT646" s="733"/>
      <c r="WFU646" s="731"/>
      <c r="WFV646" s="732"/>
      <c r="WFW646" s="731"/>
      <c r="WFX646" s="733"/>
      <c r="WFY646" s="731"/>
      <c r="WFZ646" s="732"/>
      <c r="WGA646" s="731"/>
      <c r="WGB646" s="733"/>
      <c r="WGC646" s="731"/>
      <c r="WGD646" s="732"/>
      <c r="WGE646" s="731"/>
      <c r="WGF646" s="733"/>
      <c r="WGG646" s="731"/>
      <c r="WGH646" s="732"/>
      <c r="WGI646" s="731"/>
      <c r="WGJ646" s="733"/>
      <c r="WGK646" s="731"/>
      <c r="WGL646" s="732"/>
      <c r="WGM646" s="731"/>
      <c r="WGN646" s="733"/>
      <c r="WGO646" s="731"/>
      <c r="WGP646" s="732"/>
      <c r="WGQ646" s="731"/>
      <c r="WGR646" s="733"/>
      <c r="WGS646" s="731"/>
      <c r="WGT646" s="732"/>
      <c r="WGU646" s="731"/>
      <c r="WGV646" s="733"/>
      <c r="WGW646" s="731"/>
      <c r="WGX646" s="732"/>
      <c r="WGY646" s="731"/>
      <c r="WGZ646" s="733"/>
      <c r="WHA646" s="731"/>
      <c r="WHB646" s="732"/>
      <c r="WHC646" s="731"/>
      <c r="WHD646" s="733"/>
      <c r="WHE646" s="731"/>
      <c r="WHF646" s="732"/>
      <c r="WHG646" s="731"/>
      <c r="WHH646" s="733"/>
      <c r="WHI646" s="731"/>
      <c r="WHJ646" s="732"/>
      <c r="WHK646" s="731"/>
      <c r="WHL646" s="733"/>
      <c r="WHM646" s="731"/>
      <c r="WHN646" s="732"/>
      <c r="WHO646" s="731"/>
      <c r="WHP646" s="733"/>
      <c r="WHQ646" s="731"/>
      <c r="WHR646" s="732"/>
      <c r="WHS646" s="731"/>
      <c r="WHT646" s="733"/>
      <c r="WHU646" s="731"/>
      <c r="WHV646" s="732"/>
      <c r="WHW646" s="731"/>
      <c r="WHX646" s="733"/>
      <c r="WHY646" s="731"/>
      <c r="WHZ646" s="732"/>
      <c r="WIA646" s="731"/>
      <c r="WIB646" s="733"/>
      <c r="WIC646" s="731"/>
      <c r="WID646" s="732"/>
      <c r="WIE646" s="731"/>
      <c r="WIF646" s="733"/>
      <c r="WIG646" s="731"/>
      <c r="WIH646" s="732"/>
      <c r="WII646" s="731"/>
      <c r="WIJ646" s="733"/>
      <c r="WIK646" s="731"/>
      <c r="WIL646" s="732"/>
      <c r="WIM646" s="731"/>
      <c r="WIN646" s="733"/>
      <c r="WIO646" s="731"/>
      <c r="WIP646" s="732"/>
      <c r="WIQ646" s="731"/>
      <c r="WIR646" s="733"/>
      <c r="WIS646" s="731"/>
      <c r="WIT646" s="732"/>
      <c r="WIU646" s="731"/>
      <c r="WIV646" s="733"/>
      <c r="WIW646" s="731"/>
      <c r="WIX646" s="732"/>
      <c r="WIY646" s="731"/>
      <c r="WIZ646" s="733"/>
      <c r="WJA646" s="731"/>
      <c r="WJB646" s="732"/>
      <c r="WJC646" s="731"/>
      <c r="WJD646" s="733"/>
      <c r="WJE646" s="731"/>
      <c r="WJF646" s="732"/>
      <c r="WJG646" s="731"/>
      <c r="WJH646" s="733"/>
      <c r="WJI646" s="731"/>
      <c r="WJJ646" s="732"/>
      <c r="WJK646" s="731"/>
      <c r="WJL646" s="733"/>
      <c r="WJM646" s="731"/>
      <c r="WJN646" s="732"/>
      <c r="WJO646" s="731"/>
      <c r="WJP646" s="733"/>
      <c r="WJQ646" s="731"/>
      <c r="WJR646" s="732"/>
      <c r="WJS646" s="731"/>
      <c r="WJT646" s="733"/>
      <c r="WJU646" s="731"/>
      <c r="WJV646" s="732"/>
      <c r="WJW646" s="731"/>
      <c r="WJX646" s="733"/>
      <c r="WJY646" s="731"/>
      <c r="WJZ646" s="732"/>
      <c r="WKA646" s="731"/>
      <c r="WKB646" s="733"/>
      <c r="WKC646" s="731"/>
      <c r="WKD646" s="732"/>
      <c r="WKE646" s="731"/>
      <c r="WKF646" s="733"/>
      <c r="WKG646" s="731"/>
      <c r="WKH646" s="732"/>
      <c r="WKI646" s="731"/>
      <c r="WKJ646" s="733"/>
      <c r="WKK646" s="731"/>
      <c r="WKL646" s="732"/>
      <c r="WKM646" s="731"/>
      <c r="WKN646" s="733"/>
      <c r="WKO646" s="731"/>
      <c r="WKP646" s="732"/>
      <c r="WKQ646" s="731"/>
      <c r="WKR646" s="733"/>
      <c r="WKS646" s="731"/>
      <c r="WKT646" s="732"/>
      <c r="WKU646" s="731"/>
      <c r="WKV646" s="733"/>
      <c r="WKW646" s="731"/>
      <c r="WKX646" s="732"/>
      <c r="WKY646" s="731"/>
      <c r="WKZ646" s="733"/>
      <c r="WLA646" s="731"/>
      <c r="WLB646" s="732"/>
      <c r="WLC646" s="731"/>
      <c r="WLD646" s="733"/>
      <c r="WLE646" s="731"/>
      <c r="WLF646" s="732"/>
      <c r="WLG646" s="731"/>
      <c r="WLH646" s="733"/>
      <c r="WLI646" s="731"/>
      <c r="WLJ646" s="732"/>
      <c r="WLK646" s="731"/>
      <c r="WLL646" s="733"/>
      <c r="WLM646" s="731"/>
      <c r="WLN646" s="732"/>
      <c r="WLO646" s="731"/>
      <c r="WLP646" s="733"/>
      <c r="WLQ646" s="731"/>
      <c r="WLR646" s="732"/>
      <c r="WLS646" s="731"/>
      <c r="WLT646" s="733"/>
      <c r="WLU646" s="731"/>
      <c r="WLV646" s="732"/>
      <c r="WLW646" s="731"/>
      <c r="WLX646" s="733"/>
      <c r="WLY646" s="731"/>
      <c r="WLZ646" s="732"/>
      <c r="WMA646" s="731"/>
      <c r="WMB646" s="733"/>
      <c r="WMC646" s="731"/>
      <c r="WMD646" s="732"/>
      <c r="WME646" s="731"/>
      <c r="WMF646" s="733"/>
      <c r="WMG646" s="731"/>
      <c r="WMH646" s="732"/>
      <c r="WMI646" s="731"/>
      <c r="WMJ646" s="733"/>
      <c r="WMK646" s="731"/>
      <c r="WML646" s="732"/>
      <c r="WMM646" s="731"/>
      <c r="WMN646" s="733"/>
      <c r="WMO646" s="731"/>
      <c r="WMP646" s="732"/>
      <c r="WMQ646" s="731"/>
      <c r="WMR646" s="733"/>
      <c r="WMS646" s="731"/>
      <c r="WMT646" s="732"/>
      <c r="WMU646" s="731"/>
      <c r="WMV646" s="733"/>
      <c r="WMW646" s="731"/>
      <c r="WMX646" s="732"/>
      <c r="WMY646" s="731"/>
      <c r="WMZ646" s="733"/>
      <c r="WNA646" s="731"/>
      <c r="WNB646" s="732"/>
      <c r="WNC646" s="731"/>
      <c r="WND646" s="733"/>
      <c r="WNE646" s="731"/>
      <c r="WNF646" s="732"/>
      <c r="WNG646" s="731"/>
      <c r="WNH646" s="733"/>
      <c r="WNI646" s="731"/>
      <c r="WNJ646" s="732"/>
      <c r="WNK646" s="731"/>
      <c r="WNL646" s="733"/>
      <c r="WNM646" s="731"/>
      <c r="WNN646" s="732"/>
      <c r="WNO646" s="731"/>
      <c r="WNP646" s="733"/>
      <c r="WNQ646" s="731"/>
      <c r="WNR646" s="732"/>
      <c r="WNS646" s="731"/>
      <c r="WNT646" s="733"/>
      <c r="WNU646" s="731"/>
      <c r="WNV646" s="732"/>
      <c r="WNW646" s="731"/>
      <c r="WNX646" s="733"/>
      <c r="WNY646" s="731"/>
      <c r="WNZ646" s="732"/>
      <c r="WOA646" s="731"/>
      <c r="WOB646" s="733"/>
      <c r="WOC646" s="731"/>
      <c r="WOD646" s="732"/>
      <c r="WOE646" s="731"/>
      <c r="WOF646" s="733"/>
      <c r="WOG646" s="731"/>
      <c r="WOH646" s="732"/>
      <c r="WOI646" s="731"/>
      <c r="WOJ646" s="733"/>
      <c r="WOK646" s="731"/>
      <c r="WOL646" s="732"/>
      <c r="WOM646" s="731"/>
      <c r="WON646" s="733"/>
      <c r="WOO646" s="731"/>
      <c r="WOP646" s="732"/>
      <c r="WOQ646" s="731"/>
      <c r="WOR646" s="733"/>
      <c r="WOS646" s="731"/>
      <c r="WOT646" s="732"/>
      <c r="WOU646" s="731"/>
      <c r="WOV646" s="733"/>
      <c r="WOW646" s="731"/>
      <c r="WOX646" s="732"/>
      <c r="WOY646" s="731"/>
      <c r="WOZ646" s="733"/>
      <c r="WPA646" s="731"/>
      <c r="WPB646" s="732"/>
      <c r="WPC646" s="731"/>
      <c r="WPD646" s="733"/>
      <c r="WPE646" s="731"/>
      <c r="WPF646" s="732"/>
      <c r="WPG646" s="731"/>
      <c r="WPH646" s="733"/>
      <c r="WPI646" s="731"/>
      <c r="WPJ646" s="732"/>
      <c r="WPK646" s="731"/>
      <c r="WPL646" s="733"/>
      <c r="WPM646" s="731"/>
      <c r="WPN646" s="732"/>
      <c r="WPO646" s="731"/>
      <c r="WPP646" s="733"/>
      <c r="WPQ646" s="731"/>
      <c r="WPR646" s="732"/>
      <c r="WPS646" s="731"/>
      <c r="WPT646" s="733"/>
      <c r="WPU646" s="731"/>
      <c r="WPV646" s="732"/>
      <c r="WPW646" s="731"/>
      <c r="WPX646" s="733"/>
      <c r="WPY646" s="731"/>
      <c r="WPZ646" s="732"/>
      <c r="WQA646" s="731"/>
      <c r="WQB646" s="733"/>
      <c r="WQC646" s="731"/>
      <c r="WQD646" s="732"/>
      <c r="WQE646" s="731"/>
      <c r="WQF646" s="733"/>
      <c r="WQG646" s="731"/>
      <c r="WQH646" s="732"/>
      <c r="WQI646" s="731"/>
      <c r="WQJ646" s="733"/>
      <c r="WQK646" s="731"/>
      <c r="WQL646" s="732"/>
      <c r="WQM646" s="731"/>
      <c r="WQN646" s="733"/>
      <c r="WQO646" s="731"/>
      <c r="WQP646" s="732"/>
      <c r="WQQ646" s="731"/>
      <c r="WQR646" s="733"/>
      <c r="WQS646" s="731"/>
      <c r="WQT646" s="732"/>
      <c r="WQU646" s="731"/>
      <c r="WQV646" s="733"/>
      <c r="WQW646" s="731"/>
      <c r="WQX646" s="732"/>
      <c r="WQY646" s="731"/>
      <c r="WQZ646" s="733"/>
      <c r="WRA646" s="731"/>
      <c r="WRB646" s="732"/>
      <c r="WRC646" s="731"/>
      <c r="WRD646" s="733"/>
      <c r="WRE646" s="731"/>
      <c r="WRF646" s="732"/>
      <c r="WRG646" s="731"/>
      <c r="WRH646" s="733"/>
      <c r="WRI646" s="731"/>
      <c r="WRJ646" s="732"/>
      <c r="WRK646" s="731"/>
      <c r="WRL646" s="733"/>
      <c r="WRM646" s="731"/>
      <c r="WRN646" s="732"/>
      <c r="WRO646" s="731"/>
      <c r="WRP646" s="733"/>
      <c r="WRQ646" s="731"/>
      <c r="WRR646" s="732"/>
      <c r="WRS646" s="731"/>
      <c r="WRT646" s="733"/>
      <c r="WRU646" s="731"/>
      <c r="WRV646" s="732"/>
      <c r="WRW646" s="731"/>
      <c r="WRX646" s="733"/>
      <c r="WRY646" s="731"/>
      <c r="WRZ646" s="732"/>
      <c r="WSA646" s="731"/>
      <c r="WSB646" s="733"/>
      <c r="WSC646" s="731"/>
      <c r="WSD646" s="732"/>
      <c r="WSE646" s="731"/>
      <c r="WSF646" s="733"/>
      <c r="WSG646" s="731"/>
      <c r="WSH646" s="732"/>
      <c r="WSI646" s="731"/>
      <c r="WSJ646" s="733"/>
      <c r="WSK646" s="731"/>
      <c r="WSL646" s="732"/>
      <c r="WSM646" s="731"/>
      <c r="WSN646" s="733"/>
      <c r="WSO646" s="731"/>
      <c r="WSP646" s="732"/>
      <c r="WSQ646" s="731"/>
      <c r="WSR646" s="733"/>
      <c r="WSS646" s="731"/>
      <c r="WST646" s="732"/>
      <c r="WSU646" s="731"/>
      <c r="WSV646" s="733"/>
      <c r="WSW646" s="731"/>
      <c r="WSX646" s="732"/>
      <c r="WSY646" s="731"/>
      <c r="WSZ646" s="733"/>
      <c r="WTA646" s="731"/>
      <c r="WTB646" s="732"/>
      <c r="WTC646" s="731"/>
      <c r="WTD646" s="733"/>
      <c r="WTE646" s="731"/>
      <c r="WTF646" s="732"/>
      <c r="WTG646" s="731"/>
      <c r="WTH646" s="733"/>
      <c r="WTI646" s="731"/>
      <c r="WTJ646" s="732"/>
      <c r="WTK646" s="731"/>
      <c r="WTL646" s="733"/>
      <c r="WTM646" s="731"/>
      <c r="WTN646" s="732"/>
      <c r="WTO646" s="731"/>
      <c r="WTP646" s="733"/>
      <c r="WTQ646" s="731"/>
      <c r="WTR646" s="732"/>
      <c r="WTS646" s="731"/>
      <c r="WTT646" s="733"/>
      <c r="WTU646" s="731"/>
      <c r="WTV646" s="732"/>
      <c r="WTW646" s="731"/>
      <c r="WTX646" s="733"/>
      <c r="WTY646" s="731"/>
      <c r="WTZ646" s="732"/>
      <c r="WUA646" s="731"/>
      <c r="WUB646" s="733"/>
      <c r="WUC646" s="731"/>
      <c r="WUD646" s="732"/>
      <c r="WUE646" s="731"/>
      <c r="WUF646" s="733"/>
      <c r="WUG646" s="731"/>
      <c r="WUH646" s="732"/>
      <c r="WUI646" s="731"/>
      <c r="WUJ646" s="733"/>
      <c r="WUK646" s="731"/>
      <c r="WUL646" s="732"/>
      <c r="WUM646" s="731"/>
      <c r="WUN646" s="733"/>
      <c r="WUO646" s="731"/>
      <c r="WUP646" s="732"/>
      <c r="WUQ646" s="731"/>
      <c r="WUR646" s="733"/>
      <c r="WUS646" s="731"/>
      <c r="WUT646" s="732"/>
      <c r="WUU646" s="731"/>
      <c r="WUV646" s="733"/>
      <c r="WUW646" s="731"/>
      <c r="WUX646" s="732"/>
      <c r="WUY646" s="731"/>
      <c r="WUZ646" s="733"/>
      <c r="WVA646" s="731"/>
      <c r="WVB646" s="732"/>
      <c r="WVC646" s="731"/>
      <c r="WVD646" s="733"/>
      <c r="WVE646" s="731"/>
      <c r="WVF646" s="732"/>
      <c r="WVG646" s="731"/>
      <c r="WVH646" s="733"/>
      <c r="WVI646" s="731"/>
      <c r="WVJ646" s="732"/>
      <c r="WVK646" s="731"/>
      <c r="WVL646" s="733"/>
      <c r="WVM646" s="731"/>
      <c r="WVN646" s="732"/>
      <c r="WVO646" s="731"/>
      <c r="WVP646" s="733"/>
      <c r="WVQ646" s="731"/>
      <c r="WVR646" s="732"/>
      <c r="WVS646" s="731"/>
      <c r="WVT646" s="733"/>
      <c r="WVU646" s="731"/>
      <c r="WVV646" s="732"/>
      <c r="WVW646" s="731"/>
      <c r="WVX646" s="733"/>
      <c r="WVY646" s="731"/>
      <c r="WVZ646" s="732"/>
      <c r="WWA646" s="731"/>
      <c r="WWB646" s="733"/>
      <c r="WWC646" s="731"/>
      <c r="WWD646" s="732"/>
      <c r="WWE646" s="731"/>
      <c r="WWF646" s="733"/>
      <c r="WWG646" s="731"/>
      <c r="WWH646" s="732"/>
      <c r="WWI646" s="731"/>
      <c r="WWJ646" s="733"/>
      <c r="WWK646" s="731"/>
      <c r="WWL646" s="732"/>
      <c r="WWM646" s="731"/>
      <c r="WWN646" s="733"/>
      <c r="WWO646" s="731"/>
      <c r="WWP646" s="732"/>
      <c r="WWQ646" s="731"/>
      <c r="WWR646" s="733"/>
      <c r="WWS646" s="731"/>
      <c r="WWT646" s="732"/>
      <c r="WWU646" s="731"/>
      <c r="WWV646" s="733"/>
      <c r="WWW646" s="731"/>
      <c r="WWX646" s="732"/>
      <c r="WWY646" s="731"/>
      <c r="WWZ646" s="733"/>
      <c r="WXA646" s="731"/>
      <c r="WXB646" s="732"/>
      <c r="WXC646" s="731"/>
      <c r="WXD646" s="733"/>
      <c r="WXE646" s="731"/>
      <c r="WXF646" s="732"/>
      <c r="WXG646" s="731"/>
      <c r="WXH646" s="733"/>
      <c r="WXI646" s="731"/>
      <c r="WXJ646" s="732"/>
      <c r="WXK646" s="731"/>
      <c r="WXL646" s="733"/>
      <c r="WXM646" s="731"/>
      <c r="WXN646" s="732"/>
      <c r="WXO646" s="731"/>
      <c r="WXP646" s="733"/>
      <c r="WXQ646" s="731"/>
      <c r="WXR646" s="732"/>
      <c r="WXS646" s="731"/>
      <c r="WXT646" s="733"/>
      <c r="WXU646" s="731"/>
      <c r="WXV646" s="732"/>
      <c r="WXW646" s="731"/>
      <c r="WXX646" s="733"/>
      <c r="WXY646" s="731"/>
      <c r="WXZ646" s="732"/>
      <c r="WYA646" s="731"/>
      <c r="WYB646" s="733"/>
      <c r="WYC646" s="731"/>
      <c r="WYD646" s="732"/>
      <c r="WYE646" s="731"/>
      <c r="WYF646" s="733"/>
      <c r="WYG646" s="731"/>
      <c r="WYH646" s="732"/>
      <c r="WYI646" s="731"/>
      <c r="WYJ646" s="733"/>
      <c r="WYK646" s="731"/>
      <c r="WYL646" s="732"/>
      <c r="WYM646" s="731"/>
      <c r="WYN646" s="733"/>
      <c r="WYO646" s="731"/>
      <c r="WYP646" s="732"/>
      <c r="WYQ646" s="731"/>
      <c r="WYR646" s="733"/>
      <c r="WYS646" s="731"/>
      <c r="WYT646" s="732"/>
      <c r="WYU646" s="731"/>
      <c r="WYV646" s="733"/>
      <c r="WYW646" s="731"/>
      <c r="WYX646" s="732"/>
      <c r="WYY646" s="731"/>
      <c r="WYZ646" s="733"/>
      <c r="WZA646" s="731"/>
      <c r="WZB646" s="732"/>
      <c r="WZC646" s="731"/>
      <c r="WZD646" s="733"/>
      <c r="WZE646" s="731"/>
      <c r="WZF646" s="732"/>
      <c r="WZG646" s="731"/>
      <c r="WZH646" s="733"/>
      <c r="WZI646" s="731"/>
      <c r="WZJ646" s="732"/>
      <c r="WZK646" s="731"/>
      <c r="WZL646" s="733"/>
      <c r="WZM646" s="731"/>
      <c r="WZN646" s="732"/>
      <c r="WZO646" s="731"/>
      <c r="WZP646" s="733"/>
      <c r="WZQ646" s="731"/>
      <c r="WZR646" s="732"/>
      <c r="WZS646" s="731"/>
      <c r="WZT646" s="733"/>
      <c r="WZU646" s="731"/>
      <c r="WZV646" s="732"/>
      <c r="WZW646" s="731"/>
      <c r="WZX646" s="733"/>
      <c r="WZY646" s="731"/>
      <c r="WZZ646" s="732"/>
      <c r="XAA646" s="731"/>
      <c r="XAB646" s="733"/>
      <c r="XAC646" s="731"/>
      <c r="XAD646" s="732"/>
      <c r="XAE646" s="731"/>
      <c r="XAF646" s="733"/>
      <c r="XAG646" s="731"/>
      <c r="XAH646" s="732"/>
      <c r="XAI646" s="731"/>
      <c r="XAJ646" s="733"/>
      <c r="XAK646" s="731"/>
      <c r="XAL646" s="732"/>
      <c r="XAM646" s="731"/>
      <c r="XAN646" s="733"/>
      <c r="XAO646" s="731"/>
      <c r="XAP646" s="732"/>
      <c r="XAQ646" s="731"/>
      <c r="XAR646" s="733"/>
      <c r="XAS646" s="731"/>
      <c r="XAT646" s="732"/>
      <c r="XAU646" s="731"/>
      <c r="XAV646" s="733"/>
      <c r="XAW646" s="731"/>
      <c r="XAX646" s="732"/>
      <c r="XAY646" s="731"/>
      <c r="XAZ646" s="733"/>
      <c r="XBA646" s="731"/>
      <c r="XBB646" s="732"/>
      <c r="XBC646" s="731"/>
      <c r="XBD646" s="733"/>
      <c r="XBE646" s="731"/>
      <c r="XBF646" s="732"/>
      <c r="XBG646" s="731"/>
      <c r="XBH646" s="733"/>
      <c r="XBI646" s="731"/>
      <c r="XBJ646" s="732"/>
      <c r="XBK646" s="731"/>
      <c r="XBL646" s="733"/>
      <c r="XBM646" s="731"/>
      <c r="XBN646" s="732"/>
      <c r="XBO646" s="731"/>
      <c r="XBP646" s="733"/>
      <c r="XBQ646" s="731"/>
      <c r="XBR646" s="732"/>
      <c r="XBS646" s="731"/>
      <c r="XBT646" s="733"/>
      <c r="XBU646" s="731"/>
      <c r="XBV646" s="732"/>
      <c r="XBW646" s="731"/>
      <c r="XBX646" s="733"/>
      <c r="XBY646" s="731"/>
      <c r="XBZ646" s="732"/>
      <c r="XCA646" s="731"/>
      <c r="XCB646" s="733"/>
      <c r="XCC646" s="731"/>
      <c r="XCD646" s="732"/>
      <c r="XCE646" s="731"/>
      <c r="XCF646" s="733"/>
      <c r="XCG646" s="731"/>
      <c r="XCH646" s="732"/>
      <c r="XCI646" s="731"/>
      <c r="XCJ646" s="733"/>
      <c r="XCK646" s="731"/>
      <c r="XCL646" s="732"/>
      <c r="XCM646" s="731"/>
      <c r="XCN646" s="733"/>
      <c r="XCO646" s="731"/>
      <c r="XCP646" s="732"/>
      <c r="XCQ646" s="731"/>
      <c r="XCR646" s="733"/>
      <c r="XCS646" s="731"/>
      <c r="XCT646" s="732"/>
      <c r="XCU646" s="731"/>
      <c r="XCV646" s="733"/>
      <c r="XCW646" s="731"/>
      <c r="XCX646" s="732"/>
      <c r="XCY646" s="731"/>
      <c r="XCZ646" s="733"/>
      <c r="XDA646" s="731"/>
      <c r="XDB646" s="732"/>
      <c r="XDC646" s="731"/>
      <c r="XDD646" s="733"/>
      <c r="XDE646" s="731"/>
      <c r="XDF646" s="732"/>
      <c r="XDG646" s="731"/>
      <c r="XDH646" s="733"/>
      <c r="XDI646" s="731"/>
      <c r="XDJ646" s="732"/>
      <c r="XDK646" s="731"/>
      <c r="XDL646" s="733"/>
      <c r="XDM646" s="731"/>
      <c r="XDN646" s="732"/>
      <c r="XDO646" s="731"/>
      <c r="XDP646" s="733"/>
      <c r="XDQ646" s="731"/>
      <c r="XDR646" s="732"/>
      <c r="XDS646" s="731"/>
      <c r="XDT646" s="733"/>
      <c r="XDU646" s="731"/>
      <c r="XDV646" s="732"/>
      <c r="XDW646" s="731"/>
      <c r="XDX646" s="733"/>
      <c r="XDY646" s="731"/>
      <c r="XDZ646" s="732"/>
      <c r="XEA646" s="731"/>
      <c r="XEB646" s="733"/>
      <c r="XEC646" s="731"/>
      <c r="XED646" s="732"/>
      <c r="XEE646" s="731"/>
      <c r="XEF646" s="733"/>
      <c r="XEG646" s="731"/>
      <c r="XEH646" s="732"/>
      <c r="XEI646" s="731"/>
      <c r="XEJ646" s="733"/>
      <c r="XEK646" s="731"/>
      <c r="XEL646" s="732"/>
      <c r="XEM646" s="731"/>
      <c r="XEN646" s="733"/>
      <c r="XEO646" s="731"/>
      <c r="XEP646" s="732"/>
      <c r="XEQ646" s="731"/>
      <c r="XER646" s="733"/>
      <c r="XES646" s="731"/>
      <c r="XET646" s="732"/>
      <c r="XEU646" s="731"/>
      <c r="XEV646" s="733"/>
      <c r="XEW646" s="731"/>
      <c r="XEX646" s="732"/>
      <c r="XEY646" s="731"/>
      <c r="XEZ646" s="733"/>
      <c r="XFA646" s="731"/>
      <c r="XFB646" s="732"/>
      <c r="XFC646" s="731"/>
      <c r="XFD646" s="733"/>
    </row>
    <row r="647" spans="1:16384" s="712" customFormat="1" x14ac:dyDescent="0.3">
      <c r="A647" s="714">
        <v>3016</v>
      </c>
      <c r="B647" s="720" t="s">
        <v>557</v>
      </c>
      <c r="C647" s="721">
        <v>3824222256</v>
      </c>
      <c r="D647" s="716"/>
      <c r="F647" s="713"/>
    </row>
    <row r="648" spans="1:16384" s="712" customFormat="1" x14ac:dyDescent="0.3">
      <c r="A648" s="714">
        <v>3017</v>
      </c>
      <c r="B648" s="720" t="s">
        <v>558</v>
      </c>
      <c r="C648" s="714">
        <v>9436465941</v>
      </c>
      <c r="D648" s="716"/>
      <c r="F648" s="713"/>
    </row>
    <row r="649" spans="1:16384" s="712" customFormat="1" x14ac:dyDescent="0.25">
      <c r="A649" s="714">
        <v>3020</v>
      </c>
      <c r="B649" s="715" t="s">
        <v>1184</v>
      </c>
      <c r="C649" s="714">
        <v>9436469068</v>
      </c>
      <c r="D649" s="718" t="s">
        <v>559</v>
      </c>
      <c r="F649" s="713"/>
    </row>
    <row r="650" spans="1:16384" s="712" customFormat="1" x14ac:dyDescent="0.25">
      <c r="A650" s="714">
        <v>3021</v>
      </c>
      <c r="B650" s="715" t="s">
        <v>1185</v>
      </c>
      <c r="C650" s="714">
        <v>9436189409</v>
      </c>
      <c r="D650" s="718" t="s">
        <v>560</v>
      </c>
      <c r="F650" s="713"/>
    </row>
    <row r="651" spans="1:16384" s="712" customFormat="1" x14ac:dyDescent="0.3">
      <c r="A651" s="714">
        <v>3022</v>
      </c>
      <c r="B651" s="715" t="s">
        <v>1186</v>
      </c>
      <c r="C651" s="714">
        <v>9774154311</v>
      </c>
      <c r="D651" s="716"/>
      <c r="F651" s="713"/>
    </row>
    <row r="652" spans="1:16384" s="712" customFormat="1" x14ac:dyDescent="0.3">
      <c r="A652" s="714">
        <v>3027</v>
      </c>
      <c r="B652" s="715" t="s">
        <v>1187</v>
      </c>
      <c r="C652" s="714">
        <v>9402136892</v>
      </c>
      <c r="D652" s="716"/>
      <c r="F652" s="713"/>
    </row>
    <row r="653" spans="1:16384" s="712" customFormat="1" x14ac:dyDescent="0.25">
      <c r="A653" s="714">
        <v>3029</v>
      </c>
      <c r="B653" s="715" t="s">
        <v>1188</v>
      </c>
      <c r="C653" s="714">
        <v>9436138344</v>
      </c>
      <c r="D653" s="718" t="s">
        <v>561</v>
      </c>
      <c r="F653" s="713"/>
    </row>
    <row r="654" spans="1:16384" s="712" customFormat="1" x14ac:dyDescent="0.25">
      <c r="A654" s="714">
        <v>3032</v>
      </c>
      <c r="B654" s="720" t="s">
        <v>562</v>
      </c>
      <c r="C654" s="721">
        <v>9436989894</v>
      </c>
      <c r="D654" s="718" t="s">
        <v>563</v>
      </c>
      <c r="F654" s="713"/>
    </row>
    <row r="655" spans="1:16384" s="712" customFormat="1" x14ac:dyDescent="0.25">
      <c r="A655" s="714">
        <v>3053</v>
      </c>
      <c r="B655" s="720" t="s">
        <v>564</v>
      </c>
      <c r="C655" s="721">
        <v>9485145548</v>
      </c>
      <c r="D655" s="718" t="s">
        <v>565</v>
      </c>
      <c r="F655" s="713"/>
    </row>
    <row r="656" spans="1:16384" s="712" customFormat="1" x14ac:dyDescent="0.25">
      <c r="A656" s="717">
        <v>3054</v>
      </c>
      <c r="B656" s="720" t="s">
        <v>566</v>
      </c>
      <c r="C656" s="721">
        <v>9436188567</v>
      </c>
      <c r="D656" s="718"/>
      <c r="F656" s="713"/>
    </row>
    <row r="657" spans="1:16384" s="712" customFormat="1" x14ac:dyDescent="0.3">
      <c r="A657" s="714">
        <v>3056</v>
      </c>
      <c r="B657" s="715" t="s">
        <v>1189</v>
      </c>
      <c r="C657" s="714">
        <v>9402343496</v>
      </c>
      <c r="D657" s="716"/>
      <c r="F657" s="713"/>
    </row>
    <row r="658" spans="1:16384" s="712" customFormat="1" x14ac:dyDescent="0.3">
      <c r="A658" s="714">
        <v>3061</v>
      </c>
      <c r="B658" s="720" t="s">
        <v>567</v>
      </c>
      <c r="C658" s="721">
        <v>9612452236</v>
      </c>
      <c r="D658" s="716"/>
      <c r="F658" s="713"/>
    </row>
    <row r="659" spans="1:16384" s="712" customFormat="1" x14ac:dyDescent="0.25">
      <c r="A659" s="714">
        <v>3063</v>
      </c>
      <c r="B659" s="720" t="s">
        <v>568</v>
      </c>
      <c r="C659" s="714">
        <v>9436329294</v>
      </c>
      <c r="D659" s="718" t="s">
        <v>569</v>
      </c>
      <c r="F659" s="713"/>
    </row>
    <row r="660" spans="1:16384" s="712" customFormat="1" x14ac:dyDescent="0.25">
      <c r="A660" s="714">
        <v>3065</v>
      </c>
      <c r="B660" s="715" t="s">
        <v>1190</v>
      </c>
      <c r="C660" s="714">
        <v>9436184247</v>
      </c>
      <c r="D660" s="718" t="s">
        <v>570</v>
      </c>
      <c r="F660" s="713"/>
    </row>
    <row r="661" spans="1:16384" s="712" customFormat="1" x14ac:dyDescent="0.25">
      <c r="A661" s="714">
        <v>3068</v>
      </c>
      <c r="B661" s="720" t="s">
        <v>571</v>
      </c>
      <c r="C661" s="721">
        <v>9862981429</v>
      </c>
      <c r="D661" s="718" t="s">
        <v>572</v>
      </c>
      <c r="E661" s="734"/>
      <c r="F661" s="735"/>
      <c r="G661" s="734"/>
      <c r="H661" s="733"/>
      <c r="I661" s="734"/>
      <c r="J661" s="735"/>
      <c r="K661" s="734"/>
      <c r="L661" s="733"/>
      <c r="M661" s="734"/>
      <c r="N661" s="735"/>
      <c r="O661" s="734"/>
      <c r="P661" s="733"/>
      <c r="Q661" s="734"/>
      <c r="R661" s="735"/>
      <c r="S661" s="734"/>
      <c r="T661" s="733"/>
      <c r="U661" s="734"/>
      <c r="V661" s="735"/>
      <c r="W661" s="734"/>
      <c r="X661" s="733"/>
      <c r="Y661" s="734"/>
      <c r="Z661" s="735"/>
      <c r="AA661" s="734"/>
      <c r="AB661" s="733"/>
      <c r="AC661" s="734"/>
      <c r="AD661" s="735"/>
      <c r="AE661" s="734"/>
      <c r="AF661" s="733"/>
      <c r="AG661" s="734"/>
      <c r="AH661" s="735"/>
      <c r="AI661" s="734"/>
      <c r="AJ661" s="733"/>
      <c r="AK661" s="734"/>
      <c r="AL661" s="735"/>
      <c r="AM661" s="734"/>
      <c r="AN661" s="733"/>
      <c r="AO661" s="734"/>
      <c r="AP661" s="735"/>
      <c r="AQ661" s="734"/>
      <c r="AR661" s="733"/>
      <c r="AS661" s="734"/>
      <c r="AT661" s="735"/>
      <c r="AU661" s="734"/>
      <c r="AV661" s="733"/>
      <c r="AW661" s="734"/>
      <c r="AX661" s="735"/>
      <c r="AY661" s="734"/>
      <c r="AZ661" s="733"/>
      <c r="BA661" s="734"/>
      <c r="BB661" s="735"/>
      <c r="BC661" s="734"/>
      <c r="BD661" s="733"/>
      <c r="BE661" s="734"/>
      <c r="BF661" s="735"/>
      <c r="BG661" s="734"/>
      <c r="BH661" s="733"/>
      <c r="BI661" s="734"/>
      <c r="BJ661" s="735"/>
      <c r="BK661" s="734"/>
      <c r="BL661" s="733"/>
      <c r="BM661" s="734"/>
      <c r="BN661" s="735"/>
      <c r="BO661" s="734"/>
      <c r="BP661" s="733"/>
      <c r="BQ661" s="734"/>
      <c r="BR661" s="735"/>
      <c r="BS661" s="734"/>
      <c r="BT661" s="733"/>
      <c r="BU661" s="734"/>
      <c r="BV661" s="735"/>
      <c r="BW661" s="734"/>
      <c r="BX661" s="733"/>
      <c r="BY661" s="734"/>
      <c r="BZ661" s="735"/>
      <c r="CA661" s="734"/>
      <c r="CB661" s="733"/>
      <c r="CC661" s="734"/>
      <c r="CD661" s="735"/>
      <c r="CE661" s="734"/>
      <c r="CF661" s="733"/>
      <c r="CG661" s="734"/>
      <c r="CH661" s="735"/>
      <c r="CI661" s="734"/>
      <c r="CJ661" s="733"/>
      <c r="CK661" s="734"/>
      <c r="CL661" s="735"/>
      <c r="CM661" s="734"/>
      <c r="CN661" s="733"/>
      <c r="CO661" s="734"/>
      <c r="CP661" s="735"/>
      <c r="CQ661" s="734"/>
      <c r="CR661" s="733"/>
      <c r="CS661" s="734"/>
      <c r="CT661" s="735"/>
      <c r="CU661" s="734"/>
      <c r="CV661" s="733"/>
      <c r="CW661" s="734"/>
      <c r="CX661" s="735"/>
      <c r="CY661" s="734"/>
      <c r="CZ661" s="733"/>
      <c r="DA661" s="734"/>
      <c r="DB661" s="735"/>
      <c r="DC661" s="734"/>
      <c r="DD661" s="733"/>
      <c r="DE661" s="734"/>
      <c r="DF661" s="735"/>
      <c r="DG661" s="734"/>
      <c r="DH661" s="733"/>
      <c r="DI661" s="734"/>
      <c r="DJ661" s="735"/>
      <c r="DK661" s="734"/>
      <c r="DL661" s="733"/>
      <c r="DM661" s="734"/>
      <c r="DN661" s="735"/>
      <c r="DO661" s="734"/>
      <c r="DP661" s="733"/>
      <c r="DQ661" s="734"/>
      <c r="DR661" s="735"/>
      <c r="DS661" s="734"/>
      <c r="DT661" s="733"/>
      <c r="DU661" s="734"/>
      <c r="DV661" s="735"/>
      <c r="DW661" s="734"/>
      <c r="DX661" s="733"/>
      <c r="DY661" s="734"/>
      <c r="DZ661" s="735"/>
      <c r="EA661" s="734"/>
      <c r="EB661" s="733"/>
      <c r="EC661" s="734"/>
      <c r="ED661" s="735"/>
      <c r="EE661" s="734"/>
      <c r="EF661" s="733"/>
      <c r="EG661" s="734"/>
      <c r="EH661" s="735"/>
      <c r="EI661" s="734"/>
      <c r="EJ661" s="733"/>
      <c r="EK661" s="734"/>
      <c r="EL661" s="735"/>
      <c r="EM661" s="734"/>
      <c r="EN661" s="733"/>
      <c r="EO661" s="734"/>
      <c r="EP661" s="735"/>
      <c r="EQ661" s="734"/>
      <c r="ER661" s="733"/>
      <c r="ES661" s="734"/>
      <c r="ET661" s="735"/>
      <c r="EU661" s="734"/>
      <c r="EV661" s="733"/>
      <c r="EW661" s="734"/>
      <c r="EX661" s="735"/>
      <c r="EY661" s="734"/>
      <c r="EZ661" s="733"/>
      <c r="FA661" s="734"/>
      <c r="FB661" s="735"/>
      <c r="FC661" s="734"/>
      <c r="FD661" s="733"/>
      <c r="FE661" s="734"/>
      <c r="FF661" s="735"/>
      <c r="FG661" s="734"/>
      <c r="FH661" s="733"/>
      <c r="FI661" s="734"/>
      <c r="FJ661" s="735"/>
      <c r="FK661" s="734"/>
      <c r="FL661" s="733"/>
      <c r="FM661" s="734"/>
      <c r="FN661" s="735"/>
      <c r="FO661" s="734"/>
      <c r="FP661" s="733"/>
      <c r="FQ661" s="734"/>
      <c r="FR661" s="735"/>
      <c r="FS661" s="734"/>
      <c r="FT661" s="733"/>
      <c r="FU661" s="734"/>
      <c r="FV661" s="735"/>
      <c r="FW661" s="734"/>
      <c r="FX661" s="733"/>
      <c r="FY661" s="734"/>
      <c r="FZ661" s="735"/>
      <c r="GA661" s="734"/>
      <c r="GB661" s="733"/>
      <c r="GC661" s="734"/>
      <c r="GD661" s="735"/>
      <c r="GE661" s="734"/>
      <c r="GF661" s="733"/>
      <c r="GG661" s="734"/>
      <c r="GH661" s="735"/>
      <c r="GI661" s="734"/>
      <c r="GJ661" s="733"/>
      <c r="GK661" s="734"/>
      <c r="GL661" s="735"/>
      <c r="GM661" s="734"/>
      <c r="GN661" s="733"/>
      <c r="GO661" s="734"/>
      <c r="GP661" s="735"/>
      <c r="GQ661" s="734"/>
      <c r="GR661" s="733"/>
      <c r="GS661" s="734"/>
      <c r="GT661" s="735"/>
      <c r="GU661" s="734"/>
      <c r="GV661" s="733"/>
      <c r="GW661" s="734"/>
      <c r="GX661" s="735"/>
      <c r="GY661" s="734"/>
      <c r="GZ661" s="733"/>
      <c r="HA661" s="734"/>
      <c r="HB661" s="735"/>
      <c r="HC661" s="734"/>
      <c r="HD661" s="733"/>
      <c r="HE661" s="734"/>
      <c r="HF661" s="735"/>
      <c r="HG661" s="734"/>
      <c r="HH661" s="733"/>
      <c r="HI661" s="734"/>
      <c r="HJ661" s="735"/>
      <c r="HK661" s="734"/>
      <c r="HL661" s="733"/>
      <c r="HM661" s="734"/>
      <c r="HN661" s="735"/>
      <c r="HO661" s="734"/>
      <c r="HP661" s="733"/>
      <c r="HQ661" s="734"/>
      <c r="HR661" s="735"/>
      <c r="HS661" s="734"/>
      <c r="HT661" s="733"/>
      <c r="HU661" s="734"/>
      <c r="HV661" s="735"/>
      <c r="HW661" s="734"/>
      <c r="HX661" s="733"/>
      <c r="HY661" s="734"/>
      <c r="HZ661" s="735"/>
      <c r="IA661" s="734"/>
      <c r="IB661" s="733"/>
      <c r="IC661" s="734"/>
      <c r="ID661" s="735"/>
      <c r="IE661" s="734"/>
      <c r="IF661" s="733"/>
      <c r="IG661" s="734"/>
      <c r="IH661" s="735"/>
      <c r="II661" s="734"/>
      <c r="IJ661" s="733"/>
      <c r="IK661" s="734"/>
      <c r="IL661" s="735"/>
      <c r="IM661" s="734"/>
      <c r="IN661" s="733"/>
      <c r="IO661" s="734"/>
      <c r="IP661" s="735"/>
      <c r="IQ661" s="734"/>
      <c r="IR661" s="733"/>
      <c r="IS661" s="734"/>
      <c r="IT661" s="735"/>
      <c r="IU661" s="734"/>
      <c r="IV661" s="733"/>
      <c r="IW661" s="734"/>
      <c r="IX661" s="735"/>
      <c r="IY661" s="734"/>
      <c r="IZ661" s="733"/>
      <c r="JA661" s="734"/>
      <c r="JB661" s="735"/>
      <c r="JC661" s="734"/>
      <c r="JD661" s="733"/>
      <c r="JE661" s="734"/>
      <c r="JF661" s="735"/>
      <c r="JG661" s="734"/>
      <c r="JH661" s="733"/>
      <c r="JI661" s="734"/>
      <c r="JJ661" s="735"/>
      <c r="JK661" s="734"/>
      <c r="JL661" s="733"/>
      <c r="JM661" s="734"/>
      <c r="JN661" s="735"/>
      <c r="JO661" s="734"/>
      <c r="JP661" s="733"/>
      <c r="JQ661" s="734"/>
      <c r="JR661" s="735"/>
      <c r="JS661" s="734"/>
      <c r="JT661" s="733"/>
      <c r="JU661" s="734"/>
      <c r="JV661" s="735"/>
      <c r="JW661" s="734"/>
      <c r="JX661" s="733"/>
      <c r="JY661" s="734"/>
      <c r="JZ661" s="735"/>
      <c r="KA661" s="734"/>
      <c r="KB661" s="733"/>
      <c r="KC661" s="734"/>
      <c r="KD661" s="735"/>
      <c r="KE661" s="734"/>
      <c r="KF661" s="733"/>
      <c r="KG661" s="734"/>
      <c r="KH661" s="735"/>
      <c r="KI661" s="734"/>
      <c r="KJ661" s="733"/>
      <c r="KK661" s="734"/>
      <c r="KL661" s="735"/>
      <c r="KM661" s="734"/>
      <c r="KN661" s="733"/>
      <c r="KO661" s="734"/>
      <c r="KP661" s="735"/>
      <c r="KQ661" s="734"/>
      <c r="KR661" s="733"/>
      <c r="KS661" s="734"/>
      <c r="KT661" s="735"/>
      <c r="KU661" s="734"/>
      <c r="KV661" s="733"/>
      <c r="KW661" s="734"/>
      <c r="KX661" s="735"/>
      <c r="KY661" s="734"/>
      <c r="KZ661" s="733"/>
      <c r="LA661" s="734"/>
      <c r="LB661" s="735"/>
      <c r="LC661" s="734"/>
      <c r="LD661" s="733"/>
      <c r="LE661" s="734"/>
      <c r="LF661" s="735"/>
      <c r="LG661" s="734"/>
      <c r="LH661" s="733"/>
      <c r="LI661" s="734"/>
      <c r="LJ661" s="735"/>
      <c r="LK661" s="734"/>
      <c r="LL661" s="733"/>
      <c r="LM661" s="734"/>
      <c r="LN661" s="735"/>
      <c r="LO661" s="734"/>
      <c r="LP661" s="733"/>
      <c r="LQ661" s="734"/>
      <c r="LR661" s="735"/>
      <c r="LS661" s="734"/>
      <c r="LT661" s="733"/>
      <c r="LU661" s="734"/>
      <c r="LV661" s="735"/>
      <c r="LW661" s="734"/>
      <c r="LX661" s="733"/>
      <c r="LY661" s="734"/>
      <c r="LZ661" s="735"/>
      <c r="MA661" s="734"/>
      <c r="MB661" s="733"/>
      <c r="MC661" s="734"/>
      <c r="MD661" s="735"/>
      <c r="ME661" s="734"/>
      <c r="MF661" s="733"/>
      <c r="MG661" s="734"/>
      <c r="MH661" s="735"/>
      <c r="MI661" s="734"/>
      <c r="MJ661" s="733"/>
      <c r="MK661" s="734"/>
      <c r="ML661" s="735"/>
      <c r="MM661" s="734"/>
      <c r="MN661" s="733"/>
      <c r="MO661" s="734"/>
      <c r="MP661" s="735"/>
      <c r="MQ661" s="734"/>
      <c r="MR661" s="733"/>
      <c r="MS661" s="734"/>
      <c r="MT661" s="735"/>
      <c r="MU661" s="734"/>
      <c r="MV661" s="733"/>
      <c r="MW661" s="734"/>
      <c r="MX661" s="735"/>
      <c r="MY661" s="734"/>
      <c r="MZ661" s="733"/>
      <c r="NA661" s="734"/>
      <c r="NB661" s="735"/>
      <c r="NC661" s="734"/>
      <c r="ND661" s="733"/>
      <c r="NE661" s="734"/>
      <c r="NF661" s="735"/>
      <c r="NG661" s="734"/>
      <c r="NH661" s="733"/>
      <c r="NI661" s="734"/>
      <c r="NJ661" s="735"/>
      <c r="NK661" s="734"/>
      <c r="NL661" s="733"/>
      <c r="NM661" s="734"/>
      <c r="NN661" s="735"/>
      <c r="NO661" s="734"/>
      <c r="NP661" s="733"/>
      <c r="NQ661" s="734"/>
      <c r="NR661" s="735"/>
      <c r="NS661" s="734"/>
      <c r="NT661" s="733"/>
      <c r="NU661" s="734"/>
      <c r="NV661" s="735"/>
      <c r="NW661" s="734"/>
      <c r="NX661" s="733"/>
      <c r="NY661" s="734"/>
      <c r="NZ661" s="735"/>
      <c r="OA661" s="734"/>
      <c r="OB661" s="733"/>
      <c r="OC661" s="734"/>
      <c r="OD661" s="735"/>
      <c r="OE661" s="734"/>
      <c r="OF661" s="733"/>
      <c r="OG661" s="734"/>
      <c r="OH661" s="735"/>
      <c r="OI661" s="734"/>
      <c r="OJ661" s="733"/>
      <c r="OK661" s="734"/>
      <c r="OL661" s="735"/>
      <c r="OM661" s="734"/>
      <c r="ON661" s="733"/>
      <c r="OO661" s="734"/>
      <c r="OP661" s="735"/>
      <c r="OQ661" s="734"/>
      <c r="OR661" s="733"/>
      <c r="OS661" s="734"/>
      <c r="OT661" s="735"/>
      <c r="OU661" s="734"/>
      <c r="OV661" s="733"/>
      <c r="OW661" s="734"/>
      <c r="OX661" s="735"/>
      <c r="OY661" s="734"/>
      <c r="OZ661" s="733"/>
      <c r="PA661" s="734"/>
      <c r="PB661" s="735"/>
      <c r="PC661" s="734"/>
      <c r="PD661" s="733"/>
      <c r="PE661" s="734"/>
      <c r="PF661" s="735"/>
      <c r="PG661" s="734"/>
      <c r="PH661" s="733"/>
      <c r="PI661" s="734"/>
      <c r="PJ661" s="735"/>
      <c r="PK661" s="734"/>
      <c r="PL661" s="733"/>
      <c r="PM661" s="734"/>
      <c r="PN661" s="735"/>
      <c r="PO661" s="734"/>
      <c r="PP661" s="733"/>
      <c r="PQ661" s="734"/>
      <c r="PR661" s="735"/>
      <c r="PS661" s="734"/>
      <c r="PT661" s="733"/>
      <c r="PU661" s="734"/>
      <c r="PV661" s="735"/>
      <c r="PW661" s="734"/>
      <c r="PX661" s="733"/>
      <c r="PY661" s="734"/>
      <c r="PZ661" s="735"/>
      <c r="QA661" s="734"/>
      <c r="QB661" s="733"/>
      <c r="QC661" s="734"/>
      <c r="QD661" s="735"/>
      <c r="QE661" s="734"/>
      <c r="QF661" s="733"/>
      <c r="QG661" s="734"/>
      <c r="QH661" s="735"/>
      <c r="QI661" s="734"/>
      <c r="QJ661" s="733"/>
      <c r="QK661" s="734"/>
      <c r="QL661" s="735"/>
      <c r="QM661" s="734"/>
      <c r="QN661" s="733"/>
      <c r="QO661" s="734"/>
      <c r="QP661" s="735"/>
      <c r="QQ661" s="734"/>
      <c r="QR661" s="733"/>
      <c r="QS661" s="734"/>
      <c r="QT661" s="735"/>
      <c r="QU661" s="734"/>
      <c r="QV661" s="733"/>
      <c r="QW661" s="734"/>
      <c r="QX661" s="735"/>
      <c r="QY661" s="734"/>
      <c r="QZ661" s="733"/>
      <c r="RA661" s="734"/>
      <c r="RB661" s="735"/>
      <c r="RC661" s="734"/>
      <c r="RD661" s="733"/>
      <c r="RE661" s="734"/>
      <c r="RF661" s="735"/>
      <c r="RG661" s="734"/>
      <c r="RH661" s="733"/>
      <c r="RI661" s="734"/>
      <c r="RJ661" s="735"/>
      <c r="RK661" s="734"/>
      <c r="RL661" s="733"/>
      <c r="RM661" s="734"/>
      <c r="RN661" s="735"/>
      <c r="RO661" s="734"/>
      <c r="RP661" s="733"/>
      <c r="RQ661" s="734"/>
      <c r="RR661" s="735"/>
      <c r="RS661" s="734"/>
      <c r="RT661" s="733"/>
      <c r="RU661" s="734"/>
      <c r="RV661" s="735"/>
      <c r="RW661" s="734"/>
      <c r="RX661" s="733"/>
      <c r="RY661" s="734"/>
      <c r="RZ661" s="735"/>
      <c r="SA661" s="734"/>
      <c r="SB661" s="733"/>
      <c r="SC661" s="734"/>
      <c r="SD661" s="735"/>
      <c r="SE661" s="734"/>
      <c r="SF661" s="733"/>
      <c r="SG661" s="734"/>
      <c r="SH661" s="735"/>
      <c r="SI661" s="734"/>
      <c r="SJ661" s="733"/>
      <c r="SK661" s="734"/>
      <c r="SL661" s="735"/>
      <c r="SM661" s="734"/>
      <c r="SN661" s="733"/>
      <c r="SO661" s="734"/>
      <c r="SP661" s="735"/>
      <c r="SQ661" s="734"/>
      <c r="SR661" s="733"/>
      <c r="SS661" s="734"/>
      <c r="ST661" s="735"/>
      <c r="SU661" s="734"/>
      <c r="SV661" s="733"/>
      <c r="SW661" s="734"/>
      <c r="SX661" s="735"/>
      <c r="SY661" s="734"/>
      <c r="SZ661" s="733"/>
      <c r="TA661" s="734"/>
      <c r="TB661" s="735"/>
      <c r="TC661" s="734"/>
      <c r="TD661" s="733"/>
      <c r="TE661" s="734"/>
      <c r="TF661" s="735"/>
      <c r="TG661" s="734"/>
      <c r="TH661" s="733"/>
      <c r="TI661" s="734"/>
      <c r="TJ661" s="735"/>
      <c r="TK661" s="734"/>
      <c r="TL661" s="733"/>
      <c r="TM661" s="734"/>
      <c r="TN661" s="735"/>
      <c r="TO661" s="734"/>
      <c r="TP661" s="733"/>
      <c r="TQ661" s="734"/>
      <c r="TR661" s="735"/>
      <c r="TS661" s="734"/>
      <c r="TT661" s="733"/>
      <c r="TU661" s="734"/>
      <c r="TV661" s="735"/>
      <c r="TW661" s="734"/>
      <c r="TX661" s="733"/>
      <c r="TY661" s="734"/>
      <c r="TZ661" s="735"/>
      <c r="UA661" s="734"/>
      <c r="UB661" s="733"/>
      <c r="UC661" s="734"/>
      <c r="UD661" s="735"/>
      <c r="UE661" s="734"/>
      <c r="UF661" s="733"/>
      <c r="UG661" s="734"/>
      <c r="UH661" s="735"/>
      <c r="UI661" s="734"/>
      <c r="UJ661" s="733"/>
      <c r="UK661" s="734"/>
      <c r="UL661" s="735"/>
      <c r="UM661" s="734"/>
      <c r="UN661" s="733"/>
      <c r="UO661" s="734"/>
      <c r="UP661" s="735"/>
      <c r="UQ661" s="734"/>
      <c r="UR661" s="733"/>
      <c r="US661" s="734"/>
      <c r="UT661" s="735"/>
      <c r="UU661" s="734"/>
      <c r="UV661" s="733"/>
      <c r="UW661" s="734"/>
      <c r="UX661" s="735"/>
      <c r="UY661" s="734"/>
      <c r="UZ661" s="733"/>
      <c r="VA661" s="734"/>
      <c r="VB661" s="735"/>
      <c r="VC661" s="734"/>
      <c r="VD661" s="733"/>
      <c r="VE661" s="734"/>
      <c r="VF661" s="735"/>
      <c r="VG661" s="734"/>
      <c r="VH661" s="733"/>
      <c r="VI661" s="734"/>
      <c r="VJ661" s="735"/>
      <c r="VK661" s="734"/>
      <c r="VL661" s="733"/>
      <c r="VM661" s="734"/>
      <c r="VN661" s="735"/>
      <c r="VO661" s="734"/>
      <c r="VP661" s="733"/>
      <c r="VQ661" s="734"/>
      <c r="VR661" s="735"/>
      <c r="VS661" s="734"/>
      <c r="VT661" s="733"/>
      <c r="VU661" s="734"/>
      <c r="VV661" s="735"/>
      <c r="VW661" s="734"/>
      <c r="VX661" s="733"/>
      <c r="VY661" s="734"/>
      <c r="VZ661" s="735"/>
      <c r="WA661" s="734"/>
      <c r="WB661" s="733"/>
      <c r="WC661" s="734"/>
      <c r="WD661" s="735"/>
      <c r="WE661" s="734"/>
      <c r="WF661" s="733"/>
      <c r="WG661" s="734"/>
      <c r="WH661" s="735"/>
      <c r="WI661" s="734"/>
      <c r="WJ661" s="733"/>
      <c r="WK661" s="734"/>
      <c r="WL661" s="735"/>
      <c r="WM661" s="734"/>
      <c r="WN661" s="733"/>
      <c r="WO661" s="734"/>
      <c r="WP661" s="735"/>
      <c r="WQ661" s="734"/>
      <c r="WR661" s="733"/>
      <c r="WS661" s="734"/>
      <c r="WT661" s="735"/>
      <c r="WU661" s="734"/>
      <c r="WV661" s="733"/>
      <c r="WW661" s="734"/>
      <c r="WX661" s="735"/>
      <c r="WY661" s="734"/>
      <c r="WZ661" s="733"/>
      <c r="XA661" s="734"/>
      <c r="XB661" s="735"/>
      <c r="XC661" s="734"/>
      <c r="XD661" s="733"/>
      <c r="XE661" s="734"/>
      <c r="XF661" s="735"/>
      <c r="XG661" s="734"/>
      <c r="XH661" s="733"/>
      <c r="XI661" s="734"/>
      <c r="XJ661" s="735"/>
      <c r="XK661" s="734"/>
      <c r="XL661" s="733"/>
      <c r="XM661" s="734"/>
      <c r="XN661" s="735"/>
      <c r="XO661" s="734"/>
      <c r="XP661" s="733"/>
      <c r="XQ661" s="734"/>
      <c r="XR661" s="735"/>
      <c r="XS661" s="734"/>
      <c r="XT661" s="733"/>
      <c r="XU661" s="734"/>
      <c r="XV661" s="735"/>
      <c r="XW661" s="734"/>
      <c r="XX661" s="733"/>
      <c r="XY661" s="734"/>
      <c r="XZ661" s="735"/>
      <c r="YA661" s="734"/>
      <c r="YB661" s="733"/>
      <c r="YC661" s="734"/>
      <c r="YD661" s="735"/>
      <c r="YE661" s="734"/>
      <c r="YF661" s="733"/>
      <c r="YG661" s="734"/>
      <c r="YH661" s="735"/>
      <c r="YI661" s="734"/>
      <c r="YJ661" s="733"/>
      <c r="YK661" s="734"/>
      <c r="YL661" s="735"/>
      <c r="YM661" s="734"/>
      <c r="YN661" s="733"/>
      <c r="YO661" s="734"/>
      <c r="YP661" s="735"/>
      <c r="YQ661" s="734"/>
      <c r="YR661" s="733"/>
      <c r="YS661" s="734"/>
      <c r="YT661" s="735"/>
      <c r="YU661" s="734"/>
      <c r="YV661" s="733"/>
      <c r="YW661" s="734"/>
      <c r="YX661" s="735"/>
      <c r="YY661" s="734"/>
      <c r="YZ661" s="733"/>
      <c r="ZA661" s="734"/>
      <c r="ZB661" s="735"/>
      <c r="ZC661" s="734"/>
      <c r="ZD661" s="733"/>
      <c r="ZE661" s="734"/>
      <c r="ZF661" s="735"/>
      <c r="ZG661" s="734"/>
      <c r="ZH661" s="733"/>
      <c r="ZI661" s="734"/>
      <c r="ZJ661" s="735"/>
      <c r="ZK661" s="734"/>
      <c r="ZL661" s="733"/>
      <c r="ZM661" s="734"/>
      <c r="ZN661" s="735"/>
      <c r="ZO661" s="734"/>
      <c r="ZP661" s="733"/>
      <c r="ZQ661" s="734"/>
      <c r="ZR661" s="735"/>
      <c r="ZS661" s="734"/>
      <c r="ZT661" s="733"/>
      <c r="ZU661" s="734"/>
      <c r="ZV661" s="735"/>
      <c r="ZW661" s="734"/>
      <c r="ZX661" s="733"/>
      <c r="ZY661" s="734"/>
      <c r="ZZ661" s="735"/>
      <c r="AAA661" s="734"/>
      <c r="AAB661" s="733"/>
      <c r="AAC661" s="734"/>
      <c r="AAD661" s="735"/>
      <c r="AAE661" s="734"/>
      <c r="AAF661" s="733"/>
      <c r="AAG661" s="734"/>
      <c r="AAH661" s="735"/>
      <c r="AAI661" s="734"/>
      <c r="AAJ661" s="733"/>
      <c r="AAK661" s="734"/>
      <c r="AAL661" s="735"/>
      <c r="AAM661" s="734"/>
      <c r="AAN661" s="733"/>
      <c r="AAO661" s="734"/>
      <c r="AAP661" s="735"/>
      <c r="AAQ661" s="734"/>
      <c r="AAR661" s="733"/>
      <c r="AAS661" s="734"/>
      <c r="AAT661" s="735"/>
      <c r="AAU661" s="734"/>
      <c r="AAV661" s="733"/>
      <c r="AAW661" s="734"/>
      <c r="AAX661" s="735"/>
      <c r="AAY661" s="734"/>
      <c r="AAZ661" s="733"/>
      <c r="ABA661" s="734"/>
      <c r="ABB661" s="735"/>
      <c r="ABC661" s="734"/>
      <c r="ABD661" s="733"/>
      <c r="ABE661" s="734"/>
      <c r="ABF661" s="735"/>
      <c r="ABG661" s="734"/>
      <c r="ABH661" s="733"/>
      <c r="ABI661" s="734"/>
      <c r="ABJ661" s="735"/>
      <c r="ABK661" s="734"/>
      <c r="ABL661" s="733"/>
      <c r="ABM661" s="734"/>
      <c r="ABN661" s="735"/>
      <c r="ABO661" s="734"/>
      <c r="ABP661" s="733"/>
      <c r="ABQ661" s="734"/>
      <c r="ABR661" s="735"/>
      <c r="ABS661" s="734"/>
      <c r="ABT661" s="733"/>
      <c r="ABU661" s="734"/>
      <c r="ABV661" s="735"/>
      <c r="ABW661" s="734"/>
      <c r="ABX661" s="733"/>
      <c r="ABY661" s="734"/>
      <c r="ABZ661" s="735"/>
      <c r="ACA661" s="734"/>
      <c r="ACB661" s="733"/>
      <c r="ACC661" s="734"/>
      <c r="ACD661" s="735"/>
      <c r="ACE661" s="734"/>
      <c r="ACF661" s="733"/>
      <c r="ACG661" s="734"/>
      <c r="ACH661" s="735"/>
      <c r="ACI661" s="734"/>
      <c r="ACJ661" s="733"/>
      <c r="ACK661" s="734"/>
      <c r="ACL661" s="735"/>
      <c r="ACM661" s="734"/>
      <c r="ACN661" s="733"/>
      <c r="ACO661" s="734"/>
      <c r="ACP661" s="735"/>
      <c r="ACQ661" s="734"/>
      <c r="ACR661" s="733"/>
      <c r="ACS661" s="734"/>
      <c r="ACT661" s="735"/>
      <c r="ACU661" s="734"/>
      <c r="ACV661" s="733"/>
      <c r="ACW661" s="734"/>
      <c r="ACX661" s="735"/>
      <c r="ACY661" s="734"/>
      <c r="ACZ661" s="733"/>
      <c r="ADA661" s="734"/>
      <c r="ADB661" s="735"/>
      <c r="ADC661" s="734"/>
      <c r="ADD661" s="733"/>
      <c r="ADE661" s="734"/>
      <c r="ADF661" s="735"/>
      <c r="ADG661" s="734"/>
      <c r="ADH661" s="733"/>
      <c r="ADI661" s="734"/>
      <c r="ADJ661" s="735"/>
      <c r="ADK661" s="734"/>
      <c r="ADL661" s="733"/>
      <c r="ADM661" s="734"/>
      <c r="ADN661" s="735"/>
      <c r="ADO661" s="734"/>
      <c r="ADP661" s="733"/>
      <c r="ADQ661" s="734"/>
      <c r="ADR661" s="735"/>
      <c r="ADS661" s="734"/>
      <c r="ADT661" s="733"/>
      <c r="ADU661" s="734"/>
      <c r="ADV661" s="735"/>
      <c r="ADW661" s="734"/>
      <c r="ADX661" s="733"/>
      <c r="ADY661" s="734"/>
      <c r="ADZ661" s="735"/>
      <c r="AEA661" s="734"/>
      <c r="AEB661" s="733"/>
      <c r="AEC661" s="734"/>
      <c r="AED661" s="735"/>
      <c r="AEE661" s="734"/>
      <c r="AEF661" s="733"/>
      <c r="AEG661" s="734"/>
      <c r="AEH661" s="735"/>
      <c r="AEI661" s="734"/>
      <c r="AEJ661" s="733"/>
      <c r="AEK661" s="734"/>
      <c r="AEL661" s="735"/>
      <c r="AEM661" s="734"/>
      <c r="AEN661" s="733"/>
      <c r="AEO661" s="734"/>
      <c r="AEP661" s="735"/>
      <c r="AEQ661" s="734"/>
      <c r="AER661" s="733"/>
      <c r="AES661" s="734"/>
      <c r="AET661" s="735"/>
      <c r="AEU661" s="734"/>
      <c r="AEV661" s="733"/>
      <c r="AEW661" s="734"/>
      <c r="AEX661" s="735"/>
      <c r="AEY661" s="734"/>
      <c r="AEZ661" s="733"/>
      <c r="AFA661" s="734"/>
      <c r="AFB661" s="735"/>
      <c r="AFC661" s="734"/>
      <c r="AFD661" s="733"/>
      <c r="AFE661" s="734"/>
      <c r="AFF661" s="735"/>
      <c r="AFG661" s="734"/>
      <c r="AFH661" s="733"/>
      <c r="AFI661" s="734"/>
      <c r="AFJ661" s="735"/>
      <c r="AFK661" s="734"/>
      <c r="AFL661" s="733"/>
      <c r="AFM661" s="734"/>
      <c r="AFN661" s="735"/>
      <c r="AFO661" s="734"/>
      <c r="AFP661" s="733"/>
      <c r="AFQ661" s="734"/>
      <c r="AFR661" s="735"/>
      <c r="AFS661" s="734"/>
      <c r="AFT661" s="733"/>
      <c r="AFU661" s="734"/>
      <c r="AFV661" s="735"/>
      <c r="AFW661" s="734"/>
      <c r="AFX661" s="733"/>
      <c r="AFY661" s="734"/>
      <c r="AFZ661" s="735"/>
      <c r="AGA661" s="734"/>
      <c r="AGB661" s="733"/>
      <c r="AGC661" s="734"/>
      <c r="AGD661" s="735"/>
      <c r="AGE661" s="734"/>
      <c r="AGF661" s="733"/>
      <c r="AGG661" s="734"/>
      <c r="AGH661" s="735"/>
      <c r="AGI661" s="734"/>
      <c r="AGJ661" s="733"/>
      <c r="AGK661" s="734"/>
      <c r="AGL661" s="735"/>
      <c r="AGM661" s="734"/>
      <c r="AGN661" s="733"/>
      <c r="AGO661" s="734"/>
      <c r="AGP661" s="735"/>
      <c r="AGQ661" s="734"/>
      <c r="AGR661" s="733"/>
      <c r="AGS661" s="734"/>
      <c r="AGT661" s="735"/>
      <c r="AGU661" s="734"/>
      <c r="AGV661" s="733"/>
      <c r="AGW661" s="734"/>
      <c r="AGX661" s="735"/>
      <c r="AGY661" s="734"/>
      <c r="AGZ661" s="733"/>
      <c r="AHA661" s="734"/>
      <c r="AHB661" s="735"/>
      <c r="AHC661" s="734"/>
      <c r="AHD661" s="733"/>
      <c r="AHE661" s="734"/>
      <c r="AHF661" s="735"/>
      <c r="AHG661" s="734"/>
      <c r="AHH661" s="733"/>
      <c r="AHI661" s="734"/>
      <c r="AHJ661" s="735"/>
      <c r="AHK661" s="734"/>
      <c r="AHL661" s="733"/>
      <c r="AHM661" s="734"/>
      <c r="AHN661" s="735"/>
      <c r="AHO661" s="734"/>
      <c r="AHP661" s="733"/>
      <c r="AHQ661" s="734"/>
      <c r="AHR661" s="735"/>
      <c r="AHS661" s="734"/>
      <c r="AHT661" s="733"/>
      <c r="AHU661" s="734"/>
      <c r="AHV661" s="735"/>
      <c r="AHW661" s="734"/>
      <c r="AHX661" s="733"/>
      <c r="AHY661" s="734"/>
      <c r="AHZ661" s="735"/>
      <c r="AIA661" s="734"/>
      <c r="AIB661" s="733"/>
      <c r="AIC661" s="734"/>
      <c r="AID661" s="735"/>
      <c r="AIE661" s="734"/>
      <c r="AIF661" s="733"/>
      <c r="AIG661" s="734"/>
      <c r="AIH661" s="735"/>
      <c r="AII661" s="734"/>
      <c r="AIJ661" s="733"/>
      <c r="AIK661" s="734"/>
      <c r="AIL661" s="735"/>
      <c r="AIM661" s="734"/>
      <c r="AIN661" s="733"/>
      <c r="AIO661" s="734"/>
      <c r="AIP661" s="735"/>
      <c r="AIQ661" s="734"/>
      <c r="AIR661" s="733"/>
      <c r="AIS661" s="734"/>
      <c r="AIT661" s="735"/>
      <c r="AIU661" s="734"/>
      <c r="AIV661" s="733"/>
      <c r="AIW661" s="734"/>
      <c r="AIX661" s="735"/>
      <c r="AIY661" s="734"/>
      <c r="AIZ661" s="733"/>
      <c r="AJA661" s="734"/>
      <c r="AJB661" s="735"/>
      <c r="AJC661" s="734"/>
      <c r="AJD661" s="733"/>
      <c r="AJE661" s="734"/>
      <c r="AJF661" s="735"/>
      <c r="AJG661" s="734"/>
      <c r="AJH661" s="733"/>
      <c r="AJI661" s="734"/>
      <c r="AJJ661" s="735"/>
      <c r="AJK661" s="734"/>
      <c r="AJL661" s="733"/>
      <c r="AJM661" s="734"/>
      <c r="AJN661" s="735"/>
      <c r="AJO661" s="734"/>
      <c r="AJP661" s="733"/>
      <c r="AJQ661" s="734"/>
      <c r="AJR661" s="735"/>
      <c r="AJS661" s="734"/>
      <c r="AJT661" s="733"/>
      <c r="AJU661" s="734"/>
      <c r="AJV661" s="735"/>
      <c r="AJW661" s="734"/>
      <c r="AJX661" s="733"/>
      <c r="AJY661" s="734"/>
      <c r="AJZ661" s="735"/>
      <c r="AKA661" s="734"/>
      <c r="AKB661" s="733"/>
      <c r="AKC661" s="734"/>
      <c r="AKD661" s="735"/>
      <c r="AKE661" s="734"/>
      <c r="AKF661" s="733"/>
      <c r="AKG661" s="734"/>
      <c r="AKH661" s="735"/>
      <c r="AKI661" s="734"/>
      <c r="AKJ661" s="733"/>
      <c r="AKK661" s="734"/>
      <c r="AKL661" s="735"/>
      <c r="AKM661" s="734"/>
      <c r="AKN661" s="733"/>
      <c r="AKO661" s="734"/>
      <c r="AKP661" s="735"/>
      <c r="AKQ661" s="734"/>
      <c r="AKR661" s="733"/>
      <c r="AKS661" s="734"/>
      <c r="AKT661" s="735"/>
      <c r="AKU661" s="734"/>
      <c r="AKV661" s="733"/>
      <c r="AKW661" s="734"/>
      <c r="AKX661" s="735"/>
      <c r="AKY661" s="734"/>
      <c r="AKZ661" s="733"/>
      <c r="ALA661" s="734"/>
      <c r="ALB661" s="735"/>
      <c r="ALC661" s="734"/>
      <c r="ALD661" s="733"/>
      <c r="ALE661" s="734"/>
      <c r="ALF661" s="735"/>
      <c r="ALG661" s="734"/>
      <c r="ALH661" s="733"/>
      <c r="ALI661" s="734"/>
      <c r="ALJ661" s="735"/>
      <c r="ALK661" s="734"/>
      <c r="ALL661" s="733"/>
      <c r="ALM661" s="734"/>
      <c r="ALN661" s="735"/>
      <c r="ALO661" s="734"/>
      <c r="ALP661" s="733"/>
      <c r="ALQ661" s="734"/>
      <c r="ALR661" s="735"/>
      <c r="ALS661" s="734"/>
      <c r="ALT661" s="733"/>
      <c r="ALU661" s="734"/>
      <c r="ALV661" s="735"/>
      <c r="ALW661" s="734"/>
      <c r="ALX661" s="733"/>
      <c r="ALY661" s="734"/>
      <c r="ALZ661" s="735"/>
      <c r="AMA661" s="734"/>
      <c r="AMB661" s="733"/>
      <c r="AMC661" s="734"/>
      <c r="AMD661" s="735"/>
      <c r="AME661" s="734"/>
      <c r="AMF661" s="733"/>
      <c r="AMG661" s="734"/>
      <c r="AMH661" s="735"/>
      <c r="AMI661" s="734"/>
      <c r="AMJ661" s="733"/>
      <c r="AMK661" s="734"/>
      <c r="AML661" s="735"/>
      <c r="AMM661" s="734"/>
      <c r="AMN661" s="733"/>
      <c r="AMO661" s="734"/>
      <c r="AMP661" s="735"/>
      <c r="AMQ661" s="734"/>
      <c r="AMR661" s="733"/>
      <c r="AMS661" s="734"/>
      <c r="AMT661" s="735"/>
      <c r="AMU661" s="734"/>
      <c r="AMV661" s="733"/>
      <c r="AMW661" s="734"/>
      <c r="AMX661" s="735"/>
      <c r="AMY661" s="734"/>
      <c r="AMZ661" s="733"/>
      <c r="ANA661" s="734"/>
      <c r="ANB661" s="735"/>
      <c r="ANC661" s="734"/>
      <c r="AND661" s="733"/>
      <c r="ANE661" s="734"/>
      <c r="ANF661" s="735"/>
      <c r="ANG661" s="734"/>
      <c r="ANH661" s="733"/>
      <c r="ANI661" s="734"/>
      <c r="ANJ661" s="735"/>
      <c r="ANK661" s="734"/>
      <c r="ANL661" s="733"/>
      <c r="ANM661" s="734"/>
      <c r="ANN661" s="735"/>
      <c r="ANO661" s="734"/>
      <c r="ANP661" s="733"/>
      <c r="ANQ661" s="734"/>
      <c r="ANR661" s="735"/>
      <c r="ANS661" s="734"/>
      <c r="ANT661" s="733"/>
      <c r="ANU661" s="734"/>
      <c r="ANV661" s="735"/>
      <c r="ANW661" s="734"/>
      <c r="ANX661" s="733"/>
      <c r="ANY661" s="734"/>
      <c r="ANZ661" s="735"/>
      <c r="AOA661" s="734"/>
      <c r="AOB661" s="733"/>
      <c r="AOC661" s="734"/>
      <c r="AOD661" s="735"/>
      <c r="AOE661" s="734"/>
      <c r="AOF661" s="733"/>
      <c r="AOG661" s="734"/>
      <c r="AOH661" s="735"/>
      <c r="AOI661" s="734"/>
      <c r="AOJ661" s="733"/>
      <c r="AOK661" s="734"/>
      <c r="AOL661" s="735"/>
      <c r="AOM661" s="734"/>
      <c r="AON661" s="733"/>
      <c r="AOO661" s="734"/>
      <c r="AOP661" s="735"/>
      <c r="AOQ661" s="734"/>
      <c r="AOR661" s="733"/>
      <c r="AOS661" s="734"/>
      <c r="AOT661" s="735"/>
      <c r="AOU661" s="734"/>
      <c r="AOV661" s="733"/>
      <c r="AOW661" s="734"/>
      <c r="AOX661" s="735"/>
      <c r="AOY661" s="734"/>
      <c r="AOZ661" s="733"/>
      <c r="APA661" s="734"/>
      <c r="APB661" s="735"/>
      <c r="APC661" s="734"/>
      <c r="APD661" s="733"/>
      <c r="APE661" s="734"/>
      <c r="APF661" s="735"/>
      <c r="APG661" s="734"/>
      <c r="APH661" s="733"/>
      <c r="API661" s="734"/>
      <c r="APJ661" s="735"/>
      <c r="APK661" s="734"/>
      <c r="APL661" s="733"/>
      <c r="APM661" s="734"/>
      <c r="APN661" s="735"/>
      <c r="APO661" s="734"/>
      <c r="APP661" s="733"/>
      <c r="APQ661" s="734"/>
      <c r="APR661" s="735"/>
      <c r="APS661" s="734"/>
      <c r="APT661" s="733"/>
      <c r="APU661" s="734"/>
      <c r="APV661" s="735"/>
      <c r="APW661" s="734"/>
      <c r="APX661" s="733"/>
      <c r="APY661" s="734"/>
      <c r="APZ661" s="735"/>
      <c r="AQA661" s="734"/>
      <c r="AQB661" s="733"/>
      <c r="AQC661" s="734"/>
      <c r="AQD661" s="735"/>
      <c r="AQE661" s="734"/>
      <c r="AQF661" s="733"/>
      <c r="AQG661" s="734"/>
      <c r="AQH661" s="735"/>
      <c r="AQI661" s="734"/>
      <c r="AQJ661" s="733"/>
      <c r="AQK661" s="734"/>
      <c r="AQL661" s="735"/>
      <c r="AQM661" s="734"/>
      <c r="AQN661" s="733"/>
      <c r="AQO661" s="734"/>
      <c r="AQP661" s="735"/>
      <c r="AQQ661" s="734"/>
      <c r="AQR661" s="733"/>
      <c r="AQS661" s="734"/>
      <c r="AQT661" s="735"/>
      <c r="AQU661" s="734"/>
      <c r="AQV661" s="733"/>
      <c r="AQW661" s="734"/>
      <c r="AQX661" s="735"/>
      <c r="AQY661" s="734"/>
      <c r="AQZ661" s="733"/>
      <c r="ARA661" s="734"/>
      <c r="ARB661" s="735"/>
      <c r="ARC661" s="734"/>
      <c r="ARD661" s="733"/>
      <c r="ARE661" s="734"/>
      <c r="ARF661" s="735"/>
      <c r="ARG661" s="734"/>
      <c r="ARH661" s="733"/>
      <c r="ARI661" s="734"/>
      <c r="ARJ661" s="735"/>
      <c r="ARK661" s="734"/>
      <c r="ARL661" s="733"/>
      <c r="ARM661" s="734"/>
      <c r="ARN661" s="735"/>
      <c r="ARO661" s="734"/>
      <c r="ARP661" s="733"/>
      <c r="ARQ661" s="734"/>
      <c r="ARR661" s="735"/>
      <c r="ARS661" s="734"/>
      <c r="ART661" s="733"/>
      <c r="ARU661" s="734"/>
      <c r="ARV661" s="735"/>
      <c r="ARW661" s="734"/>
      <c r="ARX661" s="733"/>
      <c r="ARY661" s="734"/>
      <c r="ARZ661" s="735"/>
      <c r="ASA661" s="734"/>
      <c r="ASB661" s="733"/>
      <c r="ASC661" s="734"/>
      <c r="ASD661" s="735"/>
      <c r="ASE661" s="734"/>
      <c r="ASF661" s="733"/>
      <c r="ASG661" s="734"/>
      <c r="ASH661" s="735"/>
      <c r="ASI661" s="734"/>
      <c r="ASJ661" s="733"/>
      <c r="ASK661" s="734"/>
      <c r="ASL661" s="735"/>
      <c r="ASM661" s="734"/>
      <c r="ASN661" s="733"/>
      <c r="ASO661" s="734"/>
      <c r="ASP661" s="735"/>
      <c r="ASQ661" s="734"/>
      <c r="ASR661" s="733"/>
      <c r="ASS661" s="734"/>
      <c r="AST661" s="735"/>
      <c r="ASU661" s="734"/>
      <c r="ASV661" s="733"/>
      <c r="ASW661" s="734"/>
      <c r="ASX661" s="735"/>
      <c r="ASY661" s="734"/>
      <c r="ASZ661" s="733"/>
      <c r="ATA661" s="734"/>
      <c r="ATB661" s="735"/>
      <c r="ATC661" s="734"/>
      <c r="ATD661" s="733"/>
      <c r="ATE661" s="734"/>
      <c r="ATF661" s="735"/>
      <c r="ATG661" s="734"/>
      <c r="ATH661" s="733"/>
      <c r="ATI661" s="734"/>
      <c r="ATJ661" s="735"/>
      <c r="ATK661" s="734"/>
      <c r="ATL661" s="733"/>
      <c r="ATM661" s="734"/>
      <c r="ATN661" s="735"/>
      <c r="ATO661" s="734"/>
      <c r="ATP661" s="733"/>
      <c r="ATQ661" s="734"/>
      <c r="ATR661" s="735"/>
      <c r="ATS661" s="734"/>
      <c r="ATT661" s="733"/>
      <c r="ATU661" s="734"/>
      <c r="ATV661" s="735"/>
      <c r="ATW661" s="734"/>
      <c r="ATX661" s="733"/>
      <c r="ATY661" s="734"/>
      <c r="ATZ661" s="735"/>
      <c r="AUA661" s="734"/>
      <c r="AUB661" s="733"/>
      <c r="AUC661" s="734"/>
      <c r="AUD661" s="735"/>
      <c r="AUE661" s="734"/>
      <c r="AUF661" s="733"/>
      <c r="AUG661" s="734"/>
      <c r="AUH661" s="735"/>
      <c r="AUI661" s="734"/>
      <c r="AUJ661" s="733"/>
      <c r="AUK661" s="734"/>
      <c r="AUL661" s="735"/>
      <c r="AUM661" s="734"/>
      <c r="AUN661" s="733"/>
      <c r="AUO661" s="734"/>
      <c r="AUP661" s="735"/>
      <c r="AUQ661" s="734"/>
      <c r="AUR661" s="733"/>
      <c r="AUS661" s="734"/>
      <c r="AUT661" s="735"/>
      <c r="AUU661" s="734"/>
      <c r="AUV661" s="733"/>
      <c r="AUW661" s="734"/>
      <c r="AUX661" s="735"/>
      <c r="AUY661" s="734"/>
      <c r="AUZ661" s="733"/>
      <c r="AVA661" s="734"/>
      <c r="AVB661" s="735"/>
      <c r="AVC661" s="734"/>
      <c r="AVD661" s="733"/>
      <c r="AVE661" s="734"/>
      <c r="AVF661" s="735"/>
      <c r="AVG661" s="734"/>
      <c r="AVH661" s="733"/>
      <c r="AVI661" s="734"/>
      <c r="AVJ661" s="735"/>
      <c r="AVK661" s="734"/>
      <c r="AVL661" s="733"/>
      <c r="AVM661" s="734"/>
      <c r="AVN661" s="735"/>
      <c r="AVO661" s="734"/>
      <c r="AVP661" s="733"/>
      <c r="AVQ661" s="734"/>
      <c r="AVR661" s="735"/>
      <c r="AVS661" s="734"/>
      <c r="AVT661" s="733"/>
      <c r="AVU661" s="734"/>
      <c r="AVV661" s="735"/>
      <c r="AVW661" s="734"/>
      <c r="AVX661" s="733"/>
      <c r="AVY661" s="734"/>
      <c r="AVZ661" s="735"/>
      <c r="AWA661" s="734"/>
      <c r="AWB661" s="733"/>
      <c r="AWC661" s="734"/>
      <c r="AWD661" s="735"/>
      <c r="AWE661" s="734"/>
      <c r="AWF661" s="733"/>
      <c r="AWG661" s="734"/>
      <c r="AWH661" s="735"/>
      <c r="AWI661" s="734"/>
      <c r="AWJ661" s="733"/>
      <c r="AWK661" s="734"/>
      <c r="AWL661" s="735"/>
      <c r="AWM661" s="734"/>
      <c r="AWN661" s="733"/>
      <c r="AWO661" s="734"/>
      <c r="AWP661" s="735"/>
      <c r="AWQ661" s="734"/>
      <c r="AWR661" s="733"/>
      <c r="AWS661" s="734"/>
      <c r="AWT661" s="735"/>
      <c r="AWU661" s="734"/>
      <c r="AWV661" s="733"/>
      <c r="AWW661" s="734"/>
      <c r="AWX661" s="735"/>
      <c r="AWY661" s="734"/>
      <c r="AWZ661" s="733"/>
      <c r="AXA661" s="734"/>
      <c r="AXB661" s="735"/>
      <c r="AXC661" s="734"/>
      <c r="AXD661" s="733"/>
      <c r="AXE661" s="734"/>
      <c r="AXF661" s="735"/>
      <c r="AXG661" s="734"/>
      <c r="AXH661" s="733"/>
      <c r="AXI661" s="734"/>
      <c r="AXJ661" s="735"/>
      <c r="AXK661" s="734"/>
      <c r="AXL661" s="733"/>
      <c r="AXM661" s="734"/>
      <c r="AXN661" s="735"/>
      <c r="AXO661" s="734"/>
      <c r="AXP661" s="733"/>
      <c r="AXQ661" s="734"/>
      <c r="AXR661" s="735"/>
      <c r="AXS661" s="734"/>
      <c r="AXT661" s="733"/>
      <c r="AXU661" s="734"/>
      <c r="AXV661" s="735"/>
      <c r="AXW661" s="734"/>
      <c r="AXX661" s="733"/>
      <c r="AXY661" s="734"/>
      <c r="AXZ661" s="735"/>
      <c r="AYA661" s="734"/>
      <c r="AYB661" s="733"/>
      <c r="AYC661" s="734"/>
      <c r="AYD661" s="735"/>
      <c r="AYE661" s="734"/>
      <c r="AYF661" s="733"/>
      <c r="AYG661" s="734"/>
      <c r="AYH661" s="735"/>
      <c r="AYI661" s="734"/>
      <c r="AYJ661" s="733"/>
      <c r="AYK661" s="734"/>
      <c r="AYL661" s="735"/>
      <c r="AYM661" s="734"/>
      <c r="AYN661" s="733"/>
      <c r="AYO661" s="734"/>
      <c r="AYP661" s="735"/>
      <c r="AYQ661" s="734"/>
      <c r="AYR661" s="733"/>
      <c r="AYS661" s="734"/>
      <c r="AYT661" s="735"/>
      <c r="AYU661" s="734"/>
      <c r="AYV661" s="733"/>
      <c r="AYW661" s="734"/>
      <c r="AYX661" s="735"/>
      <c r="AYY661" s="734"/>
      <c r="AYZ661" s="733"/>
      <c r="AZA661" s="734"/>
      <c r="AZB661" s="735"/>
      <c r="AZC661" s="734"/>
      <c r="AZD661" s="733"/>
      <c r="AZE661" s="734"/>
      <c r="AZF661" s="735"/>
      <c r="AZG661" s="734"/>
      <c r="AZH661" s="733"/>
      <c r="AZI661" s="734"/>
      <c r="AZJ661" s="735"/>
      <c r="AZK661" s="734"/>
      <c r="AZL661" s="733"/>
      <c r="AZM661" s="734"/>
      <c r="AZN661" s="735"/>
      <c r="AZO661" s="734"/>
      <c r="AZP661" s="733"/>
      <c r="AZQ661" s="734"/>
      <c r="AZR661" s="735"/>
      <c r="AZS661" s="734"/>
      <c r="AZT661" s="733"/>
      <c r="AZU661" s="734"/>
      <c r="AZV661" s="735"/>
      <c r="AZW661" s="734"/>
      <c r="AZX661" s="733"/>
      <c r="AZY661" s="734"/>
      <c r="AZZ661" s="735"/>
      <c r="BAA661" s="734"/>
      <c r="BAB661" s="733"/>
      <c r="BAC661" s="734"/>
      <c r="BAD661" s="735"/>
      <c r="BAE661" s="734"/>
      <c r="BAF661" s="733"/>
      <c r="BAG661" s="734"/>
      <c r="BAH661" s="735"/>
      <c r="BAI661" s="734"/>
      <c r="BAJ661" s="733"/>
      <c r="BAK661" s="734"/>
      <c r="BAL661" s="735"/>
      <c r="BAM661" s="734"/>
      <c r="BAN661" s="733"/>
      <c r="BAO661" s="734"/>
      <c r="BAP661" s="735"/>
      <c r="BAQ661" s="734"/>
      <c r="BAR661" s="733"/>
      <c r="BAS661" s="734"/>
      <c r="BAT661" s="735"/>
      <c r="BAU661" s="734"/>
      <c r="BAV661" s="733"/>
      <c r="BAW661" s="734"/>
      <c r="BAX661" s="735"/>
      <c r="BAY661" s="734"/>
      <c r="BAZ661" s="733"/>
      <c r="BBA661" s="734"/>
      <c r="BBB661" s="735"/>
      <c r="BBC661" s="734"/>
      <c r="BBD661" s="733"/>
      <c r="BBE661" s="734"/>
      <c r="BBF661" s="735"/>
      <c r="BBG661" s="734"/>
      <c r="BBH661" s="733"/>
      <c r="BBI661" s="734"/>
      <c r="BBJ661" s="735"/>
      <c r="BBK661" s="734"/>
      <c r="BBL661" s="733"/>
      <c r="BBM661" s="734"/>
      <c r="BBN661" s="735"/>
      <c r="BBO661" s="734"/>
      <c r="BBP661" s="733"/>
      <c r="BBQ661" s="734"/>
      <c r="BBR661" s="735"/>
      <c r="BBS661" s="734"/>
      <c r="BBT661" s="733"/>
      <c r="BBU661" s="734"/>
      <c r="BBV661" s="735"/>
      <c r="BBW661" s="734"/>
      <c r="BBX661" s="733"/>
      <c r="BBY661" s="734"/>
      <c r="BBZ661" s="735"/>
      <c r="BCA661" s="734"/>
      <c r="BCB661" s="733"/>
      <c r="BCC661" s="734"/>
      <c r="BCD661" s="735"/>
      <c r="BCE661" s="734"/>
      <c r="BCF661" s="733"/>
      <c r="BCG661" s="734"/>
      <c r="BCH661" s="735"/>
      <c r="BCI661" s="734"/>
      <c r="BCJ661" s="733"/>
      <c r="BCK661" s="734"/>
      <c r="BCL661" s="735"/>
      <c r="BCM661" s="734"/>
      <c r="BCN661" s="733"/>
      <c r="BCO661" s="734"/>
      <c r="BCP661" s="735"/>
      <c r="BCQ661" s="734"/>
      <c r="BCR661" s="733"/>
      <c r="BCS661" s="734"/>
      <c r="BCT661" s="735"/>
      <c r="BCU661" s="734"/>
      <c r="BCV661" s="733"/>
      <c r="BCW661" s="734"/>
      <c r="BCX661" s="735"/>
      <c r="BCY661" s="734"/>
      <c r="BCZ661" s="733"/>
      <c r="BDA661" s="734"/>
      <c r="BDB661" s="735"/>
      <c r="BDC661" s="734"/>
      <c r="BDD661" s="733"/>
      <c r="BDE661" s="734"/>
      <c r="BDF661" s="735"/>
      <c r="BDG661" s="734"/>
      <c r="BDH661" s="733"/>
      <c r="BDI661" s="734"/>
      <c r="BDJ661" s="735"/>
      <c r="BDK661" s="734"/>
      <c r="BDL661" s="733"/>
      <c r="BDM661" s="734"/>
      <c r="BDN661" s="735"/>
      <c r="BDO661" s="734"/>
      <c r="BDP661" s="733"/>
      <c r="BDQ661" s="734"/>
      <c r="BDR661" s="735"/>
      <c r="BDS661" s="734"/>
      <c r="BDT661" s="733"/>
      <c r="BDU661" s="734"/>
      <c r="BDV661" s="735"/>
      <c r="BDW661" s="734"/>
      <c r="BDX661" s="733"/>
      <c r="BDY661" s="734"/>
      <c r="BDZ661" s="735"/>
      <c r="BEA661" s="734"/>
      <c r="BEB661" s="733"/>
      <c r="BEC661" s="734"/>
      <c r="BED661" s="735"/>
      <c r="BEE661" s="734"/>
      <c r="BEF661" s="733"/>
      <c r="BEG661" s="734"/>
      <c r="BEH661" s="735"/>
      <c r="BEI661" s="734"/>
      <c r="BEJ661" s="733"/>
      <c r="BEK661" s="734"/>
      <c r="BEL661" s="735"/>
      <c r="BEM661" s="734"/>
      <c r="BEN661" s="733"/>
      <c r="BEO661" s="734"/>
      <c r="BEP661" s="735"/>
      <c r="BEQ661" s="734"/>
      <c r="BER661" s="733"/>
      <c r="BES661" s="734"/>
      <c r="BET661" s="735"/>
      <c r="BEU661" s="734"/>
      <c r="BEV661" s="733"/>
      <c r="BEW661" s="734"/>
      <c r="BEX661" s="735"/>
      <c r="BEY661" s="734"/>
      <c r="BEZ661" s="733"/>
      <c r="BFA661" s="734"/>
      <c r="BFB661" s="735"/>
      <c r="BFC661" s="734"/>
      <c r="BFD661" s="733"/>
      <c r="BFE661" s="734"/>
      <c r="BFF661" s="735"/>
      <c r="BFG661" s="734"/>
      <c r="BFH661" s="733"/>
      <c r="BFI661" s="734"/>
      <c r="BFJ661" s="735"/>
      <c r="BFK661" s="734"/>
      <c r="BFL661" s="733"/>
      <c r="BFM661" s="734"/>
      <c r="BFN661" s="735"/>
      <c r="BFO661" s="734"/>
      <c r="BFP661" s="733"/>
      <c r="BFQ661" s="734"/>
      <c r="BFR661" s="735"/>
      <c r="BFS661" s="734"/>
      <c r="BFT661" s="733"/>
      <c r="BFU661" s="734"/>
      <c r="BFV661" s="735"/>
      <c r="BFW661" s="734"/>
      <c r="BFX661" s="733"/>
      <c r="BFY661" s="734"/>
      <c r="BFZ661" s="735"/>
      <c r="BGA661" s="734"/>
      <c r="BGB661" s="733"/>
      <c r="BGC661" s="734"/>
      <c r="BGD661" s="735"/>
      <c r="BGE661" s="734"/>
      <c r="BGF661" s="733"/>
      <c r="BGG661" s="734"/>
      <c r="BGH661" s="735"/>
      <c r="BGI661" s="734"/>
      <c r="BGJ661" s="733"/>
      <c r="BGK661" s="734"/>
      <c r="BGL661" s="735"/>
      <c r="BGM661" s="734"/>
      <c r="BGN661" s="733"/>
      <c r="BGO661" s="734"/>
      <c r="BGP661" s="735"/>
      <c r="BGQ661" s="734"/>
      <c r="BGR661" s="733"/>
      <c r="BGS661" s="734"/>
      <c r="BGT661" s="735"/>
      <c r="BGU661" s="734"/>
      <c r="BGV661" s="733"/>
      <c r="BGW661" s="734"/>
      <c r="BGX661" s="735"/>
      <c r="BGY661" s="734"/>
      <c r="BGZ661" s="733"/>
      <c r="BHA661" s="734"/>
      <c r="BHB661" s="735"/>
      <c r="BHC661" s="734"/>
      <c r="BHD661" s="733"/>
      <c r="BHE661" s="734"/>
      <c r="BHF661" s="735"/>
      <c r="BHG661" s="734"/>
      <c r="BHH661" s="733"/>
      <c r="BHI661" s="734"/>
      <c r="BHJ661" s="735"/>
      <c r="BHK661" s="734"/>
      <c r="BHL661" s="733"/>
      <c r="BHM661" s="734"/>
      <c r="BHN661" s="735"/>
      <c r="BHO661" s="734"/>
      <c r="BHP661" s="733"/>
      <c r="BHQ661" s="734"/>
      <c r="BHR661" s="735"/>
      <c r="BHS661" s="734"/>
      <c r="BHT661" s="733"/>
      <c r="BHU661" s="734"/>
      <c r="BHV661" s="735"/>
      <c r="BHW661" s="734"/>
      <c r="BHX661" s="733"/>
      <c r="BHY661" s="734"/>
      <c r="BHZ661" s="735"/>
      <c r="BIA661" s="734"/>
      <c r="BIB661" s="733"/>
      <c r="BIC661" s="734"/>
      <c r="BID661" s="735"/>
      <c r="BIE661" s="734"/>
      <c r="BIF661" s="733"/>
      <c r="BIG661" s="734"/>
      <c r="BIH661" s="735"/>
      <c r="BII661" s="734"/>
      <c r="BIJ661" s="733"/>
      <c r="BIK661" s="734"/>
      <c r="BIL661" s="735"/>
      <c r="BIM661" s="734"/>
      <c r="BIN661" s="733"/>
      <c r="BIO661" s="734"/>
      <c r="BIP661" s="735"/>
      <c r="BIQ661" s="734"/>
      <c r="BIR661" s="733"/>
      <c r="BIS661" s="734"/>
      <c r="BIT661" s="735"/>
      <c r="BIU661" s="734"/>
      <c r="BIV661" s="733"/>
      <c r="BIW661" s="734"/>
      <c r="BIX661" s="735"/>
      <c r="BIY661" s="734"/>
      <c r="BIZ661" s="733"/>
      <c r="BJA661" s="734"/>
      <c r="BJB661" s="735"/>
      <c r="BJC661" s="734"/>
      <c r="BJD661" s="733"/>
      <c r="BJE661" s="734"/>
      <c r="BJF661" s="735"/>
      <c r="BJG661" s="734"/>
      <c r="BJH661" s="733"/>
      <c r="BJI661" s="734"/>
      <c r="BJJ661" s="735"/>
      <c r="BJK661" s="734"/>
      <c r="BJL661" s="733"/>
      <c r="BJM661" s="734"/>
      <c r="BJN661" s="735"/>
      <c r="BJO661" s="734"/>
      <c r="BJP661" s="733"/>
      <c r="BJQ661" s="734"/>
      <c r="BJR661" s="735"/>
      <c r="BJS661" s="734"/>
      <c r="BJT661" s="733"/>
      <c r="BJU661" s="734"/>
      <c r="BJV661" s="735"/>
      <c r="BJW661" s="734"/>
      <c r="BJX661" s="733"/>
      <c r="BJY661" s="734"/>
      <c r="BJZ661" s="735"/>
      <c r="BKA661" s="734"/>
      <c r="BKB661" s="733"/>
      <c r="BKC661" s="734"/>
      <c r="BKD661" s="735"/>
      <c r="BKE661" s="734"/>
      <c r="BKF661" s="733"/>
      <c r="BKG661" s="734"/>
      <c r="BKH661" s="735"/>
      <c r="BKI661" s="734"/>
      <c r="BKJ661" s="733"/>
      <c r="BKK661" s="734"/>
      <c r="BKL661" s="735"/>
      <c r="BKM661" s="734"/>
      <c r="BKN661" s="733"/>
      <c r="BKO661" s="734"/>
      <c r="BKP661" s="735"/>
      <c r="BKQ661" s="734"/>
      <c r="BKR661" s="733"/>
      <c r="BKS661" s="734"/>
      <c r="BKT661" s="735"/>
      <c r="BKU661" s="734"/>
      <c r="BKV661" s="733"/>
      <c r="BKW661" s="734"/>
      <c r="BKX661" s="735"/>
      <c r="BKY661" s="734"/>
      <c r="BKZ661" s="733"/>
      <c r="BLA661" s="734"/>
      <c r="BLB661" s="735"/>
      <c r="BLC661" s="734"/>
      <c r="BLD661" s="733"/>
      <c r="BLE661" s="734"/>
      <c r="BLF661" s="735"/>
      <c r="BLG661" s="734"/>
      <c r="BLH661" s="733"/>
      <c r="BLI661" s="734"/>
      <c r="BLJ661" s="735"/>
      <c r="BLK661" s="734"/>
      <c r="BLL661" s="733"/>
      <c r="BLM661" s="734"/>
      <c r="BLN661" s="735"/>
      <c r="BLO661" s="734"/>
      <c r="BLP661" s="733"/>
      <c r="BLQ661" s="734"/>
      <c r="BLR661" s="735"/>
      <c r="BLS661" s="734"/>
      <c r="BLT661" s="733"/>
      <c r="BLU661" s="734"/>
      <c r="BLV661" s="735"/>
      <c r="BLW661" s="734"/>
      <c r="BLX661" s="733"/>
      <c r="BLY661" s="734"/>
      <c r="BLZ661" s="735"/>
      <c r="BMA661" s="734"/>
      <c r="BMB661" s="733"/>
      <c r="BMC661" s="734"/>
      <c r="BMD661" s="735"/>
      <c r="BME661" s="734"/>
      <c r="BMF661" s="733"/>
      <c r="BMG661" s="734"/>
      <c r="BMH661" s="735"/>
      <c r="BMI661" s="734"/>
      <c r="BMJ661" s="733"/>
      <c r="BMK661" s="734"/>
      <c r="BML661" s="735"/>
      <c r="BMM661" s="734"/>
      <c r="BMN661" s="733"/>
      <c r="BMO661" s="734"/>
      <c r="BMP661" s="735"/>
      <c r="BMQ661" s="734"/>
      <c r="BMR661" s="733"/>
      <c r="BMS661" s="734"/>
      <c r="BMT661" s="735"/>
      <c r="BMU661" s="734"/>
      <c r="BMV661" s="733"/>
      <c r="BMW661" s="734"/>
      <c r="BMX661" s="735"/>
      <c r="BMY661" s="734"/>
      <c r="BMZ661" s="733"/>
      <c r="BNA661" s="734"/>
      <c r="BNB661" s="735"/>
      <c r="BNC661" s="734"/>
      <c r="BND661" s="733"/>
      <c r="BNE661" s="734"/>
      <c r="BNF661" s="735"/>
      <c r="BNG661" s="734"/>
      <c r="BNH661" s="733"/>
      <c r="BNI661" s="734"/>
      <c r="BNJ661" s="735"/>
      <c r="BNK661" s="734"/>
      <c r="BNL661" s="733"/>
      <c r="BNM661" s="734"/>
      <c r="BNN661" s="735"/>
      <c r="BNO661" s="734"/>
      <c r="BNP661" s="733"/>
      <c r="BNQ661" s="734"/>
      <c r="BNR661" s="735"/>
      <c r="BNS661" s="734"/>
      <c r="BNT661" s="733"/>
      <c r="BNU661" s="734"/>
      <c r="BNV661" s="735"/>
      <c r="BNW661" s="734"/>
      <c r="BNX661" s="733"/>
      <c r="BNY661" s="734"/>
      <c r="BNZ661" s="735"/>
      <c r="BOA661" s="734"/>
      <c r="BOB661" s="733"/>
      <c r="BOC661" s="734"/>
      <c r="BOD661" s="735"/>
      <c r="BOE661" s="734"/>
      <c r="BOF661" s="733"/>
      <c r="BOG661" s="734"/>
      <c r="BOH661" s="735"/>
      <c r="BOI661" s="734"/>
      <c r="BOJ661" s="733"/>
      <c r="BOK661" s="734"/>
      <c r="BOL661" s="735"/>
      <c r="BOM661" s="734"/>
      <c r="BON661" s="733"/>
      <c r="BOO661" s="734"/>
      <c r="BOP661" s="735"/>
      <c r="BOQ661" s="734"/>
      <c r="BOR661" s="733"/>
      <c r="BOS661" s="734"/>
      <c r="BOT661" s="735"/>
      <c r="BOU661" s="734"/>
      <c r="BOV661" s="733"/>
      <c r="BOW661" s="734"/>
      <c r="BOX661" s="735"/>
      <c r="BOY661" s="734"/>
      <c r="BOZ661" s="733"/>
      <c r="BPA661" s="734"/>
      <c r="BPB661" s="735"/>
      <c r="BPC661" s="734"/>
      <c r="BPD661" s="733"/>
      <c r="BPE661" s="734"/>
      <c r="BPF661" s="735"/>
      <c r="BPG661" s="734"/>
      <c r="BPH661" s="733"/>
      <c r="BPI661" s="734"/>
      <c r="BPJ661" s="735"/>
      <c r="BPK661" s="734"/>
      <c r="BPL661" s="733"/>
      <c r="BPM661" s="734"/>
      <c r="BPN661" s="735"/>
      <c r="BPO661" s="734"/>
      <c r="BPP661" s="733"/>
      <c r="BPQ661" s="734"/>
      <c r="BPR661" s="735"/>
      <c r="BPS661" s="734"/>
      <c r="BPT661" s="733"/>
      <c r="BPU661" s="734"/>
      <c r="BPV661" s="735"/>
      <c r="BPW661" s="734"/>
      <c r="BPX661" s="733"/>
      <c r="BPY661" s="734"/>
      <c r="BPZ661" s="735"/>
      <c r="BQA661" s="734"/>
      <c r="BQB661" s="733"/>
      <c r="BQC661" s="734"/>
      <c r="BQD661" s="735"/>
      <c r="BQE661" s="734"/>
      <c r="BQF661" s="733"/>
      <c r="BQG661" s="734"/>
      <c r="BQH661" s="735"/>
      <c r="BQI661" s="734"/>
      <c r="BQJ661" s="733"/>
      <c r="BQK661" s="734"/>
      <c r="BQL661" s="735"/>
      <c r="BQM661" s="734"/>
      <c r="BQN661" s="733"/>
      <c r="BQO661" s="734"/>
      <c r="BQP661" s="735"/>
      <c r="BQQ661" s="734"/>
      <c r="BQR661" s="733"/>
      <c r="BQS661" s="734"/>
      <c r="BQT661" s="735"/>
      <c r="BQU661" s="734"/>
      <c r="BQV661" s="733"/>
      <c r="BQW661" s="734"/>
      <c r="BQX661" s="735"/>
      <c r="BQY661" s="734"/>
      <c r="BQZ661" s="733"/>
      <c r="BRA661" s="734"/>
      <c r="BRB661" s="735"/>
      <c r="BRC661" s="734"/>
      <c r="BRD661" s="733"/>
      <c r="BRE661" s="734"/>
      <c r="BRF661" s="735"/>
      <c r="BRG661" s="734"/>
      <c r="BRH661" s="733"/>
      <c r="BRI661" s="734"/>
      <c r="BRJ661" s="735"/>
      <c r="BRK661" s="734"/>
      <c r="BRL661" s="733"/>
      <c r="BRM661" s="734"/>
      <c r="BRN661" s="735"/>
      <c r="BRO661" s="734"/>
      <c r="BRP661" s="733"/>
      <c r="BRQ661" s="734"/>
      <c r="BRR661" s="735"/>
      <c r="BRS661" s="734"/>
      <c r="BRT661" s="733"/>
      <c r="BRU661" s="734"/>
      <c r="BRV661" s="735"/>
      <c r="BRW661" s="734"/>
      <c r="BRX661" s="733"/>
      <c r="BRY661" s="734"/>
      <c r="BRZ661" s="735"/>
      <c r="BSA661" s="734"/>
      <c r="BSB661" s="733"/>
      <c r="BSC661" s="734"/>
      <c r="BSD661" s="735"/>
      <c r="BSE661" s="734"/>
      <c r="BSF661" s="733"/>
      <c r="BSG661" s="734"/>
      <c r="BSH661" s="735"/>
      <c r="BSI661" s="734"/>
      <c r="BSJ661" s="733"/>
      <c r="BSK661" s="734"/>
      <c r="BSL661" s="735"/>
      <c r="BSM661" s="734"/>
      <c r="BSN661" s="733"/>
      <c r="BSO661" s="734"/>
      <c r="BSP661" s="735"/>
      <c r="BSQ661" s="734"/>
      <c r="BSR661" s="733"/>
      <c r="BSS661" s="734"/>
      <c r="BST661" s="735"/>
      <c r="BSU661" s="734"/>
      <c r="BSV661" s="733"/>
      <c r="BSW661" s="734"/>
      <c r="BSX661" s="735"/>
      <c r="BSY661" s="734"/>
      <c r="BSZ661" s="733"/>
      <c r="BTA661" s="734"/>
      <c r="BTB661" s="735"/>
      <c r="BTC661" s="734"/>
      <c r="BTD661" s="733"/>
      <c r="BTE661" s="734"/>
      <c r="BTF661" s="735"/>
      <c r="BTG661" s="734"/>
      <c r="BTH661" s="733"/>
      <c r="BTI661" s="734"/>
      <c r="BTJ661" s="735"/>
      <c r="BTK661" s="734"/>
      <c r="BTL661" s="733"/>
      <c r="BTM661" s="734"/>
      <c r="BTN661" s="735"/>
      <c r="BTO661" s="734"/>
      <c r="BTP661" s="733"/>
      <c r="BTQ661" s="734"/>
      <c r="BTR661" s="735"/>
      <c r="BTS661" s="734"/>
      <c r="BTT661" s="733"/>
      <c r="BTU661" s="734"/>
      <c r="BTV661" s="735"/>
      <c r="BTW661" s="734"/>
      <c r="BTX661" s="733"/>
      <c r="BTY661" s="734"/>
      <c r="BTZ661" s="735"/>
      <c r="BUA661" s="734"/>
      <c r="BUB661" s="733"/>
      <c r="BUC661" s="734"/>
      <c r="BUD661" s="735"/>
      <c r="BUE661" s="734"/>
      <c r="BUF661" s="733"/>
      <c r="BUG661" s="734"/>
      <c r="BUH661" s="735"/>
      <c r="BUI661" s="734"/>
      <c r="BUJ661" s="733"/>
      <c r="BUK661" s="734"/>
      <c r="BUL661" s="735"/>
      <c r="BUM661" s="734"/>
      <c r="BUN661" s="733"/>
      <c r="BUO661" s="734"/>
      <c r="BUP661" s="735"/>
      <c r="BUQ661" s="734"/>
      <c r="BUR661" s="733"/>
      <c r="BUS661" s="734"/>
      <c r="BUT661" s="735"/>
      <c r="BUU661" s="734"/>
      <c r="BUV661" s="733"/>
      <c r="BUW661" s="734"/>
      <c r="BUX661" s="735"/>
      <c r="BUY661" s="734"/>
      <c r="BUZ661" s="733"/>
      <c r="BVA661" s="734"/>
      <c r="BVB661" s="735"/>
      <c r="BVC661" s="734"/>
      <c r="BVD661" s="733"/>
      <c r="BVE661" s="734"/>
      <c r="BVF661" s="735"/>
      <c r="BVG661" s="734"/>
      <c r="BVH661" s="733"/>
      <c r="BVI661" s="734"/>
      <c r="BVJ661" s="735"/>
      <c r="BVK661" s="734"/>
      <c r="BVL661" s="733"/>
      <c r="BVM661" s="734"/>
      <c r="BVN661" s="735"/>
      <c r="BVO661" s="734"/>
      <c r="BVP661" s="733"/>
      <c r="BVQ661" s="734"/>
      <c r="BVR661" s="735"/>
      <c r="BVS661" s="734"/>
      <c r="BVT661" s="733"/>
      <c r="BVU661" s="734"/>
      <c r="BVV661" s="735"/>
      <c r="BVW661" s="734"/>
      <c r="BVX661" s="733"/>
      <c r="BVY661" s="734"/>
      <c r="BVZ661" s="735"/>
      <c r="BWA661" s="734"/>
      <c r="BWB661" s="733"/>
      <c r="BWC661" s="734"/>
      <c r="BWD661" s="735"/>
      <c r="BWE661" s="734"/>
      <c r="BWF661" s="733"/>
      <c r="BWG661" s="734"/>
      <c r="BWH661" s="735"/>
      <c r="BWI661" s="734"/>
      <c r="BWJ661" s="733"/>
      <c r="BWK661" s="734"/>
      <c r="BWL661" s="735"/>
      <c r="BWM661" s="734"/>
      <c r="BWN661" s="733"/>
      <c r="BWO661" s="734"/>
      <c r="BWP661" s="735"/>
      <c r="BWQ661" s="734"/>
      <c r="BWR661" s="733"/>
      <c r="BWS661" s="734"/>
      <c r="BWT661" s="735"/>
      <c r="BWU661" s="734"/>
      <c r="BWV661" s="733"/>
      <c r="BWW661" s="734"/>
      <c r="BWX661" s="735"/>
      <c r="BWY661" s="734"/>
      <c r="BWZ661" s="733"/>
      <c r="BXA661" s="734"/>
      <c r="BXB661" s="735"/>
      <c r="BXC661" s="734"/>
      <c r="BXD661" s="733"/>
      <c r="BXE661" s="734"/>
      <c r="BXF661" s="735"/>
      <c r="BXG661" s="734"/>
      <c r="BXH661" s="733"/>
      <c r="BXI661" s="734"/>
      <c r="BXJ661" s="735"/>
      <c r="BXK661" s="734"/>
      <c r="BXL661" s="733"/>
      <c r="BXM661" s="734"/>
      <c r="BXN661" s="735"/>
      <c r="BXO661" s="734"/>
      <c r="BXP661" s="733"/>
      <c r="BXQ661" s="734"/>
      <c r="BXR661" s="735"/>
      <c r="BXS661" s="734"/>
      <c r="BXT661" s="733"/>
      <c r="BXU661" s="734"/>
      <c r="BXV661" s="735"/>
      <c r="BXW661" s="734"/>
      <c r="BXX661" s="733"/>
      <c r="BXY661" s="734"/>
      <c r="BXZ661" s="735"/>
      <c r="BYA661" s="734"/>
      <c r="BYB661" s="733"/>
      <c r="BYC661" s="734"/>
      <c r="BYD661" s="735"/>
      <c r="BYE661" s="734"/>
      <c r="BYF661" s="733"/>
      <c r="BYG661" s="734"/>
      <c r="BYH661" s="735"/>
      <c r="BYI661" s="734"/>
      <c r="BYJ661" s="733"/>
      <c r="BYK661" s="734"/>
      <c r="BYL661" s="735"/>
      <c r="BYM661" s="734"/>
      <c r="BYN661" s="733"/>
      <c r="BYO661" s="734"/>
      <c r="BYP661" s="735"/>
      <c r="BYQ661" s="734"/>
      <c r="BYR661" s="733"/>
      <c r="BYS661" s="734"/>
      <c r="BYT661" s="735"/>
      <c r="BYU661" s="734"/>
      <c r="BYV661" s="733"/>
      <c r="BYW661" s="734"/>
      <c r="BYX661" s="735"/>
      <c r="BYY661" s="734"/>
      <c r="BYZ661" s="733"/>
      <c r="BZA661" s="734"/>
      <c r="BZB661" s="735"/>
      <c r="BZC661" s="734"/>
      <c r="BZD661" s="733"/>
      <c r="BZE661" s="734"/>
      <c r="BZF661" s="735"/>
      <c r="BZG661" s="734"/>
      <c r="BZH661" s="733"/>
      <c r="BZI661" s="734"/>
      <c r="BZJ661" s="735"/>
      <c r="BZK661" s="734"/>
      <c r="BZL661" s="733"/>
      <c r="BZM661" s="734"/>
      <c r="BZN661" s="735"/>
      <c r="BZO661" s="734"/>
      <c r="BZP661" s="733"/>
      <c r="BZQ661" s="734"/>
      <c r="BZR661" s="735"/>
      <c r="BZS661" s="734"/>
      <c r="BZT661" s="733"/>
      <c r="BZU661" s="734"/>
      <c r="BZV661" s="735"/>
      <c r="BZW661" s="734"/>
      <c r="BZX661" s="733"/>
      <c r="BZY661" s="734"/>
      <c r="BZZ661" s="735"/>
      <c r="CAA661" s="734"/>
      <c r="CAB661" s="733"/>
      <c r="CAC661" s="734"/>
      <c r="CAD661" s="735"/>
      <c r="CAE661" s="734"/>
      <c r="CAF661" s="733"/>
      <c r="CAG661" s="734"/>
      <c r="CAH661" s="735"/>
      <c r="CAI661" s="734"/>
      <c r="CAJ661" s="733"/>
      <c r="CAK661" s="734"/>
      <c r="CAL661" s="735"/>
      <c r="CAM661" s="734"/>
      <c r="CAN661" s="733"/>
      <c r="CAO661" s="734"/>
      <c r="CAP661" s="735"/>
      <c r="CAQ661" s="734"/>
      <c r="CAR661" s="733"/>
      <c r="CAS661" s="734"/>
      <c r="CAT661" s="735"/>
      <c r="CAU661" s="734"/>
      <c r="CAV661" s="733"/>
      <c r="CAW661" s="734"/>
      <c r="CAX661" s="735"/>
      <c r="CAY661" s="734"/>
      <c r="CAZ661" s="733"/>
      <c r="CBA661" s="734"/>
      <c r="CBB661" s="735"/>
      <c r="CBC661" s="734"/>
      <c r="CBD661" s="733"/>
      <c r="CBE661" s="734"/>
      <c r="CBF661" s="735"/>
      <c r="CBG661" s="734"/>
      <c r="CBH661" s="733"/>
      <c r="CBI661" s="734"/>
      <c r="CBJ661" s="735"/>
      <c r="CBK661" s="734"/>
      <c r="CBL661" s="733"/>
      <c r="CBM661" s="734"/>
      <c r="CBN661" s="735"/>
      <c r="CBO661" s="734"/>
      <c r="CBP661" s="733"/>
      <c r="CBQ661" s="734"/>
      <c r="CBR661" s="735"/>
      <c r="CBS661" s="734"/>
      <c r="CBT661" s="733"/>
      <c r="CBU661" s="734"/>
      <c r="CBV661" s="735"/>
      <c r="CBW661" s="734"/>
      <c r="CBX661" s="733"/>
      <c r="CBY661" s="734"/>
      <c r="CBZ661" s="735"/>
      <c r="CCA661" s="734"/>
      <c r="CCB661" s="733"/>
      <c r="CCC661" s="734"/>
      <c r="CCD661" s="735"/>
      <c r="CCE661" s="734"/>
      <c r="CCF661" s="733"/>
      <c r="CCG661" s="734"/>
      <c r="CCH661" s="735"/>
      <c r="CCI661" s="734"/>
      <c r="CCJ661" s="733"/>
      <c r="CCK661" s="734"/>
      <c r="CCL661" s="735"/>
      <c r="CCM661" s="734"/>
      <c r="CCN661" s="733"/>
      <c r="CCO661" s="734"/>
      <c r="CCP661" s="735"/>
      <c r="CCQ661" s="734"/>
      <c r="CCR661" s="733"/>
      <c r="CCS661" s="734"/>
      <c r="CCT661" s="735"/>
      <c r="CCU661" s="734"/>
      <c r="CCV661" s="733"/>
      <c r="CCW661" s="734"/>
      <c r="CCX661" s="735"/>
      <c r="CCY661" s="734"/>
      <c r="CCZ661" s="733"/>
      <c r="CDA661" s="734"/>
      <c r="CDB661" s="735"/>
      <c r="CDC661" s="734"/>
      <c r="CDD661" s="733"/>
      <c r="CDE661" s="734"/>
      <c r="CDF661" s="735"/>
      <c r="CDG661" s="734"/>
      <c r="CDH661" s="733"/>
      <c r="CDI661" s="734"/>
      <c r="CDJ661" s="735"/>
      <c r="CDK661" s="734"/>
      <c r="CDL661" s="733"/>
      <c r="CDM661" s="734"/>
      <c r="CDN661" s="735"/>
      <c r="CDO661" s="734"/>
      <c r="CDP661" s="733"/>
      <c r="CDQ661" s="734"/>
      <c r="CDR661" s="735"/>
      <c r="CDS661" s="734"/>
      <c r="CDT661" s="733"/>
      <c r="CDU661" s="734"/>
      <c r="CDV661" s="735"/>
      <c r="CDW661" s="734"/>
      <c r="CDX661" s="733"/>
      <c r="CDY661" s="734"/>
      <c r="CDZ661" s="735"/>
      <c r="CEA661" s="734"/>
      <c r="CEB661" s="733"/>
      <c r="CEC661" s="734"/>
      <c r="CED661" s="735"/>
      <c r="CEE661" s="734"/>
      <c r="CEF661" s="733"/>
      <c r="CEG661" s="734"/>
      <c r="CEH661" s="735"/>
      <c r="CEI661" s="734"/>
      <c r="CEJ661" s="733"/>
      <c r="CEK661" s="734"/>
      <c r="CEL661" s="735"/>
      <c r="CEM661" s="734"/>
      <c r="CEN661" s="733"/>
      <c r="CEO661" s="734"/>
      <c r="CEP661" s="735"/>
      <c r="CEQ661" s="734"/>
      <c r="CER661" s="733"/>
      <c r="CES661" s="734"/>
      <c r="CET661" s="735"/>
      <c r="CEU661" s="734"/>
      <c r="CEV661" s="733"/>
      <c r="CEW661" s="734"/>
      <c r="CEX661" s="735"/>
      <c r="CEY661" s="734"/>
      <c r="CEZ661" s="733"/>
      <c r="CFA661" s="734"/>
      <c r="CFB661" s="735"/>
      <c r="CFC661" s="734"/>
      <c r="CFD661" s="733"/>
      <c r="CFE661" s="734"/>
      <c r="CFF661" s="735"/>
      <c r="CFG661" s="734"/>
      <c r="CFH661" s="733"/>
      <c r="CFI661" s="734"/>
      <c r="CFJ661" s="735"/>
      <c r="CFK661" s="734"/>
      <c r="CFL661" s="733"/>
      <c r="CFM661" s="734"/>
      <c r="CFN661" s="735"/>
      <c r="CFO661" s="734"/>
      <c r="CFP661" s="733"/>
      <c r="CFQ661" s="734"/>
      <c r="CFR661" s="735"/>
      <c r="CFS661" s="734"/>
      <c r="CFT661" s="733"/>
      <c r="CFU661" s="734"/>
      <c r="CFV661" s="735"/>
      <c r="CFW661" s="734"/>
      <c r="CFX661" s="733"/>
      <c r="CFY661" s="734"/>
      <c r="CFZ661" s="735"/>
      <c r="CGA661" s="734"/>
      <c r="CGB661" s="733"/>
      <c r="CGC661" s="734"/>
      <c r="CGD661" s="735"/>
      <c r="CGE661" s="734"/>
      <c r="CGF661" s="733"/>
      <c r="CGG661" s="734"/>
      <c r="CGH661" s="735"/>
      <c r="CGI661" s="734"/>
      <c r="CGJ661" s="733"/>
      <c r="CGK661" s="734"/>
      <c r="CGL661" s="735"/>
      <c r="CGM661" s="734"/>
      <c r="CGN661" s="733"/>
      <c r="CGO661" s="734"/>
      <c r="CGP661" s="735"/>
      <c r="CGQ661" s="734"/>
      <c r="CGR661" s="733"/>
      <c r="CGS661" s="734"/>
      <c r="CGT661" s="735"/>
      <c r="CGU661" s="734"/>
      <c r="CGV661" s="733"/>
      <c r="CGW661" s="734"/>
      <c r="CGX661" s="735"/>
      <c r="CGY661" s="734"/>
      <c r="CGZ661" s="733"/>
      <c r="CHA661" s="734"/>
      <c r="CHB661" s="735"/>
      <c r="CHC661" s="734"/>
      <c r="CHD661" s="733"/>
      <c r="CHE661" s="734"/>
      <c r="CHF661" s="735"/>
      <c r="CHG661" s="734"/>
      <c r="CHH661" s="733"/>
      <c r="CHI661" s="734"/>
      <c r="CHJ661" s="735"/>
      <c r="CHK661" s="734"/>
      <c r="CHL661" s="733"/>
      <c r="CHM661" s="734"/>
      <c r="CHN661" s="735"/>
      <c r="CHO661" s="734"/>
      <c r="CHP661" s="733"/>
      <c r="CHQ661" s="734"/>
      <c r="CHR661" s="735"/>
      <c r="CHS661" s="734"/>
      <c r="CHT661" s="733"/>
      <c r="CHU661" s="734"/>
      <c r="CHV661" s="735"/>
      <c r="CHW661" s="734"/>
      <c r="CHX661" s="733"/>
      <c r="CHY661" s="734"/>
      <c r="CHZ661" s="735"/>
      <c r="CIA661" s="734"/>
      <c r="CIB661" s="733"/>
      <c r="CIC661" s="734"/>
      <c r="CID661" s="735"/>
      <c r="CIE661" s="734"/>
      <c r="CIF661" s="733"/>
      <c r="CIG661" s="734"/>
      <c r="CIH661" s="735"/>
      <c r="CII661" s="734"/>
      <c r="CIJ661" s="733"/>
      <c r="CIK661" s="734"/>
      <c r="CIL661" s="735"/>
      <c r="CIM661" s="734"/>
      <c r="CIN661" s="733"/>
      <c r="CIO661" s="734"/>
      <c r="CIP661" s="735"/>
      <c r="CIQ661" s="734"/>
      <c r="CIR661" s="733"/>
      <c r="CIS661" s="734"/>
      <c r="CIT661" s="735"/>
      <c r="CIU661" s="734"/>
      <c r="CIV661" s="733"/>
      <c r="CIW661" s="734"/>
      <c r="CIX661" s="735"/>
      <c r="CIY661" s="734"/>
      <c r="CIZ661" s="733"/>
      <c r="CJA661" s="734"/>
      <c r="CJB661" s="735"/>
      <c r="CJC661" s="734"/>
      <c r="CJD661" s="733"/>
      <c r="CJE661" s="734"/>
      <c r="CJF661" s="735"/>
      <c r="CJG661" s="734"/>
      <c r="CJH661" s="733"/>
      <c r="CJI661" s="734"/>
      <c r="CJJ661" s="735"/>
      <c r="CJK661" s="734"/>
      <c r="CJL661" s="733"/>
      <c r="CJM661" s="734"/>
      <c r="CJN661" s="735"/>
      <c r="CJO661" s="734"/>
      <c r="CJP661" s="733"/>
      <c r="CJQ661" s="734"/>
      <c r="CJR661" s="735"/>
      <c r="CJS661" s="734"/>
      <c r="CJT661" s="733"/>
      <c r="CJU661" s="734"/>
      <c r="CJV661" s="735"/>
      <c r="CJW661" s="734"/>
      <c r="CJX661" s="733"/>
      <c r="CJY661" s="734"/>
      <c r="CJZ661" s="735"/>
      <c r="CKA661" s="734"/>
      <c r="CKB661" s="733"/>
      <c r="CKC661" s="734"/>
      <c r="CKD661" s="735"/>
      <c r="CKE661" s="734"/>
      <c r="CKF661" s="733"/>
      <c r="CKG661" s="734"/>
      <c r="CKH661" s="735"/>
      <c r="CKI661" s="734"/>
      <c r="CKJ661" s="733"/>
      <c r="CKK661" s="734"/>
      <c r="CKL661" s="735"/>
      <c r="CKM661" s="734"/>
      <c r="CKN661" s="733"/>
      <c r="CKO661" s="734"/>
      <c r="CKP661" s="735"/>
      <c r="CKQ661" s="734"/>
      <c r="CKR661" s="733"/>
      <c r="CKS661" s="734"/>
      <c r="CKT661" s="735"/>
      <c r="CKU661" s="734"/>
      <c r="CKV661" s="733"/>
      <c r="CKW661" s="734"/>
      <c r="CKX661" s="735"/>
      <c r="CKY661" s="734"/>
      <c r="CKZ661" s="733"/>
      <c r="CLA661" s="734"/>
      <c r="CLB661" s="735"/>
      <c r="CLC661" s="734"/>
      <c r="CLD661" s="733"/>
      <c r="CLE661" s="734"/>
      <c r="CLF661" s="735"/>
      <c r="CLG661" s="734"/>
      <c r="CLH661" s="733"/>
      <c r="CLI661" s="734"/>
      <c r="CLJ661" s="735"/>
      <c r="CLK661" s="734"/>
      <c r="CLL661" s="733"/>
      <c r="CLM661" s="734"/>
      <c r="CLN661" s="735"/>
      <c r="CLO661" s="734"/>
      <c r="CLP661" s="733"/>
      <c r="CLQ661" s="734"/>
      <c r="CLR661" s="735"/>
      <c r="CLS661" s="734"/>
      <c r="CLT661" s="733"/>
      <c r="CLU661" s="734"/>
      <c r="CLV661" s="735"/>
      <c r="CLW661" s="734"/>
      <c r="CLX661" s="733"/>
      <c r="CLY661" s="734"/>
      <c r="CLZ661" s="735"/>
      <c r="CMA661" s="734"/>
      <c r="CMB661" s="733"/>
      <c r="CMC661" s="734"/>
      <c r="CMD661" s="735"/>
      <c r="CME661" s="734"/>
      <c r="CMF661" s="733"/>
      <c r="CMG661" s="734"/>
      <c r="CMH661" s="735"/>
      <c r="CMI661" s="734"/>
      <c r="CMJ661" s="733"/>
      <c r="CMK661" s="734"/>
      <c r="CML661" s="735"/>
      <c r="CMM661" s="734"/>
      <c r="CMN661" s="733"/>
      <c r="CMO661" s="734"/>
      <c r="CMP661" s="735"/>
      <c r="CMQ661" s="734"/>
      <c r="CMR661" s="733"/>
      <c r="CMS661" s="734"/>
      <c r="CMT661" s="735"/>
      <c r="CMU661" s="734"/>
      <c r="CMV661" s="733"/>
      <c r="CMW661" s="734"/>
      <c r="CMX661" s="735"/>
      <c r="CMY661" s="734"/>
      <c r="CMZ661" s="733"/>
      <c r="CNA661" s="734"/>
      <c r="CNB661" s="735"/>
      <c r="CNC661" s="734"/>
      <c r="CND661" s="733"/>
      <c r="CNE661" s="734"/>
      <c r="CNF661" s="735"/>
      <c r="CNG661" s="734"/>
      <c r="CNH661" s="733"/>
      <c r="CNI661" s="734"/>
      <c r="CNJ661" s="735"/>
      <c r="CNK661" s="734"/>
      <c r="CNL661" s="733"/>
      <c r="CNM661" s="734"/>
      <c r="CNN661" s="735"/>
      <c r="CNO661" s="734"/>
      <c r="CNP661" s="733"/>
      <c r="CNQ661" s="734"/>
      <c r="CNR661" s="735"/>
      <c r="CNS661" s="734"/>
      <c r="CNT661" s="733"/>
      <c r="CNU661" s="734"/>
      <c r="CNV661" s="735"/>
      <c r="CNW661" s="734"/>
      <c r="CNX661" s="733"/>
      <c r="CNY661" s="734"/>
      <c r="CNZ661" s="735"/>
      <c r="COA661" s="734"/>
      <c r="COB661" s="733"/>
      <c r="COC661" s="734"/>
      <c r="COD661" s="735"/>
      <c r="COE661" s="734"/>
      <c r="COF661" s="733"/>
      <c r="COG661" s="734"/>
      <c r="COH661" s="735"/>
      <c r="COI661" s="734"/>
      <c r="COJ661" s="733"/>
      <c r="COK661" s="734"/>
      <c r="COL661" s="735"/>
      <c r="COM661" s="734"/>
      <c r="CON661" s="733"/>
      <c r="COO661" s="734"/>
      <c r="COP661" s="735"/>
      <c r="COQ661" s="734"/>
      <c r="COR661" s="733"/>
      <c r="COS661" s="734"/>
      <c r="COT661" s="735"/>
      <c r="COU661" s="734"/>
      <c r="COV661" s="733"/>
      <c r="COW661" s="734"/>
      <c r="COX661" s="735"/>
      <c r="COY661" s="734"/>
      <c r="COZ661" s="733"/>
      <c r="CPA661" s="734"/>
      <c r="CPB661" s="735"/>
      <c r="CPC661" s="734"/>
      <c r="CPD661" s="733"/>
      <c r="CPE661" s="734"/>
      <c r="CPF661" s="735"/>
      <c r="CPG661" s="734"/>
      <c r="CPH661" s="733"/>
      <c r="CPI661" s="734"/>
      <c r="CPJ661" s="735"/>
      <c r="CPK661" s="734"/>
      <c r="CPL661" s="733"/>
      <c r="CPM661" s="734"/>
      <c r="CPN661" s="735"/>
      <c r="CPO661" s="734"/>
      <c r="CPP661" s="733"/>
      <c r="CPQ661" s="734"/>
      <c r="CPR661" s="735"/>
      <c r="CPS661" s="734"/>
      <c r="CPT661" s="733"/>
      <c r="CPU661" s="734"/>
      <c r="CPV661" s="735"/>
      <c r="CPW661" s="734"/>
      <c r="CPX661" s="733"/>
      <c r="CPY661" s="734"/>
      <c r="CPZ661" s="735"/>
      <c r="CQA661" s="734"/>
      <c r="CQB661" s="733"/>
      <c r="CQC661" s="734"/>
      <c r="CQD661" s="735"/>
      <c r="CQE661" s="734"/>
      <c r="CQF661" s="733"/>
      <c r="CQG661" s="734"/>
      <c r="CQH661" s="735"/>
      <c r="CQI661" s="734"/>
      <c r="CQJ661" s="733"/>
      <c r="CQK661" s="734"/>
      <c r="CQL661" s="735"/>
      <c r="CQM661" s="734"/>
      <c r="CQN661" s="733"/>
      <c r="CQO661" s="734"/>
      <c r="CQP661" s="735"/>
      <c r="CQQ661" s="734"/>
      <c r="CQR661" s="733"/>
      <c r="CQS661" s="734"/>
      <c r="CQT661" s="735"/>
      <c r="CQU661" s="734"/>
      <c r="CQV661" s="733"/>
      <c r="CQW661" s="734"/>
      <c r="CQX661" s="735"/>
      <c r="CQY661" s="734"/>
      <c r="CQZ661" s="733"/>
      <c r="CRA661" s="734"/>
      <c r="CRB661" s="735"/>
      <c r="CRC661" s="734"/>
      <c r="CRD661" s="733"/>
      <c r="CRE661" s="734"/>
      <c r="CRF661" s="735"/>
      <c r="CRG661" s="734"/>
      <c r="CRH661" s="733"/>
      <c r="CRI661" s="734"/>
      <c r="CRJ661" s="735"/>
      <c r="CRK661" s="734"/>
      <c r="CRL661" s="733"/>
      <c r="CRM661" s="734"/>
      <c r="CRN661" s="735"/>
      <c r="CRO661" s="734"/>
      <c r="CRP661" s="733"/>
      <c r="CRQ661" s="734"/>
      <c r="CRR661" s="735"/>
      <c r="CRS661" s="734"/>
      <c r="CRT661" s="733"/>
      <c r="CRU661" s="734"/>
      <c r="CRV661" s="735"/>
      <c r="CRW661" s="734"/>
      <c r="CRX661" s="733"/>
      <c r="CRY661" s="734"/>
      <c r="CRZ661" s="735"/>
      <c r="CSA661" s="734"/>
      <c r="CSB661" s="733"/>
      <c r="CSC661" s="734"/>
      <c r="CSD661" s="735"/>
      <c r="CSE661" s="734"/>
      <c r="CSF661" s="733"/>
      <c r="CSG661" s="734"/>
      <c r="CSH661" s="735"/>
      <c r="CSI661" s="734"/>
      <c r="CSJ661" s="733"/>
      <c r="CSK661" s="734"/>
      <c r="CSL661" s="735"/>
      <c r="CSM661" s="734"/>
      <c r="CSN661" s="733"/>
      <c r="CSO661" s="734"/>
      <c r="CSP661" s="735"/>
      <c r="CSQ661" s="734"/>
      <c r="CSR661" s="733"/>
      <c r="CSS661" s="734"/>
      <c r="CST661" s="735"/>
      <c r="CSU661" s="734"/>
      <c r="CSV661" s="733"/>
      <c r="CSW661" s="734"/>
      <c r="CSX661" s="735"/>
      <c r="CSY661" s="734"/>
      <c r="CSZ661" s="733"/>
      <c r="CTA661" s="734"/>
      <c r="CTB661" s="735"/>
      <c r="CTC661" s="734"/>
      <c r="CTD661" s="733"/>
      <c r="CTE661" s="734"/>
      <c r="CTF661" s="735"/>
      <c r="CTG661" s="734"/>
      <c r="CTH661" s="733"/>
      <c r="CTI661" s="734"/>
      <c r="CTJ661" s="735"/>
      <c r="CTK661" s="734"/>
      <c r="CTL661" s="733"/>
      <c r="CTM661" s="734"/>
      <c r="CTN661" s="735"/>
      <c r="CTO661" s="734"/>
      <c r="CTP661" s="733"/>
      <c r="CTQ661" s="734"/>
      <c r="CTR661" s="735"/>
      <c r="CTS661" s="734"/>
      <c r="CTT661" s="733"/>
      <c r="CTU661" s="734"/>
      <c r="CTV661" s="735"/>
      <c r="CTW661" s="734"/>
      <c r="CTX661" s="733"/>
      <c r="CTY661" s="734"/>
      <c r="CTZ661" s="735"/>
      <c r="CUA661" s="734"/>
      <c r="CUB661" s="733"/>
      <c r="CUC661" s="734"/>
      <c r="CUD661" s="735"/>
      <c r="CUE661" s="734"/>
      <c r="CUF661" s="733"/>
      <c r="CUG661" s="734"/>
      <c r="CUH661" s="735"/>
      <c r="CUI661" s="734"/>
      <c r="CUJ661" s="733"/>
      <c r="CUK661" s="734"/>
      <c r="CUL661" s="735"/>
      <c r="CUM661" s="734"/>
      <c r="CUN661" s="733"/>
      <c r="CUO661" s="734"/>
      <c r="CUP661" s="735"/>
      <c r="CUQ661" s="734"/>
      <c r="CUR661" s="733"/>
      <c r="CUS661" s="734"/>
      <c r="CUT661" s="735"/>
      <c r="CUU661" s="734"/>
      <c r="CUV661" s="733"/>
      <c r="CUW661" s="734"/>
      <c r="CUX661" s="735"/>
      <c r="CUY661" s="734"/>
      <c r="CUZ661" s="733"/>
      <c r="CVA661" s="734"/>
      <c r="CVB661" s="735"/>
      <c r="CVC661" s="734"/>
      <c r="CVD661" s="733"/>
      <c r="CVE661" s="734"/>
      <c r="CVF661" s="735"/>
      <c r="CVG661" s="734"/>
      <c r="CVH661" s="733"/>
      <c r="CVI661" s="734"/>
      <c r="CVJ661" s="735"/>
      <c r="CVK661" s="734"/>
      <c r="CVL661" s="733"/>
      <c r="CVM661" s="734"/>
      <c r="CVN661" s="735"/>
      <c r="CVO661" s="734"/>
      <c r="CVP661" s="733"/>
      <c r="CVQ661" s="734"/>
      <c r="CVR661" s="735"/>
      <c r="CVS661" s="734"/>
      <c r="CVT661" s="733"/>
      <c r="CVU661" s="734"/>
      <c r="CVV661" s="735"/>
      <c r="CVW661" s="734"/>
      <c r="CVX661" s="733"/>
      <c r="CVY661" s="734"/>
      <c r="CVZ661" s="735"/>
      <c r="CWA661" s="734"/>
      <c r="CWB661" s="733"/>
      <c r="CWC661" s="734"/>
      <c r="CWD661" s="735"/>
      <c r="CWE661" s="734"/>
      <c r="CWF661" s="733"/>
      <c r="CWG661" s="734"/>
      <c r="CWH661" s="735"/>
      <c r="CWI661" s="734"/>
      <c r="CWJ661" s="733"/>
      <c r="CWK661" s="734"/>
      <c r="CWL661" s="735"/>
      <c r="CWM661" s="734"/>
      <c r="CWN661" s="733"/>
      <c r="CWO661" s="734"/>
      <c r="CWP661" s="735"/>
      <c r="CWQ661" s="734"/>
      <c r="CWR661" s="733"/>
      <c r="CWS661" s="734"/>
      <c r="CWT661" s="735"/>
      <c r="CWU661" s="734"/>
      <c r="CWV661" s="733"/>
      <c r="CWW661" s="734"/>
      <c r="CWX661" s="735"/>
      <c r="CWY661" s="734"/>
      <c r="CWZ661" s="733"/>
      <c r="CXA661" s="734"/>
      <c r="CXB661" s="735"/>
      <c r="CXC661" s="734"/>
      <c r="CXD661" s="733"/>
      <c r="CXE661" s="734"/>
      <c r="CXF661" s="735"/>
      <c r="CXG661" s="734"/>
      <c r="CXH661" s="733"/>
      <c r="CXI661" s="734"/>
      <c r="CXJ661" s="735"/>
      <c r="CXK661" s="734"/>
      <c r="CXL661" s="733"/>
      <c r="CXM661" s="734"/>
      <c r="CXN661" s="735"/>
      <c r="CXO661" s="734"/>
      <c r="CXP661" s="733"/>
      <c r="CXQ661" s="734"/>
      <c r="CXR661" s="735"/>
      <c r="CXS661" s="734"/>
      <c r="CXT661" s="733"/>
      <c r="CXU661" s="734"/>
      <c r="CXV661" s="735"/>
      <c r="CXW661" s="734"/>
      <c r="CXX661" s="733"/>
      <c r="CXY661" s="734"/>
      <c r="CXZ661" s="735"/>
      <c r="CYA661" s="734"/>
      <c r="CYB661" s="733"/>
      <c r="CYC661" s="734"/>
      <c r="CYD661" s="735"/>
      <c r="CYE661" s="734"/>
      <c r="CYF661" s="733"/>
      <c r="CYG661" s="734"/>
      <c r="CYH661" s="735"/>
      <c r="CYI661" s="734"/>
      <c r="CYJ661" s="733"/>
      <c r="CYK661" s="734"/>
      <c r="CYL661" s="735"/>
      <c r="CYM661" s="734"/>
      <c r="CYN661" s="733"/>
      <c r="CYO661" s="734"/>
      <c r="CYP661" s="735"/>
      <c r="CYQ661" s="734"/>
      <c r="CYR661" s="733"/>
      <c r="CYS661" s="734"/>
      <c r="CYT661" s="735"/>
      <c r="CYU661" s="734"/>
      <c r="CYV661" s="733"/>
      <c r="CYW661" s="734"/>
      <c r="CYX661" s="735"/>
      <c r="CYY661" s="734"/>
      <c r="CYZ661" s="733"/>
      <c r="CZA661" s="734"/>
      <c r="CZB661" s="735"/>
      <c r="CZC661" s="734"/>
      <c r="CZD661" s="733"/>
      <c r="CZE661" s="734"/>
      <c r="CZF661" s="735"/>
      <c r="CZG661" s="734"/>
      <c r="CZH661" s="733"/>
      <c r="CZI661" s="734"/>
      <c r="CZJ661" s="735"/>
      <c r="CZK661" s="734"/>
      <c r="CZL661" s="733"/>
      <c r="CZM661" s="734"/>
      <c r="CZN661" s="735"/>
      <c r="CZO661" s="734"/>
      <c r="CZP661" s="733"/>
      <c r="CZQ661" s="734"/>
      <c r="CZR661" s="735"/>
      <c r="CZS661" s="734"/>
      <c r="CZT661" s="733"/>
      <c r="CZU661" s="734"/>
      <c r="CZV661" s="735"/>
      <c r="CZW661" s="734"/>
      <c r="CZX661" s="733"/>
      <c r="CZY661" s="734"/>
      <c r="CZZ661" s="735"/>
      <c r="DAA661" s="734"/>
      <c r="DAB661" s="733"/>
      <c r="DAC661" s="734"/>
      <c r="DAD661" s="735"/>
      <c r="DAE661" s="734"/>
      <c r="DAF661" s="733"/>
      <c r="DAG661" s="734"/>
      <c r="DAH661" s="735"/>
      <c r="DAI661" s="734"/>
      <c r="DAJ661" s="733"/>
      <c r="DAK661" s="734"/>
      <c r="DAL661" s="735"/>
      <c r="DAM661" s="734"/>
      <c r="DAN661" s="733"/>
      <c r="DAO661" s="734"/>
      <c r="DAP661" s="735"/>
      <c r="DAQ661" s="734"/>
      <c r="DAR661" s="733"/>
      <c r="DAS661" s="734"/>
      <c r="DAT661" s="735"/>
      <c r="DAU661" s="734"/>
      <c r="DAV661" s="733"/>
      <c r="DAW661" s="734"/>
      <c r="DAX661" s="735"/>
      <c r="DAY661" s="734"/>
      <c r="DAZ661" s="733"/>
      <c r="DBA661" s="734"/>
      <c r="DBB661" s="735"/>
      <c r="DBC661" s="734"/>
      <c r="DBD661" s="733"/>
      <c r="DBE661" s="734"/>
      <c r="DBF661" s="735"/>
      <c r="DBG661" s="734"/>
      <c r="DBH661" s="733"/>
      <c r="DBI661" s="734"/>
      <c r="DBJ661" s="735"/>
      <c r="DBK661" s="734"/>
      <c r="DBL661" s="733"/>
      <c r="DBM661" s="734"/>
      <c r="DBN661" s="735"/>
      <c r="DBO661" s="734"/>
      <c r="DBP661" s="733"/>
      <c r="DBQ661" s="734"/>
      <c r="DBR661" s="735"/>
      <c r="DBS661" s="734"/>
      <c r="DBT661" s="733"/>
      <c r="DBU661" s="734"/>
      <c r="DBV661" s="735"/>
      <c r="DBW661" s="734"/>
      <c r="DBX661" s="733"/>
      <c r="DBY661" s="734"/>
      <c r="DBZ661" s="735"/>
      <c r="DCA661" s="734"/>
      <c r="DCB661" s="733"/>
      <c r="DCC661" s="734"/>
      <c r="DCD661" s="735"/>
      <c r="DCE661" s="734"/>
      <c r="DCF661" s="733"/>
      <c r="DCG661" s="734"/>
      <c r="DCH661" s="735"/>
      <c r="DCI661" s="734"/>
      <c r="DCJ661" s="733"/>
      <c r="DCK661" s="734"/>
      <c r="DCL661" s="735"/>
      <c r="DCM661" s="734"/>
      <c r="DCN661" s="733"/>
      <c r="DCO661" s="734"/>
      <c r="DCP661" s="735"/>
      <c r="DCQ661" s="734"/>
      <c r="DCR661" s="733"/>
      <c r="DCS661" s="734"/>
      <c r="DCT661" s="735"/>
      <c r="DCU661" s="734"/>
      <c r="DCV661" s="733"/>
      <c r="DCW661" s="734"/>
      <c r="DCX661" s="735"/>
      <c r="DCY661" s="734"/>
      <c r="DCZ661" s="733"/>
      <c r="DDA661" s="734"/>
      <c r="DDB661" s="735"/>
      <c r="DDC661" s="734"/>
      <c r="DDD661" s="733"/>
      <c r="DDE661" s="734"/>
      <c r="DDF661" s="735"/>
      <c r="DDG661" s="734"/>
      <c r="DDH661" s="733"/>
      <c r="DDI661" s="734"/>
      <c r="DDJ661" s="735"/>
      <c r="DDK661" s="734"/>
      <c r="DDL661" s="733"/>
      <c r="DDM661" s="734"/>
      <c r="DDN661" s="735"/>
      <c r="DDO661" s="734"/>
      <c r="DDP661" s="733"/>
      <c r="DDQ661" s="734"/>
      <c r="DDR661" s="735"/>
      <c r="DDS661" s="734"/>
      <c r="DDT661" s="733"/>
      <c r="DDU661" s="734"/>
      <c r="DDV661" s="735"/>
      <c r="DDW661" s="734"/>
      <c r="DDX661" s="733"/>
      <c r="DDY661" s="734"/>
      <c r="DDZ661" s="735"/>
      <c r="DEA661" s="734"/>
      <c r="DEB661" s="733"/>
      <c r="DEC661" s="734"/>
      <c r="DED661" s="735"/>
      <c r="DEE661" s="734"/>
      <c r="DEF661" s="733"/>
      <c r="DEG661" s="734"/>
      <c r="DEH661" s="735"/>
      <c r="DEI661" s="734"/>
      <c r="DEJ661" s="733"/>
      <c r="DEK661" s="734"/>
      <c r="DEL661" s="735"/>
      <c r="DEM661" s="734"/>
      <c r="DEN661" s="733"/>
      <c r="DEO661" s="734"/>
      <c r="DEP661" s="735"/>
      <c r="DEQ661" s="734"/>
      <c r="DER661" s="733"/>
      <c r="DES661" s="734"/>
      <c r="DET661" s="735"/>
      <c r="DEU661" s="734"/>
      <c r="DEV661" s="733"/>
      <c r="DEW661" s="734"/>
      <c r="DEX661" s="735"/>
      <c r="DEY661" s="734"/>
      <c r="DEZ661" s="733"/>
      <c r="DFA661" s="734"/>
      <c r="DFB661" s="735"/>
      <c r="DFC661" s="734"/>
      <c r="DFD661" s="733"/>
      <c r="DFE661" s="734"/>
      <c r="DFF661" s="735"/>
      <c r="DFG661" s="734"/>
      <c r="DFH661" s="733"/>
      <c r="DFI661" s="734"/>
      <c r="DFJ661" s="735"/>
      <c r="DFK661" s="734"/>
      <c r="DFL661" s="733"/>
      <c r="DFM661" s="734"/>
      <c r="DFN661" s="735"/>
      <c r="DFO661" s="734"/>
      <c r="DFP661" s="733"/>
      <c r="DFQ661" s="734"/>
      <c r="DFR661" s="735"/>
      <c r="DFS661" s="734"/>
      <c r="DFT661" s="733"/>
      <c r="DFU661" s="734"/>
      <c r="DFV661" s="735"/>
      <c r="DFW661" s="734"/>
      <c r="DFX661" s="733"/>
      <c r="DFY661" s="734"/>
      <c r="DFZ661" s="735"/>
      <c r="DGA661" s="734"/>
      <c r="DGB661" s="733"/>
      <c r="DGC661" s="734"/>
      <c r="DGD661" s="735"/>
      <c r="DGE661" s="734"/>
      <c r="DGF661" s="733"/>
      <c r="DGG661" s="734"/>
      <c r="DGH661" s="735"/>
      <c r="DGI661" s="734"/>
      <c r="DGJ661" s="733"/>
      <c r="DGK661" s="734"/>
      <c r="DGL661" s="735"/>
      <c r="DGM661" s="734"/>
      <c r="DGN661" s="733"/>
      <c r="DGO661" s="734"/>
      <c r="DGP661" s="735"/>
      <c r="DGQ661" s="734"/>
      <c r="DGR661" s="733"/>
      <c r="DGS661" s="734"/>
      <c r="DGT661" s="735"/>
      <c r="DGU661" s="734"/>
      <c r="DGV661" s="733"/>
      <c r="DGW661" s="734"/>
      <c r="DGX661" s="735"/>
      <c r="DGY661" s="734"/>
      <c r="DGZ661" s="733"/>
      <c r="DHA661" s="734"/>
      <c r="DHB661" s="735"/>
      <c r="DHC661" s="734"/>
      <c r="DHD661" s="733"/>
      <c r="DHE661" s="734"/>
      <c r="DHF661" s="735"/>
      <c r="DHG661" s="734"/>
      <c r="DHH661" s="733"/>
      <c r="DHI661" s="734"/>
      <c r="DHJ661" s="735"/>
      <c r="DHK661" s="734"/>
      <c r="DHL661" s="733"/>
      <c r="DHM661" s="734"/>
      <c r="DHN661" s="735"/>
      <c r="DHO661" s="734"/>
      <c r="DHP661" s="733"/>
      <c r="DHQ661" s="734"/>
      <c r="DHR661" s="735"/>
      <c r="DHS661" s="734"/>
      <c r="DHT661" s="733"/>
      <c r="DHU661" s="734"/>
      <c r="DHV661" s="735"/>
      <c r="DHW661" s="734"/>
      <c r="DHX661" s="733"/>
      <c r="DHY661" s="734"/>
      <c r="DHZ661" s="735"/>
      <c r="DIA661" s="734"/>
      <c r="DIB661" s="733"/>
      <c r="DIC661" s="734"/>
      <c r="DID661" s="735"/>
      <c r="DIE661" s="734"/>
      <c r="DIF661" s="733"/>
      <c r="DIG661" s="734"/>
      <c r="DIH661" s="735"/>
      <c r="DII661" s="734"/>
      <c r="DIJ661" s="733"/>
      <c r="DIK661" s="734"/>
      <c r="DIL661" s="735"/>
      <c r="DIM661" s="734"/>
      <c r="DIN661" s="733"/>
      <c r="DIO661" s="734"/>
      <c r="DIP661" s="735"/>
      <c r="DIQ661" s="734"/>
      <c r="DIR661" s="733"/>
      <c r="DIS661" s="734"/>
      <c r="DIT661" s="735"/>
      <c r="DIU661" s="734"/>
      <c r="DIV661" s="733"/>
      <c r="DIW661" s="734"/>
      <c r="DIX661" s="735"/>
      <c r="DIY661" s="734"/>
      <c r="DIZ661" s="733"/>
      <c r="DJA661" s="734"/>
      <c r="DJB661" s="735"/>
      <c r="DJC661" s="734"/>
      <c r="DJD661" s="733"/>
      <c r="DJE661" s="734"/>
      <c r="DJF661" s="735"/>
      <c r="DJG661" s="734"/>
      <c r="DJH661" s="733"/>
      <c r="DJI661" s="734"/>
      <c r="DJJ661" s="735"/>
      <c r="DJK661" s="734"/>
      <c r="DJL661" s="733"/>
      <c r="DJM661" s="734"/>
      <c r="DJN661" s="735"/>
      <c r="DJO661" s="734"/>
      <c r="DJP661" s="733"/>
      <c r="DJQ661" s="734"/>
      <c r="DJR661" s="735"/>
      <c r="DJS661" s="734"/>
      <c r="DJT661" s="733"/>
      <c r="DJU661" s="734"/>
      <c r="DJV661" s="735"/>
      <c r="DJW661" s="734"/>
      <c r="DJX661" s="733"/>
      <c r="DJY661" s="734"/>
      <c r="DJZ661" s="735"/>
      <c r="DKA661" s="734"/>
      <c r="DKB661" s="733"/>
      <c r="DKC661" s="734"/>
      <c r="DKD661" s="735"/>
      <c r="DKE661" s="734"/>
      <c r="DKF661" s="733"/>
      <c r="DKG661" s="734"/>
      <c r="DKH661" s="735"/>
      <c r="DKI661" s="734"/>
      <c r="DKJ661" s="733"/>
      <c r="DKK661" s="734"/>
      <c r="DKL661" s="735"/>
      <c r="DKM661" s="734"/>
      <c r="DKN661" s="733"/>
      <c r="DKO661" s="734"/>
      <c r="DKP661" s="735"/>
      <c r="DKQ661" s="734"/>
      <c r="DKR661" s="733"/>
      <c r="DKS661" s="734"/>
      <c r="DKT661" s="735"/>
      <c r="DKU661" s="734"/>
      <c r="DKV661" s="733"/>
      <c r="DKW661" s="734"/>
      <c r="DKX661" s="735"/>
      <c r="DKY661" s="734"/>
      <c r="DKZ661" s="733"/>
      <c r="DLA661" s="734"/>
      <c r="DLB661" s="735"/>
      <c r="DLC661" s="734"/>
      <c r="DLD661" s="733"/>
      <c r="DLE661" s="734"/>
      <c r="DLF661" s="735"/>
      <c r="DLG661" s="734"/>
      <c r="DLH661" s="733"/>
      <c r="DLI661" s="734"/>
      <c r="DLJ661" s="735"/>
      <c r="DLK661" s="734"/>
      <c r="DLL661" s="733"/>
      <c r="DLM661" s="734"/>
      <c r="DLN661" s="735"/>
      <c r="DLO661" s="734"/>
      <c r="DLP661" s="733"/>
      <c r="DLQ661" s="734"/>
      <c r="DLR661" s="735"/>
      <c r="DLS661" s="734"/>
      <c r="DLT661" s="733"/>
      <c r="DLU661" s="734"/>
      <c r="DLV661" s="735"/>
      <c r="DLW661" s="734"/>
      <c r="DLX661" s="733"/>
      <c r="DLY661" s="734"/>
      <c r="DLZ661" s="735"/>
      <c r="DMA661" s="734"/>
      <c r="DMB661" s="733"/>
      <c r="DMC661" s="734"/>
      <c r="DMD661" s="735"/>
      <c r="DME661" s="734"/>
      <c r="DMF661" s="733"/>
      <c r="DMG661" s="734"/>
      <c r="DMH661" s="735"/>
      <c r="DMI661" s="734"/>
      <c r="DMJ661" s="733"/>
      <c r="DMK661" s="734"/>
      <c r="DML661" s="735"/>
      <c r="DMM661" s="734"/>
      <c r="DMN661" s="733"/>
      <c r="DMO661" s="734"/>
      <c r="DMP661" s="735"/>
      <c r="DMQ661" s="734"/>
      <c r="DMR661" s="733"/>
      <c r="DMS661" s="734"/>
      <c r="DMT661" s="735"/>
      <c r="DMU661" s="734"/>
      <c r="DMV661" s="733"/>
      <c r="DMW661" s="734"/>
      <c r="DMX661" s="735"/>
      <c r="DMY661" s="734"/>
      <c r="DMZ661" s="733"/>
      <c r="DNA661" s="734"/>
      <c r="DNB661" s="735"/>
      <c r="DNC661" s="734"/>
      <c r="DND661" s="733"/>
      <c r="DNE661" s="734"/>
      <c r="DNF661" s="735"/>
      <c r="DNG661" s="734"/>
      <c r="DNH661" s="733"/>
      <c r="DNI661" s="734"/>
      <c r="DNJ661" s="735"/>
      <c r="DNK661" s="734"/>
      <c r="DNL661" s="733"/>
      <c r="DNM661" s="734"/>
      <c r="DNN661" s="735"/>
      <c r="DNO661" s="734"/>
      <c r="DNP661" s="733"/>
      <c r="DNQ661" s="734"/>
      <c r="DNR661" s="735"/>
      <c r="DNS661" s="734"/>
      <c r="DNT661" s="733"/>
      <c r="DNU661" s="734"/>
      <c r="DNV661" s="735"/>
      <c r="DNW661" s="734"/>
      <c r="DNX661" s="733"/>
      <c r="DNY661" s="734"/>
      <c r="DNZ661" s="735"/>
      <c r="DOA661" s="734"/>
      <c r="DOB661" s="733"/>
      <c r="DOC661" s="734"/>
      <c r="DOD661" s="735"/>
      <c r="DOE661" s="734"/>
      <c r="DOF661" s="733"/>
      <c r="DOG661" s="734"/>
      <c r="DOH661" s="735"/>
      <c r="DOI661" s="734"/>
      <c r="DOJ661" s="733"/>
      <c r="DOK661" s="734"/>
      <c r="DOL661" s="735"/>
      <c r="DOM661" s="734"/>
      <c r="DON661" s="733"/>
      <c r="DOO661" s="734"/>
      <c r="DOP661" s="735"/>
      <c r="DOQ661" s="734"/>
      <c r="DOR661" s="733"/>
      <c r="DOS661" s="734"/>
      <c r="DOT661" s="735"/>
      <c r="DOU661" s="734"/>
      <c r="DOV661" s="733"/>
      <c r="DOW661" s="734"/>
      <c r="DOX661" s="735"/>
      <c r="DOY661" s="734"/>
      <c r="DOZ661" s="733"/>
      <c r="DPA661" s="734"/>
      <c r="DPB661" s="735"/>
      <c r="DPC661" s="734"/>
      <c r="DPD661" s="733"/>
      <c r="DPE661" s="734"/>
      <c r="DPF661" s="735"/>
      <c r="DPG661" s="734"/>
      <c r="DPH661" s="733"/>
      <c r="DPI661" s="734"/>
      <c r="DPJ661" s="735"/>
      <c r="DPK661" s="734"/>
      <c r="DPL661" s="733"/>
      <c r="DPM661" s="734"/>
      <c r="DPN661" s="735"/>
      <c r="DPO661" s="734"/>
      <c r="DPP661" s="733"/>
      <c r="DPQ661" s="734"/>
      <c r="DPR661" s="735"/>
      <c r="DPS661" s="734"/>
      <c r="DPT661" s="733"/>
      <c r="DPU661" s="734"/>
      <c r="DPV661" s="735"/>
      <c r="DPW661" s="734"/>
      <c r="DPX661" s="733"/>
      <c r="DPY661" s="734"/>
      <c r="DPZ661" s="735"/>
      <c r="DQA661" s="734"/>
      <c r="DQB661" s="733"/>
      <c r="DQC661" s="734"/>
      <c r="DQD661" s="735"/>
      <c r="DQE661" s="734"/>
      <c r="DQF661" s="733"/>
      <c r="DQG661" s="734"/>
      <c r="DQH661" s="735"/>
      <c r="DQI661" s="734"/>
      <c r="DQJ661" s="733"/>
      <c r="DQK661" s="734"/>
      <c r="DQL661" s="735"/>
      <c r="DQM661" s="734"/>
      <c r="DQN661" s="733"/>
      <c r="DQO661" s="734"/>
      <c r="DQP661" s="735"/>
      <c r="DQQ661" s="734"/>
      <c r="DQR661" s="733"/>
      <c r="DQS661" s="734"/>
      <c r="DQT661" s="735"/>
      <c r="DQU661" s="734"/>
      <c r="DQV661" s="733"/>
      <c r="DQW661" s="734"/>
      <c r="DQX661" s="735"/>
      <c r="DQY661" s="734"/>
      <c r="DQZ661" s="733"/>
      <c r="DRA661" s="734"/>
      <c r="DRB661" s="735"/>
      <c r="DRC661" s="734"/>
      <c r="DRD661" s="733"/>
      <c r="DRE661" s="734"/>
      <c r="DRF661" s="735"/>
      <c r="DRG661" s="734"/>
      <c r="DRH661" s="733"/>
      <c r="DRI661" s="734"/>
      <c r="DRJ661" s="735"/>
      <c r="DRK661" s="734"/>
      <c r="DRL661" s="733"/>
      <c r="DRM661" s="734"/>
      <c r="DRN661" s="735"/>
      <c r="DRO661" s="734"/>
      <c r="DRP661" s="733"/>
      <c r="DRQ661" s="734"/>
      <c r="DRR661" s="735"/>
      <c r="DRS661" s="734"/>
      <c r="DRT661" s="733"/>
      <c r="DRU661" s="734"/>
      <c r="DRV661" s="735"/>
      <c r="DRW661" s="734"/>
      <c r="DRX661" s="733"/>
      <c r="DRY661" s="734"/>
      <c r="DRZ661" s="735"/>
      <c r="DSA661" s="734"/>
      <c r="DSB661" s="733"/>
      <c r="DSC661" s="734"/>
      <c r="DSD661" s="735"/>
      <c r="DSE661" s="734"/>
      <c r="DSF661" s="733"/>
      <c r="DSG661" s="734"/>
      <c r="DSH661" s="735"/>
      <c r="DSI661" s="734"/>
      <c r="DSJ661" s="733"/>
      <c r="DSK661" s="734"/>
      <c r="DSL661" s="735"/>
      <c r="DSM661" s="734"/>
      <c r="DSN661" s="733"/>
      <c r="DSO661" s="734"/>
      <c r="DSP661" s="735"/>
      <c r="DSQ661" s="734"/>
      <c r="DSR661" s="733"/>
      <c r="DSS661" s="734"/>
      <c r="DST661" s="735"/>
      <c r="DSU661" s="734"/>
      <c r="DSV661" s="733"/>
      <c r="DSW661" s="734"/>
      <c r="DSX661" s="735"/>
      <c r="DSY661" s="734"/>
      <c r="DSZ661" s="733"/>
      <c r="DTA661" s="734"/>
      <c r="DTB661" s="735"/>
      <c r="DTC661" s="734"/>
      <c r="DTD661" s="733"/>
      <c r="DTE661" s="734"/>
      <c r="DTF661" s="735"/>
      <c r="DTG661" s="734"/>
      <c r="DTH661" s="733"/>
      <c r="DTI661" s="734"/>
      <c r="DTJ661" s="735"/>
      <c r="DTK661" s="734"/>
      <c r="DTL661" s="733"/>
      <c r="DTM661" s="734"/>
      <c r="DTN661" s="735"/>
      <c r="DTO661" s="734"/>
      <c r="DTP661" s="733"/>
      <c r="DTQ661" s="734"/>
      <c r="DTR661" s="735"/>
      <c r="DTS661" s="734"/>
      <c r="DTT661" s="733"/>
      <c r="DTU661" s="734"/>
      <c r="DTV661" s="735"/>
      <c r="DTW661" s="734"/>
      <c r="DTX661" s="733"/>
      <c r="DTY661" s="734"/>
      <c r="DTZ661" s="735"/>
      <c r="DUA661" s="734"/>
      <c r="DUB661" s="733"/>
      <c r="DUC661" s="734"/>
      <c r="DUD661" s="735"/>
      <c r="DUE661" s="734"/>
      <c r="DUF661" s="733"/>
      <c r="DUG661" s="734"/>
      <c r="DUH661" s="735"/>
      <c r="DUI661" s="734"/>
      <c r="DUJ661" s="733"/>
      <c r="DUK661" s="734"/>
      <c r="DUL661" s="735"/>
      <c r="DUM661" s="734"/>
      <c r="DUN661" s="733"/>
      <c r="DUO661" s="734"/>
      <c r="DUP661" s="735"/>
      <c r="DUQ661" s="734"/>
      <c r="DUR661" s="733"/>
      <c r="DUS661" s="734"/>
      <c r="DUT661" s="735"/>
      <c r="DUU661" s="734"/>
      <c r="DUV661" s="733"/>
      <c r="DUW661" s="734"/>
      <c r="DUX661" s="735"/>
      <c r="DUY661" s="734"/>
      <c r="DUZ661" s="733"/>
      <c r="DVA661" s="734"/>
      <c r="DVB661" s="735"/>
      <c r="DVC661" s="734"/>
      <c r="DVD661" s="733"/>
      <c r="DVE661" s="734"/>
      <c r="DVF661" s="735"/>
      <c r="DVG661" s="734"/>
      <c r="DVH661" s="733"/>
      <c r="DVI661" s="734"/>
      <c r="DVJ661" s="735"/>
      <c r="DVK661" s="734"/>
      <c r="DVL661" s="733"/>
      <c r="DVM661" s="734"/>
      <c r="DVN661" s="735"/>
      <c r="DVO661" s="734"/>
      <c r="DVP661" s="733"/>
      <c r="DVQ661" s="734"/>
      <c r="DVR661" s="735"/>
      <c r="DVS661" s="734"/>
      <c r="DVT661" s="733"/>
      <c r="DVU661" s="734"/>
      <c r="DVV661" s="735"/>
      <c r="DVW661" s="734"/>
      <c r="DVX661" s="733"/>
      <c r="DVY661" s="734"/>
      <c r="DVZ661" s="735"/>
      <c r="DWA661" s="734"/>
      <c r="DWB661" s="733"/>
      <c r="DWC661" s="734"/>
      <c r="DWD661" s="735"/>
      <c r="DWE661" s="734"/>
      <c r="DWF661" s="733"/>
      <c r="DWG661" s="734"/>
      <c r="DWH661" s="735"/>
      <c r="DWI661" s="734"/>
      <c r="DWJ661" s="733"/>
      <c r="DWK661" s="734"/>
      <c r="DWL661" s="735"/>
      <c r="DWM661" s="734"/>
      <c r="DWN661" s="733"/>
      <c r="DWO661" s="734"/>
      <c r="DWP661" s="735"/>
      <c r="DWQ661" s="734"/>
      <c r="DWR661" s="733"/>
      <c r="DWS661" s="734"/>
      <c r="DWT661" s="735"/>
      <c r="DWU661" s="734"/>
      <c r="DWV661" s="733"/>
      <c r="DWW661" s="734"/>
      <c r="DWX661" s="735"/>
      <c r="DWY661" s="734"/>
      <c r="DWZ661" s="733"/>
      <c r="DXA661" s="734"/>
      <c r="DXB661" s="735"/>
      <c r="DXC661" s="734"/>
      <c r="DXD661" s="733"/>
      <c r="DXE661" s="734"/>
      <c r="DXF661" s="735"/>
      <c r="DXG661" s="734"/>
      <c r="DXH661" s="733"/>
      <c r="DXI661" s="734"/>
      <c r="DXJ661" s="735"/>
      <c r="DXK661" s="734"/>
      <c r="DXL661" s="733"/>
      <c r="DXM661" s="734"/>
      <c r="DXN661" s="735"/>
      <c r="DXO661" s="734"/>
      <c r="DXP661" s="733"/>
      <c r="DXQ661" s="734"/>
      <c r="DXR661" s="735"/>
      <c r="DXS661" s="734"/>
      <c r="DXT661" s="733"/>
      <c r="DXU661" s="734"/>
      <c r="DXV661" s="735"/>
      <c r="DXW661" s="734"/>
      <c r="DXX661" s="733"/>
      <c r="DXY661" s="734"/>
      <c r="DXZ661" s="735"/>
      <c r="DYA661" s="734"/>
      <c r="DYB661" s="733"/>
      <c r="DYC661" s="734"/>
      <c r="DYD661" s="735"/>
      <c r="DYE661" s="734"/>
      <c r="DYF661" s="733"/>
      <c r="DYG661" s="734"/>
      <c r="DYH661" s="735"/>
      <c r="DYI661" s="734"/>
      <c r="DYJ661" s="733"/>
      <c r="DYK661" s="734"/>
      <c r="DYL661" s="735"/>
      <c r="DYM661" s="734"/>
      <c r="DYN661" s="733"/>
      <c r="DYO661" s="734"/>
      <c r="DYP661" s="735"/>
      <c r="DYQ661" s="734"/>
      <c r="DYR661" s="733"/>
      <c r="DYS661" s="734"/>
      <c r="DYT661" s="735"/>
      <c r="DYU661" s="734"/>
      <c r="DYV661" s="733"/>
      <c r="DYW661" s="734"/>
      <c r="DYX661" s="735"/>
      <c r="DYY661" s="734"/>
      <c r="DYZ661" s="733"/>
      <c r="DZA661" s="734"/>
      <c r="DZB661" s="735"/>
      <c r="DZC661" s="734"/>
      <c r="DZD661" s="733"/>
      <c r="DZE661" s="734"/>
      <c r="DZF661" s="735"/>
      <c r="DZG661" s="734"/>
      <c r="DZH661" s="733"/>
      <c r="DZI661" s="734"/>
      <c r="DZJ661" s="735"/>
      <c r="DZK661" s="734"/>
      <c r="DZL661" s="733"/>
      <c r="DZM661" s="734"/>
      <c r="DZN661" s="735"/>
      <c r="DZO661" s="734"/>
      <c r="DZP661" s="733"/>
      <c r="DZQ661" s="734"/>
      <c r="DZR661" s="735"/>
      <c r="DZS661" s="734"/>
      <c r="DZT661" s="733"/>
      <c r="DZU661" s="734"/>
      <c r="DZV661" s="735"/>
      <c r="DZW661" s="734"/>
      <c r="DZX661" s="733"/>
      <c r="DZY661" s="734"/>
      <c r="DZZ661" s="735"/>
      <c r="EAA661" s="734"/>
      <c r="EAB661" s="733"/>
      <c r="EAC661" s="734"/>
      <c r="EAD661" s="735"/>
      <c r="EAE661" s="734"/>
      <c r="EAF661" s="733"/>
      <c r="EAG661" s="734"/>
      <c r="EAH661" s="735"/>
      <c r="EAI661" s="734"/>
      <c r="EAJ661" s="733"/>
      <c r="EAK661" s="734"/>
      <c r="EAL661" s="735"/>
      <c r="EAM661" s="734"/>
      <c r="EAN661" s="733"/>
      <c r="EAO661" s="734"/>
      <c r="EAP661" s="735"/>
      <c r="EAQ661" s="734"/>
      <c r="EAR661" s="733"/>
      <c r="EAS661" s="734"/>
      <c r="EAT661" s="735"/>
      <c r="EAU661" s="734"/>
      <c r="EAV661" s="733"/>
      <c r="EAW661" s="734"/>
      <c r="EAX661" s="735"/>
      <c r="EAY661" s="734"/>
      <c r="EAZ661" s="733"/>
      <c r="EBA661" s="734"/>
      <c r="EBB661" s="735"/>
      <c r="EBC661" s="734"/>
      <c r="EBD661" s="733"/>
      <c r="EBE661" s="734"/>
      <c r="EBF661" s="735"/>
      <c r="EBG661" s="734"/>
      <c r="EBH661" s="733"/>
      <c r="EBI661" s="734"/>
      <c r="EBJ661" s="735"/>
      <c r="EBK661" s="734"/>
      <c r="EBL661" s="733"/>
      <c r="EBM661" s="734"/>
      <c r="EBN661" s="735"/>
      <c r="EBO661" s="734"/>
      <c r="EBP661" s="733"/>
      <c r="EBQ661" s="734"/>
      <c r="EBR661" s="735"/>
      <c r="EBS661" s="734"/>
      <c r="EBT661" s="733"/>
      <c r="EBU661" s="734"/>
      <c r="EBV661" s="735"/>
      <c r="EBW661" s="734"/>
      <c r="EBX661" s="733"/>
      <c r="EBY661" s="734"/>
      <c r="EBZ661" s="735"/>
      <c r="ECA661" s="734"/>
      <c r="ECB661" s="733"/>
      <c r="ECC661" s="734"/>
      <c r="ECD661" s="735"/>
      <c r="ECE661" s="734"/>
      <c r="ECF661" s="733"/>
      <c r="ECG661" s="734"/>
      <c r="ECH661" s="735"/>
      <c r="ECI661" s="734"/>
      <c r="ECJ661" s="733"/>
      <c r="ECK661" s="734"/>
      <c r="ECL661" s="735"/>
      <c r="ECM661" s="734"/>
      <c r="ECN661" s="733"/>
      <c r="ECO661" s="734"/>
      <c r="ECP661" s="735"/>
      <c r="ECQ661" s="734"/>
      <c r="ECR661" s="733"/>
      <c r="ECS661" s="734"/>
      <c r="ECT661" s="735"/>
      <c r="ECU661" s="734"/>
      <c r="ECV661" s="733"/>
      <c r="ECW661" s="734"/>
      <c r="ECX661" s="735"/>
      <c r="ECY661" s="734"/>
      <c r="ECZ661" s="733"/>
      <c r="EDA661" s="734"/>
      <c r="EDB661" s="735"/>
      <c r="EDC661" s="734"/>
      <c r="EDD661" s="733"/>
      <c r="EDE661" s="734"/>
      <c r="EDF661" s="735"/>
      <c r="EDG661" s="734"/>
      <c r="EDH661" s="733"/>
      <c r="EDI661" s="734"/>
      <c r="EDJ661" s="735"/>
      <c r="EDK661" s="734"/>
      <c r="EDL661" s="733"/>
      <c r="EDM661" s="734"/>
      <c r="EDN661" s="735"/>
      <c r="EDO661" s="734"/>
      <c r="EDP661" s="733"/>
      <c r="EDQ661" s="734"/>
      <c r="EDR661" s="735"/>
      <c r="EDS661" s="734"/>
      <c r="EDT661" s="733"/>
      <c r="EDU661" s="734"/>
      <c r="EDV661" s="735"/>
      <c r="EDW661" s="734"/>
      <c r="EDX661" s="733"/>
      <c r="EDY661" s="734"/>
      <c r="EDZ661" s="735"/>
      <c r="EEA661" s="734"/>
      <c r="EEB661" s="733"/>
      <c r="EEC661" s="734"/>
      <c r="EED661" s="735"/>
      <c r="EEE661" s="734"/>
      <c r="EEF661" s="733"/>
      <c r="EEG661" s="734"/>
      <c r="EEH661" s="735"/>
      <c r="EEI661" s="734"/>
      <c r="EEJ661" s="733"/>
      <c r="EEK661" s="734"/>
      <c r="EEL661" s="735"/>
      <c r="EEM661" s="734"/>
      <c r="EEN661" s="733"/>
      <c r="EEO661" s="734"/>
      <c r="EEP661" s="735"/>
      <c r="EEQ661" s="734"/>
      <c r="EER661" s="733"/>
      <c r="EES661" s="734"/>
      <c r="EET661" s="735"/>
      <c r="EEU661" s="734"/>
      <c r="EEV661" s="733"/>
      <c r="EEW661" s="734"/>
      <c r="EEX661" s="735"/>
      <c r="EEY661" s="734"/>
      <c r="EEZ661" s="733"/>
      <c r="EFA661" s="734"/>
      <c r="EFB661" s="735"/>
      <c r="EFC661" s="734"/>
      <c r="EFD661" s="733"/>
      <c r="EFE661" s="734"/>
      <c r="EFF661" s="735"/>
      <c r="EFG661" s="734"/>
      <c r="EFH661" s="733"/>
      <c r="EFI661" s="734"/>
      <c r="EFJ661" s="735"/>
      <c r="EFK661" s="734"/>
      <c r="EFL661" s="733"/>
      <c r="EFM661" s="734"/>
      <c r="EFN661" s="735"/>
      <c r="EFO661" s="734"/>
      <c r="EFP661" s="733"/>
      <c r="EFQ661" s="734"/>
      <c r="EFR661" s="735"/>
      <c r="EFS661" s="734"/>
      <c r="EFT661" s="733"/>
      <c r="EFU661" s="734"/>
      <c r="EFV661" s="735"/>
      <c r="EFW661" s="734"/>
      <c r="EFX661" s="733"/>
      <c r="EFY661" s="734"/>
      <c r="EFZ661" s="735"/>
      <c r="EGA661" s="734"/>
      <c r="EGB661" s="733"/>
      <c r="EGC661" s="734"/>
      <c r="EGD661" s="735"/>
      <c r="EGE661" s="734"/>
      <c r="EGF661" s="733"/>
      <c r="EGG661" s="734"/>
      <c r="EGH661" s="735"/>
      <c r="EGI661" s="734"/>
      <c r="EGJ661" s="733"/>
      <c r="EGK661" s="734"/>
      <c r="EGL661" s="735"/>
      <c r="EGM661" s="734"/>
      <c r="EGN661" s="733"/>
      <c r="EGO661" s="734"/>
      <c r="EGP661" s="735"/>
      <c r="EGQ661" s="734"/>
      <c r="EGR661" s="733"/>
      <c r="EGS661" s="734"/>
      <c r="EGT661" s="735"/>
      <c r="EGU661" s="734"/>
      <c r="EGV661" s="733"/>
      <c r="EGW661" s="734"/>
      <c r="EGX661" s="735"/>
      <c r="EGY661" s="734"/>
      <c r="EGZ661" s="733"/>
      <c r="EHA661" s="734"/>
      <c r="EHB661" s="735"/>
      <c r="EHC661" s="734"/>
      <c r="EHD661" s="733"/>
      <c r="EHE661" s="734"/>
      <c r="EHF661" s="735"/>
      <c r="EHG661" s="734"/>
      <c r="EHH661" s="733"/>
      <c r="EHI661" s="734"/>
      <c r="EHJ661" s="735"/>
      <c r="EHK661" s="734"/>
      <c r="EHL661" s="733"/>
      <c r="EHM661" s="734"/>
      <c r="EHN661" s="735"/>
      <c r="EHO661" s="734"/>
      <c r="EHP661" s="733"/>
      <c r="EHQ661" s="734"/>
      <c r="EHR661" s="735"/>
      <c r="EHS661" s="734"/>
      <c r="EHT661" s="733"/>
      <c r="EHU661" s="734"/>
      <c r="EHV661" s="735"/>
      <c r="EHW661" s="734"/>
      <c r="EHX661" s="733"/>
      <c r="EHY661" s="734"/>
      <c r="EHZ661" s="735"/>
      <c r="EIA661" s="734"/>
      <c r="EIB661" s="733"/>
      <c r="EIC661" s="734"/>
      <c r="EID661" s="735"/>
      <c r="EIE661" s="734"/>
      <c r="EIF661" s="733"/>
      <c r="EIG661" s="734"/>
      <c r="EIH661" s="735"/>
      <c r="EII661" s="734"/>
      <c r="EIJ661" s="733"/>
      <c r="EIK661" s="734"/>
      <c r="EIL661" s="735"/>
      <c r="EIM661" s="734"/>
      <c r="EIN661" s="733"/>
      <c r="EIO661" s="734"/>
      <c r="EIP661" s="735"/>
      <c r="EIQ661" s="734"/>
      <c r="EIR661" s="733"/>
      <c r="EIS661" s="734"/>
      <c r="EIT661" s="735"/>
      <c r="EIU661" s="734"/>
      <c r="EIV661" s="733"/>
      <c r="EIW661" s="734"/>
      <c r="EIX661" s="735"/>
      <c r="EIY661" s="734"/>
      <c r="EIZ661" s="733"/>
      <c r="EJA661" s="734"/>
      <c r="EJB661" s="735"/>
      <c r="EJC661" s="734"/>
      <c r="EJD661" s="733"/>
      <c r="EJE661" s="734"/>
      <c r="EJF661" s="735"/>
      <c r="EJG661" s="734"/>
      <c r="EJH661" s="733"/>
      <c r="EJI661" s="734"/>
      <c r="EJJ661" s="735"/>
      <c r="EJK661" s="734"/>
      <c r="EJL661" s="733"/>
      <c r="EJM661" s="734"/>
      <c r="EJN661" s="735"/>
      <c r="EJO661" s="734"/>
      <c r="EJP661" s="733"/>
      <c r="EJQ661" s="734"/>
      <c r="EJR661" s="735"/>
      <c r="EJS661" s="734"/>
      <c r="EJT661" s="733"/>
      <c r="EJU661" s="734"/>
      <c r="EJV661" s="735"/>
      <c r="EJW661" s="734"/>
      <c r="EJX661" s="733"/>
      <c r="EJY661" s="734"/>
      <c r="EJZ661" s="735"/>
      <c r="EKA661" s="734"/>
      <c r="EKB661" s="733"/>
      <c r="EKC661" s="734"/>
      <c r="EKD661" s="735"/>
      <c r="EKE661" s="734"/>
      <c r="EKF661" s="733"/>
      <c r="EKG661" s="734"/>
      <c r="EKH661" s="735"/>
      <c r="EKI661" s="734"/>
      <c r="EKJ661" s="733"/>
      <c r="EKK661" s="734"/>
      <c r="EKL661" s="735"/>
      <c r="EKM661" s="734"/>
      <c r="EKN661" s="733"/>
      <c r="EKO661" s="734"/>
      <c r="EKP661" s="735"/>
      <c r="EKQ661" s="734"/>
      <c r="EKR661" s="733"/>
      <c r="EKS661" s="734"/>
      <c r="EKT661" s="735"/>
      <c r="EKU661" s="734"/>
      <c r="EKV661" s="733"/>
      <c r="EKW661" s="734"/>
      <c r="EKX661" s="735"/>
      <c r="EKY661" s="734"/>
      <c r="EKZ661" s="733"/>
      <c r="ELA661" s="734"/>
      <c r="ELB661" s="735"/>
      <c r="ELC661" s="734"/>
      <c r="ELD661" s="733"/>
      <c r="ELE661" s="734"/>
      <c r="ELF661" s="735"/>
      <c r="ELG661" s="734"/>
      <c r="ELH661" s="733"/>
      <c r="ELI661" s="734"/>
      <c r="ELJ661" s="735"/>
      <c r="ELK661" s="734"/>
      <c r="ELL661" s="733"/>
      <c r="ELM661" s="734"/>
      <c r="ELN661" s="735"/>
      <c r="ELO661" s="734"/>
      <c r="ELP661" s="733"/>
      <c r="ELQ661" s="734"/>
      <c r="ELR661" s="735"/>
      <c r="ELS661" s="734"/>
      <c r="ELT661" s="733"/>
      <c r="ELU661" s="734"/>
      <c r="ELV661" s="735"/>
      <c r="ELW661" s="734"/>
      <c r="ELX661" s="733"/>
      <c r="ELY661" s="734"/>
      <c r="ELZ661" s="735"/>
      <c r="EMA661" s="734"/>
      <c r="EMB661" s="733"/>
      <c r="EMC661" s="734"/>
      <c r="EMD661" s="735"/>
      <c r="EME661" s="734"/>
      <c r="EMF661" s="733"/>
      <c r="EMG661" s="734"/>
      <c r="EMH661" s="735"/>
      <c r="EMI661" s="734"/>
      <c r="EMJ661" s="733"/>
      <c r="EMK661" s="734"/>
      <c r="EML661" s="735"/>
      <c r="EMM661" s="734"/>
      <c r="EMN661" s="733"/>
      <c r="EMO661" s="734"/>
      <c r="EMP661" s="735"/>
      <c r="EMQ661" s="734"/>
      <c r="EMR661" s="733"/>
      <c r="EMS661" s="734"/>
      <c r="EMT661" s="735"/>
      <c r="EMU661" s="734"/>
      <c r="EMV661" s="733"/>
      <c r="EMW661" s="734"/>
      <c r="EMX661" s="735"/>
      <c r="EMY661" s="734"/>
      <c r="EMZ661" s="733"/>
      <c r="ENA661" s="734"/>
      <c r="ENB661" s="735"/>
      <c r="ENC661" s="734"/>
      <c r="END661" s="733"/>
      <c r="ENE661" s="734"/>
      <c r="ENF661" s="735"/>
      <c r="ENG661" s="734"/>
      <c r="ENH661" s="733"/>
      <c r="ENI661" s="734"/>
      <c r="ENJ661" s="735"/>
      <c r="ENK661" s="734"/>
      <c r="ENL661" s="733"/>
      <c r="ENM661" s="734"/>
      <c r="ENN661" s="735"/>
      <c r="ENO661" s="734"/>
      <c r="ENP661" s="733"/>
      <c r="ENQ661" s="734"/>
      <c r="ENR661" s="735"/>
      <c r="ENS661" s="734"/>
      <c r="ENT661" s="733"/>
      <c r="ENU661" s="734"/>
      <c r="ENV661" s="735"/>
      <c r="ENW661" s="734"/>
      <c r="ENX661" s="733"/>
      <c r="ENY661" s="734"/>
      <c r="ENZ661" s="735"/>
      <c r="EOA661" s="734"/>
      <c r="EOB661" s="733"/>
      <c r="EOC661" s="734"/>
      <c r="EOD661" s="735"/>
      <c r="EOE661" s="734"/>
      <c r="EOF661" s="733"/>
      <c r="EOG661" s="734"/>
      <c r="EOH661" s="735"/>
      <c r="EOI661" s="734"/>
      <c r="EOJ661" s="733"/>
      <c r="EOK661" s="734"/>
      <c r="EOL661" s="735"/>
      <c r="EOM661" s="734"/>
      <c r="EON661" s="733"/>
      <c r="EOO661" s="734"/>
      <c r="EOP661" s="735"/>
      <c r="EOQ661" s="734"/>
      <c r="EOR661" s="733"/>
      <c r="EOS661" s="734"/>
      <c r="EOT661" s="735"/>
      <c r="EOU661" s="734"/>
      <c r="EOV661" s="733"/>
      <c r="EOW661" s="734"/>
      <c r="EOX661" s="735"/>
      <c r="EOY661" s="734"/>
      <c r="EOZ661" s="733"/>
      <c r="EPA661" s="734"/>
      <c r="EPB661" s="735"/>
      <c r="EPC661" s="734"/>
      <c r="EPD661" s="733"/>
      <c r="EPE661" s="734"/>
      <c r="EPF661" s="735"/>
      <c r="EPG661" s="734"/>
      <c r="EPH661" s="733"/>
      <c r="EPI661" s="734"/>
      <c r="EPJ661" s="735"/>
      <c r="EPK661" s="734"/>
      <c r="EPL661" s="733"/>
      <c r="EPM661" s="734"/>
      <c r="EPN661" s="735"/>
      <c r="EPO661" s="734"/>
      <c r="EPP661" s="733"/>
      <c r="EPQ661" s="734"/>
      <c r="EPR661" s="735"/>
      <c r="EPS661" s="734"/>
      <c r="EPT661" s="733"/>
      <c r="EPU661" s="734"/>
      <c r="EPV661" s="735"/>
      <c r="EPW661" s="734"/>
      <c r="EPX661" s="733"/>
      <c r="EPY661" s="734"/>
      <c r="EPZ661" s="735"/>
      <c r="EQA661" s="734"/>
      <c r="EQB661" s="733"/>
      <c r="EQC661" s="734"/>
      <c r="EQD661" s="735"/>
      <c r="EQE661" s="734"/>
      <c r="EQF661" s="733"/>
      <c r="EQG661" s="734"/>
      <c r="EQH661" s="735"/>
      <c r="EQI661" s="734"/>
      <c r="EQJ661" s="733"/>
      <c r="EQK661" s="734"/>
      <c r="EQL661" s="735"/>
      <c r="EQM661" s="734"/>
      <c r="EQN661" s="733"/>
      <c r="EQO661" s="734"/>
      <c r="EQP661" s="735"/>
      <c r="EQQ661" s="734"/>
      <c r="EQR661" s="733"/>
      <c r="EQS661" s="734"/>
      <c r="EQT661" s="735"/>
      <c r="EQU661" s="734"/>
      <c r="EQV661" s="733"/>
      <c r="EQW661" s="734"/>
      <c r="EQX661" s="735"/>
      <c r="EQY661" s="734"/>
      <c r="EQZ661" s="733"/>
      <c r="ERA661" s="734"/>
      <c r="ERB661" s="735"/>
      <c r="ERC661" s="734"/>
      <c r="ERD661" s="733"/>
      <c r="ERE661" s="734"/>
      <c r="ERF661" s="735"/>
      <c r="ERG661" s="734"/>
      <c r="ERH661" s="733"/>
      <c r="ERI661" s="734"/>
      <c r="ERJ661" s="735"/>
      <c r="ERK661" s="734"/>
      <c r="ERL661" s="733"/>
      <c r="ERM661" s="734"/>
      <c r="ERN661" s="735"/>
      <c r="ERO661" s="734"/>
      <c r="ERP661" s="733"/>
      <c r="ERQ661" s="734"/>
      <c r="ERR661" s="735"/>
      <c r="ERS661" s="734"/>
      <c r="ERT661" s="733"/>
      <c r="ERU661" s="734"/>
      <c r="ERV661" s="735"/>
      <c r="ERW661" s="734"/>
      <c r="ERX661" s="733"/>
      <c r="ERY661" s="734"/>
      <c r="ERZ661" s="735"/>
      <c r="ESA661" s="734"/>
      <c r="ESB661" s="733"/>
      <c r="ESC661" s="734"/>
      <c r="ESD661" s="735"/>
      <c r="ESE661" s="734"/>
      <c r="ESF661" s="733"/>
      <c r="ESG661" s="734"/>
      <c r="ESH661" s="735"/>
      <c r="ESI661" s="734"/>
      <c r="ESJ661" s="733"/>
      <c r="ESK661" s="734"/>
      <c r="ESL661" s="735"/>
      <c r="ESM661" s="734"/>
      <c r="ESN661" s="733"/>
      <c r="ESO661" s="734"/>
      <c r="ESP661" s="735"/>
      <c r="ESQ661" s="734"/>
      <c r="ESR661" s="733"/>
      <c r="ESS661" s="734"/>
      <c r="EST661" s="735"/>
      <c r="ESU661" s="734"/>
      <c r="ESV661" s="733"/>
      <c r="ESW661" s="734"/>
      <c r="ESX661" s="735"/>
      <c r="ESY661" s="734"/>
      <c r="ESZ661" s="733"/>
      <c r="ETA661" s="734"/>
      <c r="ETB661" s="735"/>
      <c r="ETC661" s="734"/>
      <c r="ETD661" s="733"/>
      <c r="ETE661" s="734"/>
      <c r="ETF661" s="735"/>
      <c r="ETG661" s="734"/>
      <c r="ETH661" s="733"/>
      <c r="ETI661" s="734"/>
      <c r="ETJ661" s="735"/>
      <c r="ETK661" s="734"/>
      <c r="ETL661" s="733"/>
      <c r="ETM661" s="734"/>
      <c r="ETN661" s="735"/>
      <c r="ETO661" s="734"/>
      <c r="ETP661" s="733"/>
      <c r="ETQ661" s="734"/>
      <c r="ETR661" s="735"/>
      <c r="ETS661" s="734"/>
      <c r="ETT661" s="733"/>
      <c r="ETU661" s="734"/>
      <c r="ETV661" s="735"/>
      <c r="ETW661" s="734"/>
      <c r="ETX661" s="733"/>
      <c r="ETY661" s="734"/>
      <c r="ETZ661" s="735"/>
      <c r="EUA661" s="734"/>
      <c r="EUB661" s="733"/>
      <c r="EUC661" s="734"/>
      <c r="EUD661" s="735"/>
      <c r="EUE661" s="734"/>
      <c r="EUF661" s="733"/>
      <c r="EUG661" s="734"/>
      <c r="EUH661" s="735"/>
      <c r="EUI661" s="734"/>
      <c r="EUJ661" s="733"/>
      <c r="EUK661" s="734"/>
      <c r="EUL661" s="735"/>
      <c r="EUM661" s="734"/>
      <c r="EUN661" s="733"/>
      <c r="EUO661" s="734"/>
      <c r="EUP661" s="735"/>
      <c r="EUQ661" s="734"/>
      <c r="EUR661" s="733"/>
      <c r="EUS661" s="734"/>
      <c r="EUT661" s="735"/>
      <c r="EUU661" s="734"/>
      <c r="EUV661" s="733"/>
      <c r="EUW661" s="734"/>
      <c r="EUX661" s="735"/>
      <c r="EUY661" s="734"/>
      <c r="EUZ661" s="733"/>
      <c r="EVA661" s="734"/>
      <c r="EVB661" s="735"/>
      <c r="EVC661" s="734"/>
      <c r="EVD661" s="733"/>
      <c r="EVE661" s="734"/>
      <c r="EVF661" s="735"/>
      <c r="EVG661" s="734"/>
      <c r="EVH661" s="733"/>
      <c r="EVI661" s="734"/>
      <c r="EVJ661" s="735"/>
      <c r="EVK661" s="734"/>
      <c r="EVL661" s="733"/>
      <c r="EVM661" s="734"/>
      <c r="EVN661" s="735"/>
      <c r="EVO661" s="734"/>
      <c r="EVP661" s="733"/>
      <c r="EVQ661" s="734"/>
      <c r="EVR661" s="735"/>
      <c r="EVS661" s="734"/>
      <c r="EVT661" s="733"/>
      <c r="EVU661" s="734"/>
      <c r="EVV661" s="735"/>
      <c r="EVW661" s="734"/>
      <c r="EVX661" s="733"/>
      <c r="EVY661" s="734"/>
      <c r="EVZ661" s="735"/>
      <c r="EWA661" s="734"/>
      <c r="EWB661" s="733"/>
      <c r="EWC661" s="734"/>
      <c r="EWD661" s="735"/>
      <c r="EWE661" s="734"/>
      <c r="EWF661" s="733"/>
      <c r="EWG661" s="734"/>
      <c r="EWH661" s="735"/>
      <c r="EWI661" s="734"/>
      <c r="EWJ661" s="733"/>
      <c r="EWK661" s="734"/>
      <c r="EWL661" s="735"/>
      <c r="EWM661" s="734"/>
      <c r="EWN661" s="733"/>
      <c r="EWO661" s="734"/>
      <c r="EWP661" s="735"/>
      <c r="EWQ661" s="734"/>
      <c r="EWR661" s="733"/>
      <c r="EWS661" s="734"/>
      <c r="EWT661" s="735"/>
      <c r="EWU661" s="734"/>
      <c r="EWV661" s="733"/>
      <c r="EWW661" s="734"/>
      <c r="EWX661" s="735"/>
      <c r="EWY661" s="734"/>
      <c r="EWZ661" s="733"/>
      <c r="EXA661" s="734"/>
      <c r="EXB661" s="735"/>
      <c r="EXC661" s="734"/>
      <c r="EXD661" s="733"/>
      <c r="EXE661" s="734"/>
      <c r="EXF661" s="735"/>
      <c r="EXG661" s="734"/>
      <c r="EXH661" s="733"/>
      <c r="EXI661" s="734"/>
      <c r="EXJ661" s="735"/>
      <c r="EXK661" s="734"/>
      <c r="EXL661" s="733"/>
      <c r="EXM661" s="734"/>
      <c r="EXN661" s="735"/>
      <c r="EXO661" s="734"/>
      <c r="EXP661" s="733"/>
      <c r="EXQ661" s="734"/>
      <c r="EXR661" s="735"/>
      <c r="EXS661" s="734"/>
      <c r="EXT661" s="733"/>
      <c r="EXU661" s="734"/>
      <c r="EXV661" s="735"/>
      <c r="EXW661" s="734"/>
      <c r="EXX661" s="733"/>
      <c r="EXY661" s="734"/>
      <c r="EXZ661" s="735"/>
      <c r="EYA661" s="734"/>
      <c r="EYB661" s="733"/>
      <c r="EYC661" s="734"/>
      <c r="EYD661" s="735"/>
      <c r="EYE661" s="734"/>
      <c r="EYF661" s="733"/>
      <c r="EYG661" s="734"/>
      <c r="EYH661" s="735"/>
      <c r="EYI661" s="734"/>
      <c r="EYJ661" s="733"/>
      <c r="EYK661" s="734"/>
      <c r="EYL661" s="735"/>
      <c r="EYM661" s="734"/>
      <c r="EYN661" s="733"/>
      <c r="EYO661" s="734"/>
      <c r="EYP661" s="735"/>
      <c r="EYQ661" s="734"/>
      <c r="EYR661" s="733"/>
      <c r="EYS661" s="734"/>
      <c r="EYT661" s="735"/>
      <c r="EYU661" s="734"/>
      <c r="EYV661" s="733"/>
      <c r="EYW661" s="734"/>
      <c r="EYX661" s="735"/>
      <c r="EYY661" s="734"/>
      <c r="EYZ661" s="733"/>
      <c r="EZA661" s="734"/>
      <c r="EZB661" s="735"/>
      <c r="EZC661" s="734"/>
      <c r="EZD661" s="733"/>
      <c r="EZE661" s="734"/>
      <c r="EZF661" s="735"/>
      <c r="EZG661" s="734"/>
      <c r="EZH661" s="733"/>
      <c r="EZI661" s="734"/>
      <c r="EZJ661" s="735"/>
      <c r="EZK661" s="734"/>
      <c r="EZL661" s="733"/>
      <c r="EZM661" s="734"/>
      <c r="EZN661" s="735"/>
      <c r="EZO661" s="734"/>
      <c r="EZP661" s="733"/>
      <c r="EZQ661" s="734"/>
      <c r="EZR661" s="735"/>
      <c r="EZS661" s="734"/>
      <c r="EZT661" s="733"/>
      <c r="EZU661" s="734"/>
      <c r="EZV661" s="735"/>
      <c r="EZW661" s="734"/>
      <c r="EZX661" s="733"/>
      <c r="EZY661" s="734"/>
      <c r="EZZ661" s="735"/>
      <c r="FAA661" s="734"/>
      <c r="FAB661" s="733"/>
      <c r="FAC661" s="734"/>
      <c r="FAD661" s="735"/>
      <c r="FAE661" s="734"/>
      <c r="FAF661" s="733"/>
      <c r="FAG661" s="734"/>
      <c r="FAH661" s="735"/>
      <c r="FAI661" s="734"/>
      <c r="FAJ661" s="733"/>
      <c r="FAK661" s="734"/>
      <c r="FAL661" s="735"/>
      <c r="FAM661" s="734"/>
      <c r="FAN661" s="733"/>
      <c r="FAO661" s="734"/>
      <c r="FAP661" s="735"/>
      <c r="FAQ661" s="734"/>
      <c r="FAR661" s="733"/>
      <c r="FAS661" s="734"/>
      <c r="FAT661" s="735"/>
      <c r="FAU661" s="734"/>
      <c r="FAV661" s="733"/>
      <c r="FAW661" s="734"/>
      <c r="FAX661" s="735"/>
      <c r="FAY661" s="734"/>
      <c r="FAZ661" s="733"/>
      <c r="FBA661" s="734"/>
      <c r="FBB661" s="735"/>
      <c r="FBC661" s="734"/>
      <c r="FBD661" s="733"/>
      <c r="FBE661" s="734"/>
      <c r="FBF661" s="735"/>
      <c r="FBG661" s="734"/>
      <c r="FBH661" s="733"/>
      <c r="FBI661" s="734"/>
      <c r="FBJ661" s="735"/>
      <c r="FBK661" s="734"/>
      <c r="FBL661" s="733"/>
      <c r="FBM661" s="734"/>
      <c r="FBN661" s="735"/>
      <c r="FBO661" s="734"/>
      <c r="FBP661" s="733"/>
      <c r="FBQ661" s="734"/>
      <c r="FBR661" s="735"/>
      <c r="FBS661" s="734"/>
      <c r="FBT661" s="733"/>
      <c r="FBU661" s="734"/>
      <c r="FBV661" s="735"/>
      <c r="FBW661" s="734"/>
      <c r="FBX661" s="733"/>
      <c r="FBY661" s="734"/>
      <c r="FBZ661" s="735"/>
      <c r="FCA661" s="734"/>
      <c r="FCB661" s="733"/>
      <c r="FCC661" s="734"/>
      <c r="FCD661" s="735"/>
      <c r="FCE661" s="734"/>
      <c r="FCF661" s="733"/>
      <c r="FCG661" s="734"/>
      <c r="FCH661" s="735"/>
      <c r="FCI661" s="734"/>
      <c r="FCJ661" s="733"/>
      <c r="FCK661" s="734"/>
      <c r="FCL661" s="735"/>
      <c r="FCM661" s="734"/>
      <c r="FCN661" s="733"/>
      <c r="FCO661" s="734"/>
      <c r="FCP661" s="735"/>
      <c r="FCQ661" s="734"/>
      <c r="FCR661" s="733"/>
      <c r="FCS661" s="734"/>
      <c r="FCT661" s="735"/>
      <c r="FCU661" s="734"/>
      <c r="FCV661" s="733"/>
      <c r="FCW661" s="734"/>
      <c r="FCX661" s="735"/>
      <c r="FCY661" s="734"/>
      <c r="FCZ661" s="733"/>
      <c r="FDA661" s="734"/>
      <c r="FDB661" s="735"/>
      <c r="FDC661" s="734"/>
      <c r="FDD661" s="733"/>
      <c r="FDE661" s="734"/>
      <c r="FDF661" s="735"/>
      <c r="FDG661" s="734"/>
      <c r="FDH661" s="733"/>
      <c r="FDI661" s="734"/>
      <c r="FDJ661" s="735"/>
      <c r="FDK661" s="734"/>
      <c r="FDL661" s="733"/>
      <c r="FDM661" s="734"/>
      <c r="FDN661" s="735"/>
      <c r="FDO661" s="734"/>
      <c r="FDP661" s="733"/>
      <c r="FDQ661" s="734"/>
      <c r="FDR661" s="735"/>
      <c r="FDS661" s="734"/>
      <c r="FDT661" s="733"/>
      <c r="FDU661" s="734"/>
      <c r="FDV661" s="735"/>
      <c r="FDW661" s="734"/>
      <c r="FDX661" s="733"/>
      <c r="FDY661" s="734"/>
      <c r="FDZ661" s="735"/>
      <c r="FEA661" s="734"/>
      <c r="FEB661" s="733"/>
      <c r="FEC661" s="734"/>
      <c r="FED661" s="735"/>
      <c r="FEE661" s="734"/>
      <c r="FEF661" s="733"/>
      <c r="FEG661" s="734"/>
      <c r="FEH661" s="735"/>
      <c r="FEI661" s="734"/>
      <c r="FEJ661" s="733"/>
      <c r="FEK661" s="734"/>
      <c r="FEL661" s="735"/>
      <c r="FEM661" s="734"/>
      <c r="FEN661" s="733"/>
      <c r="FEO661" s="734"/>
      <c r="FEP661" s="735"/>
      <c r="FEQ661" s="734"/>
      <c r="FER661" s="733"/>
      <c r="FES661" s="734"/>
      <c r="FET661" s="735"/>
      <c r="FEU661" s="734"/>
      <c r="FEV661" s="733"/>
      <c r="FEW661" s="734"/>
      <c r="FEX661" s="735"/>
      <c r="FEY661" s="734"/>
      <c r="FEZ661" s="733"/>
      <c r="FFA661" s="734"/>
      <c r="FFB661" s="735"/>
      <c r="FFC661" s="734"/>
      <c r="FFD661" s="733"/>
      <c r="FFE661" s="734"/>
      <c r="FFF661" s="735"/>
      <c r="FFG661" s="734"/>
      <c r="FFH661" s="733"/>
      <c r="FFI661" s="734"/>
      <c r="FFJ661" s="735"/>
      <c r="FFK661" s="734"/>
      <c r="FFL661" s="733"/>
      <c r="FFM661" s="734"/>
      <c r="FFN661" s="735"/>
      <c r="FFO661" s="734"/>
      <c r="FFP661" s="733"/>
      <c r="FFQ661" s="734"/>
      <c r="FFR661" s="735"/>
      <c r="FFS661" s="734"/>
      <c r="FFT661" s="733"/>
      <c r="FFU661" s="734"/>
      <c r="FFV661" s="735"/>
      <c r="FFW661" s="734"/>
      <c r="FFX661" s="733"/>
      <c r="FFY661" s="734"/>
      <c r="FFZ661" s="735"/>
      <c r="FGA661" s="734"/>
      <c r="FGB661" s="733"/>
      <c r="FGC661" s="734"/>
      <c r="FGD661" s="735"/>
      <c r="FGE661" s="734"/>
      <c r="FGF661" s="733"/>
      <c r="FGG661" s="734"/>
      <c r="FGH661" s="735"/>
      <c r="FGI661" s="734"/>
      <c r="FGJ661" s="733"/>
      <c r="FGK661" s="734"/>
      <c r="FGL661" s="735"/>
      <c r="FGM661" s="734"/>
      <c r="FGN661" s="733"/>
      <c r="FGO661" s="734"/>
      <c r="FGP661" s="735"/>
      <c r="FGQ661" s="734"/>
      <c r="FGR661" s="733"/>
      <c r="FGS661" s="734"/>
      <c r="FGT661" s="735"/>
      <c r="FGU661" s="734"/>
      <c r="FGV661" s="733"/>
      <c r="FGW661" s="734"/>
      <c r="FGX661" s="735"/>
      <c r="FGY661" s="734"/>
      <c r="FGZ661" s="733"/>
      <c r="FHA661" s="734"/>
      <c r="FHB661" s="735"/>
      <c r="FHC661" s="734"/>
      <c r="FHD661" s="733"/>
      <c r="FHE661" s="734"/>
      <c r="FHF661" s="735"/>
      <c r="FHG661" s="734"/>
      <c r="FHH661" s="733"/>
      <c r="FHI661" s="734"/>
      <c r="FHJ661" s="735"/>
      <c r="FHK661" s="734"/>
      <c r="FHL661" s="733"/>
      <c r="FHM661" s="734"/>
      <c r="FHN661" s="735"/>
      <c r="FHO661" s="734"/>
      <c r="FHP661" s="733"/>
      <c r="FHQ661" s="734"/>
      <c r="FHR661" s="735"/>
      <c r="FHS661" s="734"/>
      <c r="FHT661" s="733"/>
      <c r="FHU661" s="734"/>
      <c r="FHV661" s="735"/>
      <c r="FHW661" s="734"/>
      <c r="FHX661" s="733"/>
      <c r="FHY661" s="734"/>
      <c r="FHZ661" s="735"/>
      <c r="FIA661" s="734"/>
      <c r="FIB661" s="733"/>
      <c r="FIC661" s="734"/>
      <c r="FID661" s="735"/>
      <c r="FIE661" s="734"/>
      <c r="FIF661" s="733"/>
      <c r="FIG661" s="734"/>
      <c r="FIH661" s="735"/>
      <c r="FII661" s="734"/>
      <c r="FIJ661" s="733"/>
      <c r="FIK661" s="734"/>
      <c r="FIL661" s="735"/>
      <c r="FIM661" s="734"/>
      <c r="FIN661" s="733"/>
      <c r="FIO661" s="734"/>
      <c r="FIP661" s="735"/>
      <c r="FIQ661" s="734"/>
      <c r="FIR661" s="733"/>
      <c r="FIS661" s="734"/>
      <c r="FIT661" s="735"/>
      <c r="FIU661" s="734"/>
      <c r="FIV661" s="733"/>
      <c r="FIW661" s="734"/>
      <c r="FIX661" s="735"/>
      <c r="FIY661" s="734"/>
      <c r="FIZ661" s="733"/>
      <c r="FJA661" s="734"/>
      <c r="FJB661" s="735"/>
      <c r="FJC661" s="734"/>
      <c r="FJD661" s="733"/>
      <c r="FJE661" s="734"/>
      <c r="FJF661" s="735"/>
      <c r="FJG661" s="734"/>
      <c r="FJH661" s="733"/>
      <c r="FJI661" s="734"/>
      <c r="FJJ661" s="735"/>
      <c r="FJK661" s="734"/>
      <c r="FJL661" s="733"/>
      <c r="FJM661" s="734"/>
      <c r="FJN661" s="735"/>
      <c r="FJO661" s="734"/>
      <c r="FJP661" s="733"/>
      <c r="FJQ661" s="734"/>
      <c r="FJR661" s="735"/>
      <c r="FJS661" s="734"/>
      <c r="FJT661" s="733"/>
      <c r="FJU661" s="734"/>
      <c r="FJV661" s="735"/>
      <c r="FJW661" s="734"/>
      <c r="FJX661" s="733"/>
      <c r="FJY661" s="734"/>
      <c r="FJZ661" s="735"/>
      <c r="FKA661" s="734"/>
      <c r="FKB661" s="733"/>
      <c r="FKC661" s="734"/>
      <c r="FKD661" s="735"/>
      <c r="FKE661" s="734"/>
      <c r="FKF661" s="733"/>
      <c r="FKG661" s="734"/>
      <c r="FKH661" s="735"/>
      <c r="FKI661" s="734"/>
      <c r="FKJ661" s="733"/>
      <c r="FKK661" s="734"/>
      <c r="FKL661" s="735"/>
      <c r="FKM661" s="734"/>
      <c r="FKN661" s="733"/>
      <c r="FKO661" s="734"/>
      <c r="FKP661" s="735"/>
      <c r="FKQ661" s="734"/>
      <c r="FKR661" s="733"/>
      <c r="FKS661" s="734"/>
      <c r="FKT661" s="735"/>
      <c r="FKU661" s="734"/>
      <c r="FKV661" s="733"/>
      <c r="FKW661" s="734"/>
      <c r="FKX661" s="735"/>
      <c r="FKY661" s="734"/>
      <c r="FKZ661" s="733"/>
      <c r="FLA661" s="734"/>
      <c r="FLB661" s="735"/>
      <c r="FLC661" s="734"/>
      <c r="FLD661" s="733"/>
      <c r="FLE661" s="734"/>
      <c r="FLF661" s="735"/>
      <c r="FLG661" s="734"/>
      <c r="FLH661" s="733"/>
      <c r="FLI661" s="734"/>
      <c r="FLJ661" s="735"/>
      <c r="FLK661" s="734"/>
      <c r="FLL661" s="733"/>
      <c r="FLM661" s="734"/>
      <c r="FLN661" s="735"/>
      <c r="FLO661" s="734"/>
      <c r="FLP661" s="733"/>
      <c r="FLQ661" s="734"/>
      <c r="FLR661" s="735"/>
      <c r="FLS661" s="734"/>
      <c r="FLT661" s="733"/>
      <c r="FLU661" s="734"/>
      <c r="FLV661" s="735"/>
      <c r="FLW661" s="734"/>
      <c r="FLX661" s="733"/>
      <c r="FLY661" s="734"/>
      <c r="FLZ661" s="735"/>
      <c r="FMA661" s="734"/>
      <c r="FMB661" s="733"/>
      <c r="FMC661" s="734"/>
      <c r="FMD661" s="735"/>
      <c r="FME661" s="734"/>
      <c r="FMF661" s="733"/>
      <c r="FMG661" s="734"/>
      <c r="FMH661" s="735"/>
      <c r="FMI661" s="734"/>
      <c r="FMJ661" s="733"/>
      <c r="FMK661" s="734"/>
      <c r="FML661" s="735"/>
      <c r="FMM661" s="734"/>
      <c r="FMN661" s="733"/>
      <c r="FMO661" s="734"/>
      <c r="FMP661" s="735"/>
      <c r="FMQ661" s="734"/>
      <c r="FMR661" s="733"/>
      <c r="FMS661" s="734"/>
      <c r="FMT661" s="735"/>
      <c r="FMU661" s="734"/>
      <c r="FMV661" s="733"/>
      <c r="FMW661" s="734"/>
      <c r="FMX661" s="735"/>
      <c r="FMY661" s="734"/>
      <c r="FMZ661" s="733"/>
      <c r="FNA661" s="734"/>
      <c r="FNB661" s="735"/>
      <c r="FNC661" s="734"/>
      <c r="FND661" s="733"/>
      <c r="FNE661" s="734"/>
      <c r="FNF661" s="735"/>
      <c r="FNG661" s="734"/>
      <c r="FNH661" s="733"/>
      <c r="FNI661" s="734"/>
      <c r="FNJ661" s="735"/>
      <c r="FNK661" s="734"/>
      <c r="FNL661" s="733"/>
      <c r="FNM661" s="734"/>
      <c r="FNN661" s="735"/>
      <c r="FNO661" s="734"/>
      <c r="FNP661" s="733"/>
      <c r="FNQ661" s="734"/>
      <c r="FNR661" s="735"/>
      <c r="FNS661" s="734"/>
      <c r="FNT661" s="733"/>
      <c r="FNU661" s="734"/>
      <c r="FNV661" s="735"/>
      <c r="FNW661" s="734"/>
      <c r="FNX661" s="733"/>
      <c r="FNY661" s="734"/>
      <c r="FNZ661" s="735"/>
      <c r="FOA661" s="734"/>
      <c r="FOB661" s="733"/>
      <c r="FOC661" s="734"/>
      <c r="FOD661" s="735"/>
      <c r="FOE661" s="734"/>
      <c r="FOF661" s="733"/>
      <c r="FOG661" s="734"/>
      <c r="FOH661" s="735"/>
      <c r="FOI661" s="734"/>
      <c r="FOJ661" s="733"/>
      <c r="FOK661" s="734"/>
      <c r="FOL661" s="735"/>
      <c r="FOM661" s="734"/>
      <c r="FON661" s="733"/>
      <c r="FOO661" s="734"/>
      <c r="FOP661" s="735"/>
      <c r="FOQ661" s="734"/>
      <c r="FOR661" s="733"/>
      <c r="FOS661" s="734"/>
      <c r="FOT661" s="735"/>
      <c r="FOU661" s="734"/>
      <c r="FOV661" s="733"/>
      <c r="FOW661" s="734"/>
      <c r="FOX661" s="735"/>
      <c r="FOY661" s="734"/>
      <c r="FOZ661" s="733"/>
      <c r="FPA661" s="734"/>
      <c r="FPB661" s="735"/>
      <c r="FPC661" s="734"/>
      <c r="FPD661" s="733"/>
      <c r="FPE661" s="734"/>
      <c r="FPF661" s="735"/>
      <c r="FPG661" s="734"/>
      <c r="FPH661" s="733"/>
      <c r="FPI661" s="734"/>
      <c r="FPJ661" s="735"/>
      <c r="FPK661" s="734"/>
      <c r="FPL661" s="733"/>
      <c r="FPM661" s="734"/>
      <c r="FPN661" s="735"/>
      <c r="FPO661" s="734"/>
      <c r="FPP661" s="733"/>
      <c r="FPQ661" s="734"/>
      <c r="FPR661" s="735"/>
      <c r="FPS661" s="734"/>
      <c r="FPT661" s="733"/>
      <c r="FPU661" s="734"/>
      <c r="FPV661" s="735"/>
      <c r="FPW661" s="734"/>
      <c r="FPX661" s="733"/>
      <c r="FPY661" s="734"/>
      <c r="FPZ661" s="735"/>
      <c r="FQA661" s="734"/>
      <c r="FQB661" s="733"/>
      <c r="FQC661" s="734"/>
      <c r="FQD661" s="735"/>
      <c r="FQE661" s="734"/>
      <c r="FQF661" s="733"/>
      <c r="FQG661" s="734"/>
      <c r="FQH661" s="735"/>
      <c r="FQI661" s="734"/>
      <c r="FQJ661" s="733"/>
      <c r="FQK661" s="734"/>
      <c r="FQL661" s="735"/>
      <c r="FQM661" s="734"/>
      <c r="FQN661" s="733"/>
      <c r="FQO661" s="734"/>
      <c r="FQP661" s="735"/>
      <c r="FQQ661" s="734"/>
      <c r="FQR661" s="733"/>
      <c r="FQS661" s="734"/>
      <c r="FQT661" s="735"/>
      <c r="FQU661" s="734"/>
      <c r="FQV661" s="733"/>
      <c r="FQW661" s="734"/>
      <c r="FQX661" s="735"/>
      <c r="FQY661" s="734"/>
      <c r="FQZ661" s="733"/>
      <c r="FRA661" s="734"/>
      <c r="FRB661" s="735"/>
      <c r="FRC661" s="734"/>
      <c r="FRD661" s="733"/>
      <c r="FRE661" s="734"/>
      <c r="FRF661" s="735"/>
      <c r="FRG661" s="734"/>
      <c r="FRH661" s="733"/>
      <c r="FRI661" s="734"/>
      <c r="FRJ661" s="735"/>
      <c r="FRK661" s="734"/>
      <c r="FRL661" s="733"/>
      <c r="FRM661" s="734"/>
      <c r="FRN661" s="735"/>
      <c r="FRO661" s="734"/>
      <c r="FRP661" s="733"/>
      <c r="FRQ661" s="734"/>
      <c r="FRR661" s="735"/>
      <c r="FRS661" s="734"/>
      <c r="FRT661" s="733"/>
      <c r="FRU661" s="734"/>
      <c r="FRV661" s="735"/>
      <c r="FRW661" s="734"/>
      <c r="FRX661" s="733"/>
      <c r="FRY661" s="734"/>
      <c r="FRZ661" s="735"/>
      <c r="FSA661" s="734"/>
      <c r="FSB661" s="733"/>
      <c r="FSC661" s="734"/>
      <c r="FSD661" s="735"/>
      <c r="FSE661" s="734"/>
      <c r="FSF661" s="733"/>
      <c r="FSG661" s="734"/>
      <c r="FSH661" s="735"/>
      <c r="FSI661" s="734"/>
      <c r="FSJ661" s="733"/>
      <c r="FSK661" s="734"/>
      <c r="FSL661" s="735"/>
      <c r="FSM661" s="734"/>
      <c r="FSN661" s="733"/>
      <c r="FSO661" s="734"/>
      <c r="FSP661" s="735"/>
      <c r="FSQ661" s="734"/>
      <c r="FSR661" s="733"/>
      <c r="FSS661" s="734"/>
      <c r="FST661" s="735"/>
      <c r="FSU661" s="734"/>
      <c r="FSV661" s="733"/>
      <c r="FSW661" s="734"/>
      <c r="FSX661" s="735"/>
      <c r="FSY661" s="734"/>
      <c r="FSZ661" s="733"/>
      <c r="FTA661" s="734"/>
      <c r="FTB661" s="735"/>
      <c r="FTC661" s="734"/>
      <c r="FTD661" s="733"/>
      <c r="FTE661" s="734"/>
      <c r="FTF661" s="735"/>
      <c r="FTG661" s="734"/>
      <c r="FTH661" s="733"/>
      <c r="FTI661" s="734"/>
      <c r="FTJ661" s="735"/>
      <c r="FTK661" s="734"/>
      <c r="FTL661" s="733"/>
      <c r="FTM661" s="734"/>
      <c r="FTN661" s="735"/>
      <c r="FTO661" s="734"/>
      <c r="FTP661" s="733"/>
      <c r="FTQ661" s="734"/>
      <c r="FTR661" s="735"/>
      <c r="FTS661" s="734"/>
      <c r="FTT661" s="733"/>
      <c r="FTU661" s="734"/>
      <c r="FTV661" s="735"/>
      <c r="FTW661" s="734"/>
      <c r="FTX661" s="733"/>
      <c r="FTY661" s="734"/>
      <c r="FTZ661" s="735"/>
      <c r="FUA661" s="734"/>
      <c r="FUB661" s="733"/>
      <c r="FUC661" s="734"/>
      <c r="FUD661" s="735"/>
      <c r="FUE661" s="734"/>
      <c r="FUF661" s="733"/>
      <c r="FUG661" s="734"/>
      <c r="FUH661" s="735"/>
      <c r="FUI661" s="734"/>
      <c r="FUJ661" s="733"/>
      <c r="FUK661" s="734"/>
      <c r="FUL661" s="735"/>
      <c r="FUM661" s="734"/>
      <c r="FUN661" s="733"/>
      <c r="FUO661" s="734"/>
      <c r="FUP661" s="735"/>
      <c r="FUQ661" s="734"/>
      <c r="FUR661" s="733"/>
      <c r="FUS661" s="734"/>
      <c r="FUT661" s="735"/>
      <c r="FUU661" s="734"/>
      <c r="FUV661" s="733"/>
      <c r="FUW661" s="734"/>
      <c r="FUX661" s="735"/>
      <c r="FUY661" s="734"/>
      <c r="FUZ661" s="733"/>
      <c r="FVA661" s="734"/>
      <c r="FVB661" s="735"/>
      <c r="FVC661" s="734"/>
      <c r="FVD661" s="733"/>
      <c r="FVE661" s="734"/>
      <c r="FVF661" s="735"/>
      <c r="FVG661" s="734"/>
      <c r="FVH661" s="733"/>
      <c r="FVI661" s="734"/>
      <c r="FVJ661" s="735"/>
      <c r="FVK661" s="734"/>
      <c r="FVL661" s="733"/>
      <c r="FVM661" s="734"/>
      <c r="FVN661" s="735"/>
      <c r="FVO661" s="734"/>
      <c r="FVP661" s="733"/>
      <c r="FVQ661" s="734"/>
      <c r="FVR661" s="735"/>
      <c r="FVS661" s="734"/>
      <c r="FVT661" s="733"/>
      <c r="FVU661" s="734"/>
      <c r="FVV661" s="735"/>
      <c r="FVW661" s="734"/>
      <c r="FVX661" s="733"/>
      <c r="FVY661" s="734"/>
      <c r="FVZ661" s="735"/>
      <c r="FWA661" s="734"/>
      <c r="FWB661" s="733"/>
      <c r="FWC661" s="734"/>
      <c r="FWD661" s="735"/>
      <c r="FWE661" s="734"/>
      <c r="FWF661" s="733"/>
      <c r="FWG661" s="734"/>
      <c r="FWH661" s="735"/>
      <c r="FWI661" s="734"/>
      <c r="FWJ661" s="733"/>
      <c r="FWK661" s="734"/>
      <c r="FWL661" s="735"/>
      <c r="FWM661" s="734"/>
      <c r="FWN661" s="733"/>
      <c r="FWO661" s="734"/>
      <c r="FWP661" s="735"/>
      <c r="FWQ661" s="734"/>
      <c r="FWR661" s="733"/>
      <c r="FWS661" s="734"/>
      <c r="FWT661" s="735"/>
      <c r="FWU661" s="734"/>
      <c r="FWV661" s="733"/>
      <c r="FWW661" s="734"/>
      <c r="FWX661" s="735"/>
      <c r="FWY661" s="734"/>
      <c r="FWZ661" s="733"/>
      <c r="FXA661" s="734"/>
      <c r="FXB661" s="735"/>
      <c r="FXC661" s="734"/>
      <c r="FXD661" s="733"/>
      <c r="FXE661" s="734"/>
      <c r="FXF661" s="735"/>
      <c r="FXG661" s="734"/>
      <c r="FXH661" s="733"/>
      <c r="FXI661" s="734"/>
      <c r="FXJ661" s="735"/>
      <c r="FXK661" s="734"/>
      <c r="FXL661" s="733"/>
      <c r="FXM661" s="734"/>
      <c r="FXN661" s="735"/>
      <c r="FXO661" s="734"/>
      <c r="FXP661" s="733"/>
      <c r="FXQ661" s="734"/>
      <c r="FXR661" s="735"/>
      <c r="FXS661" s="734"/>
      <c r="FXT661" s="733"/>
      <c r="FXU661" s="734"/>
      <c r="FXV661" s="735"/>
      <c r="FXW661" s="734"/>
      <c r="FXX661" s="733"/>
      <c r="FXY661" s="734"/>
      <c r="FXZ661" s="735"/>
      <c r="FYA661" s="734"/>
      <c r="FYB661" s="733"/>
      <c r="FYC661" s="734"/>
      <c r="FYD661" s="735"/>
      <c r="FYE661" s="734"/>
      <c r="FYF661" s="733"/>
      <c r="FYG661" s="734"/>
      <c r="FYH661" s="735"/>
      <c r="FYI661" s="734"/>
      <c r="FYJ661" s="733"/>
      <c r="FYK661" s="734"/>
      <c r="FYL661" s="735"/>
      <c r="FYM661" s="734"/>
      <c r="FYN661" s="733"/>
      <c r="FYO661" s="734"/>
      <c r="FYP661" s="735"/>
      <c r="FYQ661" s="734"/>
      <c r="FYR661" s="733"/>
      <c r="FYS661" s="734"/>
      <c r="FYT661" s="735"/>
      <c r="FYU661" s="734"/>
      <c r="FYV661" s="733"/>
      <c r="FYW661" s="734"/>
      <c r="FYX661" s="735"/>
      <c r="FYY661" s="734"/>
      <c r="FYZ661" s="733"/>
      <c r="FZA661" s="734"/>
      <c r="FZB661" s="735"/>
      <c r="FZC661" s="734"/>
      <c r="FZD661" s="733"/>
      <c r="FZE661" s="734"/>
      <c r="FZF661" s="735"/>
      <c r="FZG661" s="734"/>
      <c r="FZH661" s="733"/>
      <c r="FZI661" s="734"/>
      <c r="FZJ661" s="735"/>
      <c r="FZK661" s="734"/>
      <c r="FZL661" s="733"/>
      <c r="FZM661" s="734"/>
      <c r="FZN661" s="735"/>
      <c r="FZO661" s="734"/>
      <c r="FZP661" s="733"/>
      <c r="FZQ661" s="734"/>
      <c r="FZR661" s="735"/>
      <c r="FZS661" s="734"/>
      <c r="FZT661" s="733"/>
      <c r="FZU661" s="734"/>
      <c r="FZV661" s="735"/>
      <c r="FZW661" s="734"/>
      <c r="FZX661" s="733"/>
      <c r="FZY661" s="734"/>
      <c r="FZZ661" s="735"/>
      <c r="GAA661" s="734"/>
      <c r="GAB661" s="733"/>
      <c r="GAC661" s="734"/>
      <c r="GAD661" s="735"/>
      <c r="GAE661" s="734"/>
      <c r="GAF661" s="733"/>
      <c r="GAG661" s="734"/>
      <c r="GAH661" s="735"/>
      <c r="GAI661" s="734"/>
      <c r="GAJ661" s="733"/>
      <c r="GAK661" s="734"/>
      <c r="GAL661" s="735"/>
      <c r="GAM661" s="734"/>
      <c r="GAN661" s="733"/>
      <c r="GAO661" s="734"/>
      <c r="GAP661" s="735"/>
      <c r="GAQ661" s="734"/>
      <c r="GAR661" s="733"/>
      <c r="GAS661" s="734"/>
      <c r="GAT661" s="735"/>
      <c r="GAU661" s="734"/>
      <c r="GAV661" s="733"/>
      <c r="GAW661" s="734"/>
      <c r="GAX661" s="735"/>
      <c r="GAY661" s="734"/>
      <c r="GAZ661" s="733"/>
      <c r="GBA661" s="734"/>
      <c r="GBB661" s="735"/>
      <c r="GBC661" s="734"/>
      <c r="GBD661" s="733"/>
      <c r="GBE661" s="734"/>
      <c r="GBF661" s="735"/>
      <c r="GBG661" s="734"/>
      <c r="GBH661" s="733"/>
      <c r="GBI661" s="734"/>
      <c r="GBJ661" s="735"/>
      <c r="GBK661" s="734"/>
      <c r="GBL661" s="733"/>
      <c r="GBM661" s="734"/>
      <c r="GBN661" s="735"/>
      <c r="GBO661" s="734"/>
      <c r="GBP661" s="733"/>
      <c r="GBQ661" s="734"/>
      <c r="GBR661" s="735"/>
      <c r="GBS661" s="734"/>
      <c r="GBT661" s="733"/>
      <c r="GBU661" s="734"/>
      <c r="GBV661" s="735"/>
      <c r="GBW661" s="734"/>
      <c r="GBX661" s="733"/>
      <c r="GBY661" s="734"/>
      <c r="GBZ661" s="735"/>
      <c r="GCA661" s="734"/>
      <c r="GCB661" s="733"/>
      <c r="GCC661" s="734"/>
      <c r="GCD661" s="735"/>
      <c r="GCE661" s="734"/>
      <c r="GCF661" s="733"/>
      <c r="GCG661" s="734"/>
      <c r="GCH661" s="735"/>
      <c r="GCI661" s="734"/>
      <c r="GCJ661" s="733"/>
      <c r="GCK661" s="734"/>
      <c r="GCL661" s="735"/>
      <c r="GCM661" s="734"/>
      <c r="GCN661" s="733"/>
      <c r="GCO661" s="734"/>
      <c r="GCP661" s="735"/>
      <c r="GCQ661" s="734"/>
      <c r="GCR661" s="733"/>
      <c r="GCS661" s="734"/>
      <c r="GCT661" s="735"/>
      <c r="GCU661" s="734"/>
      <c r="GCV661" s="733"/>
      <c r="GCW661" s="734"/>
      <c r="GCX661" s="735"/>
      <c r="GCY661" s="734"/>
      <c r="GCZ661" s="733"/>
      <c r="GDA661" s="734"/>
      <c r="GDB661" s="735"/>
      <c r="GDC661" s="734"/>
      <c r="GDD661" s="733"/>
      <c r="GDE661" s="734"/>
      <c r="GDF661" s="735"/>
      <c r="GDG661" s="734"/>
      <c r="GDH661" s="733"/>
      <c r="GDI661" s="734"/>
      <c r="GDJ661" s="735"/>
      <c r="GDK661" s="734"/>
      <c r="GDL661" s="733"/>
      <c r="GDM661" s="734"/>
      <c r="GDN661" s="735"/>
      <c r="GDO661" s="734"/>
      <c r="GDP661" s="733"/>
      <c r="GDQ661" s="734"/>
      <c r="GDR661" s="735"/>
      <c r="GDS661" s="734"/>
      <c r="GDT661" s="733"/>
      <c r="GDU661" s="734"/>
      <c r="GDV661" s="735"/>
      <c r="GDW661" s="734"/>
      <c r="GDX661" s="733"/>
      <c r="GDY661" s="734"/>
      <c r="GDZ661" s="735"/>
      <c r="GEA661" s="734"/>
      <c r="GEB661" s="733"/>
      <c r="GEC661" s="734"/>
      <c r="GED661" s="735"/>
      <c r="GEE661" s="734"/>
      <c r="GEF661" s="733"/>
      <c r="GEG661" s="734"/>
      <c r="GEH661" s="735"/>
      <c r="GEI661" s="734"/>
      <c r="GEJ661" s="733"/>
      <c r="GEK661" s="734"/>
      <c r="GEL661" s="735"/>
      <c r="GEM661" s="734"/>
      <c r="GEN661" s="733"/>
      <c r="GEO661" s="734"/>
      <c r="GEP661" s="735"/>
      <c r="GEQ661" s="734"/>
      <c r="GER661" s="733"/>
      <c r="GES661" s="734"/>
      <c r="GET661" s="735"/>
      <c r="GEU661" s="734"/>
      <c r="GEV661" s="733"/>
      <c r="GEW661" s="734"/>
      <c r="GEX661" s="735"/>
      <c r="GEY661" s="734"/>
      <c r="GEZ661" s="733"/>
      <c r="GFA661" s="734"/>
      <c r="GFB661" s="735"/>
      <c r="GFC661" s="734"/>
      <c r="GFD661" s="733"/>
      <c r="GFE661" s="734"/>
      <c r="GFF661" s="735"/>
      <c r="GFG661" s="734"/>
      <c r="GFH661" s="733"/>
      <c r="GFI661" s="734"/>
      <c r="GFJ661" s="735"/>
      <c r="GFK661" s="734"/>
      <c r="GFL661" s="733"/>
      <c r="GFM661" s="734"/>
      <c r="GFN661" s="735"/>
      <c r="GFO661" s="734"/>
      <c r="GFP661" s="733"/>
      <c r="GFQ661" s="734"/>
      <c r="GFR661" s="735"/>
      <c r="GFS661" s="734"/>
      <c r="GFT661" s="733"/>
      <c r="GFU661" s="734"/>
      <c r="GFV661" s="735"/>
      <c r="GFW661" s="734"/>
      <c r="GFX661" s="733"/>
      <c r="GFY661" s="734"/>
      <c r="GFZ661" s="735"/>
      <c r="GGA661" s="734"/>
      <c r="GGB661" s="733"/>
      <c r="GGC661" s="734"/>
      <c r="GGD661" s="735"/>
      <c r="GGE661" s="734"/>
      <c r="GGF661" s="733"/>
      <c r="GGG661" s="734"/>
      <c r="GGH661" s="735"/>
      <c r="GGI661" s="734"/>
      <c r="GGJ661" s="733"/>
      <c r="GGK661" s="734"/>
      <c r="GGL661" s="735"/>
      <c r="GGM661" s="734"/>
      <c r="GGN661" s="733"/>
      <c r="GGO661" s="734"/>
      <c r="GGP661" s="735"/>
      <c r="GGQ661" s="734"/>
      <c r="GGR661" s="733"/>
      <c r="GGS661" s="734"/>
      <c r="GGT661" s="735"/>
      <c r="GGU661" s="734"/>
      <c r="GGV661" s="733"/>
      <c r="GGW661" s="734"/>
      <c r="GGX661" s="735"/>
      <c r="GGY661" s="734"/>
      <c r="GGZ661" s="733"/>
      <c r="GHA661" s="734"/>
      <c r="GHB661" s="735"/>
      <c r="GHC661" s="734"/>
      <c r="GHD661" s="733"/>
      <c r="GHE661" s="734"/>
      <c r="GHF661" s="735"/>
      <c r="GHG661" s="734"/>
      <c r="GHH661" s="733"/>
      <c r="GHI661" s="734"/>
      <c r="GHJ661" s="735"/>
      <c r="GHK661" s="734"/>
      <c r="GHL661" s="733"/>
      <c r="GHM661" s="734"/>
      <c r="GHN661" s="735"/>
      <c r="GHO661" s="734"/>
      <c r="GHP661" s="733"/>
      <c r="GHQ661" s="734"/>
      <c r="GHR661" s="735"/>
      <c r="GHS661" s="734"/>
      <c r="GHT661" s="733"/>
      <c r="GHU661" s="734"/>
      <c r="GHV661" s="735"/>
      <c r="GHW661" s="734"/>
      <c r="GHX661" s="733"/>
      <c r="GHY661" s="734"/>
      <c r="GHZ661" s="735"/>
      <c r="GIA661" s="734"/>
      <c r="GIB661" s="733"/>
      <c r="GIC661" s="734"/>
      <c r="GID661" s="735"/>
      <c r="GIE661" s="734"/>
      <c r="GIF661" s="733"/>
      <c r="GIG661" s="734"/>
      <c r="GIH661" s="735"/>
      <c r="GII661" s="734"/>
      <c r="GIJ661" s="733"/>
      <c r="GIK661" s="734"/>
      <c r="GIL661" s="735"/>
      <c r="GIM661" s="734"/>
      <c r="GIN661" s="733"/>
      <c r="GIO661" s="734"/>
      <c r="GIP661" s="735"/>
      <c r="GIQ661" s="734"/>
      <c r="GIR661" s="733"/>
      <c r="GIS661" s="734"/>
      <c r="GIT661" s="735"/>
      <c r="GIU661" s="734"/>
      <c r="GIV661" s="733"/>
      <c r="GIW661" s="734"/>
      <c r="GIX661" s="735"/>
      <c r="GIY661" s="734"/>
      <c r="GIZ661" s="733"/>
      <c r="GJA661" s="734"/>
      <c r="GJB661" s="735"/>
      <c r="GJC661" s="734"/>
      <c r="GJD661" s="733"/>
      <c r="GJE661" s="734"/>
      <c r="GJF661" s="735"/>
      <c r="GJG661" s="734"/>
      <c r="GJH661" s="733"/>
      <c r="GJI661" s="734"/>
      <c r="GJJ661" s="735"/>
      <c r="GJK661" s="734"/>
      <c r="GJL661" s="733"/>
      <c r="GJM661" s="734"/>
      <c r="GJN661" s="735"/>
      <c r="GJO661" s="734"/>
      <c r="GJP661" s="733"/>
      <c r="GJQ661" s="734"/>
      <c r="GJR661" s="735"/>
      <c r="GJS661" s="734"/>
      <c r="GJT661" s="733"/>
      <c r="GJU661" s="734"/>
      <c r="GJV661" s="735"/>
      <c r="GJW661" s="734"/>
      <c r="GJX661" s="733"/>
      <c r="GJY661" s="734"/>
      <c r="GJZ661" s="735"/>
      <c r="GKA661" s="734"/>
      <c r="GKB661" s="733"/>
      <c r="GKC661" s="734"/>
      <c r="GKD661" s="735"/>
      <c r="GKE661" s="734"/>
      <c r="GKF661" s="733"/>
      <c r="GKG661" s="734"/>
      <c r="GKH661" s="735"/>
      <c r="GKI661" s="734"/>
      <c r="GKJ661" s="733"/>
      <c r="GKK661" s="734"/>
      <c r="GKL661" s="735"/>
      <c r="GKM661" s="734"/>
      <c r="GKN661" s="733"/>
      <c r="GKO661" s="734"/>
      <c r="GKP661" s="735"/>
      <c r="GKQ661" s="734"/>
      <c r="GKR661" s="733"/>
      <c r="GKS661" s="734"/>
      <c r="GKT661" s="735"/>
      <c r="GKU661" s="734"/>
      <c r="GKV661" s="733"/>
      <c r="GKW661" s="734"/>
      <c r="GKX661" s="735"/>
      <c r="GKY661" s="734"/>
      <c r="GKZ661" s="733"/>
      <c r="GLA661" s="734"/>
      <c r="GLB661" s="735"/>
      <c r="GLC661" s="734"/>
      <c r="GLD661" s="733"/>
      <c r="GLE661" s="734"/>
      <c r="GLF661" s="735"/>
      <c r="GLG661" s="734"/>
      <c r="GLH661" s="733"/>
      <c r="GLI661" s="734"/>
      <c r="GLJ661" s="735"/>
      <c r="GLK661" s="734"/>
      <c r="GLL661" s="733"/>
      <c r="GLM661" s="734"/>
      <c r="GLN661" s="735"/>
      <c r="GLO661" s="734"/>
      <c r="GLP661" s="733"/>
      <c r="GLQ661" s="734"/>
      <c r="GLR661" s="735"/>
      <c r="GLS661" s="734"/>
      <c r="GLT661" s="733"/>
      <c r="GLU661" s="734"/>
      <c r="GLV661" s="735"/>
      <c r="GLW661" s="734"/>
      <c r="GLX661" s="733"/>
      <c r="GLY661" s="734"/>
      <c r="GLZ661" s="735"/>
      <c r="GMA661" s="734"/>
      <c r="GMB661" s="733"/>
      <c r="GMC661" s="734"/>
      <c r="GMD661" s="735"/>
      <c r="GME661" s="734"/>
      <c r="GMF661" s="733"/>
      <c r="GMG661" s="734"/>
      <c r="GMH661" s="735"/>
      <c r="GMI661" s="734"/>
      <c r="GMJ661" s="733"/>
      <c r="GMK661" s="734"/>
      <c r="GML661" s="735"/>
      <c r="GMM661" s="734"/>
      <c r="GMN661" s="733"/>
      <c r="GMO661" s="734"/>
      <c r="GMP661" s="735"/>
      <c r="GMQ661" s="734"/>
      <c r="GMR661" s="733"/>
      <c r="GMS661" s="734"/>
      <c r="GMT661" s="735"/>
      <c r="GMU661" s="734"/>
      <c r="GMV661" s="733"/>
      <c r="GMW661" s="734"/>
      <c r="GMX661" s="735"/>
      <c r="GMY661" s="734"/>
      <c r="GMZ661" s="733"/>
      <c r="GNA661" s="734"/>
      <c r="GNB661" s="735"/>
      <c r="GNC661" s="734"/>
      <c r="GND661" s="733"/>
      <c r="GNE661" s="734"/>
      <c r="GNF661" s="735"/>
      <c r="GNG661" s="734"/>
      <c r="GNH661" s="733"/>
      <c r="GNI661" s="734"/>
      <c r="GNJ661" s="735"/>
      <c r="GNK661" s="734"/>
      <c r="GNL661" s="733"/>
      <c r="GNM661" s="734"/>
      <c r="GNN661" s="735"/>
      <c r="GNO661" s="734"/>
      <c r="GNP661" s="733"/>
      <c r="GNQ661" s="734"/>
      <c r="GNR661" s="735"/>
      <c r="GNS661" s="734"/>
      <c r="GNT661" s="733"/>
      <c r="GNU661" s="734"/>
      <c r="GNV661" s="735"/>
      <c r="GNW661" s="734"/>
      <c r="GNX661" s="733"/>
      <c r="GNY661" s="734"/>
      <c r="GNZ661" s="735"/>
      <c r="GOA661" s="734"/>
      <c r="GOB661" s="733"/>
      <c r="GOC661" s="734"/>
      <c r="GOD661" s="735"/>
      <c r="GOE661" s="734"/>
      <c r="GOF661" s="733"/>
      <c r="GOG661" s="734"/>
      <c r="GOH661" s="735"/>
      <c r="GOI661" s="734"/>
      <c r="GOJ661" s="733"/>
      <c r="GOK661" s="734"/>
      <c r="GOL661" s="735"/>
      <c r="GOM661" s="734"/>
      <c r="GON661" s="733"/>
      <c r="GOO661" s="734"/>
      <c r="GOP661" s="735"/>
      <c r="GOQ661" s="734"/>
      <c r="GOR661" s="733"/>
      <c r="GOS661" s="734"/>
      <c r="GOT661" s="735"/>
      <c r="GOU661" s="734"/>
      <c r="GOV661" s="733"/>
      <c r="GOW661" s="734"/>
      <c r="GOX661" s="735"/>
      <c r="GOY661" s="734"/>
      <c r="GOZ661" s="733"/>
      <c r="GPA661" s="734"/>
      <c r="GPB661" s="735"/>
      <c r="GPC661" s="734"/>
      <c r="GPD661" s="733"/>
      <c r="GPE661" s="734"/>
      <c r="GPF661" s="735"/>
      <c r="GPG661" s="734"/>
      <c r="GPH661" s="733"/>
      <c r="GPI661" s="734"/>
      <c r="GPJ661" s="735"/>
      <c r="GPK661" s="734"/>
      <c r="GPL661" s="733"/>
      <c r="GPM661" s="734"/>
      <c r="GPN661" s="735"/>
      <c r="GPO661" s="734"/>
      <c r="GPP661" s="733"/>
      <c r="GPQ661" s="734"/>
      <c r="GPR661" s="735"/>
      <c r="GPS661" s="734"/>
      <c r="GPT661" s="733"/>
      <c r="GPU661" s="734"/>
      <c r="GPV661" s="735"/>
      <c r="GPW661" s="734"/>
      <c r="GPX661" s="733"/>
      <c r="GPY661" s="734"/>
      <c r="GPZ661" s="735"/>
      <c r="GQA661" s="734"/>
      <c r="GQB661" s="733"/>
      <c r="GQC661" s="734"/>
      <c r="GQD661" s="735"/>
      <c r="GQE661" s="734"/>
      <c r="GQF661" s="733"/>
      <c r="GQG661" s="734"/>
      <c r="GQH661" s="735"/>
      <c r="GQI661" s="734"/>
      <c r="GQJ661" s="733"/>
      <c r="GQK661" s="734"/>
      <c r="GQL661" s="735"/>
      <c r="GQM661" s="734"/>
      <c r="GQN661" s="733"/>
      <c r="GQO661" s="734"/>
      <c r="GQP661" s="735"/>
      <c r="GQQ661" s="734"/>
      <c r="GQR661" s="733"/>
      <c r="GQS661" s="734"/>
      <c r="GQT661" s="735"/>
      <c r="GQU661" s="734"/>
      <c r="GQV661" s="733"/>
      <c r="GQW661" s="734"/>
      <c r="GQX661" s="735"/>
      <c r="GQY661" s="734"/>
      <c r="GQZ661" s="733"/>
      <c r="GRA661" s="734"/>
      <c r="GRB661" s="735"/>
      <c r="GRC661" s="734"/>
      <c r="GRD661" s="733"/>
      <c r="GRE661" s="734"/>
      <c r="GRF661" s="735"/>
      <c r="GRG661" s="734"/>
      <c r="GRH661" s="733"/>
      <c r="GRI661" s="734"/>
      <c r="GRJ661" s="735"/>
      <c r="GRK661" s="734"/>
      <c r="GRL661" s="733"/>
      <c r="GRM661" s="734"/>
      <c r="GRN661" s="735"/>
      <c r="GRO661" s="734"/>
      <c r="GRP661" s="733"/>
      <c r="GRQ661" s="734"/>
      <c r="GRR661" s="735"/>
      <c r="GRS661" s="734"/>
      <c r="GRT661" s="733"/>
      <c r="GRU661" s="734"/>
      <c r="GRV661" s="735"/>
      <c r="GRW661" s="734"/>
      <c r="GRX661" s="733"/>
      <c r="GRY661" s="734"/>
      <c r="GRZ661" s="735"/>
      <c r="GSA661" s="734"/>
      <c r="GSB661" s="733"/>
      <c r="GSC661" s="734"/>
      <c r="GSD661" s="735"/>
      <c r="GSE661" s="734"/>
      <c r="GSF661" s="733"/>
      <c r="GSG661" s="734"/>
      <c r="GSH661" s="735"/>
      <c r="GSI661" s="734"/>
      <c r="GSJ661" s="733"/>
      <c r="GSK661" s="734"/>
      <c r="GSL661" s="735"/>
      <c r="GSM661" s="734"/>
      <c r="GSN661" s="733"/>
      <c r="GSO661" s="734"/>
      <c r="GSP661" s="735"/>
      <c r="GSQ661" s="734"/>
      <c r="GSR661" s="733"/>
      <c r="GSS661" s="734"/>
      <c r="GST661" s="735"/>
      <c r="GSU661" s="734"/>
      <c r="GSV661" s="733"/>
      <c r="GSW661" s="734"/>
      <c r="GSX661" s="735"/>
      <c r="GSY661" s="734"/>
      <c r="GSZ661" s="733"/>
      <c r="GTA661" s="734"/>
      <c r="GTB661" s="735"/>
      <c r="GTC661" s="734"/>
      <c r="GTD661" s="733"/>
      <c r="GTE661" s="734"/>
      <c r="GTF661" s="735"/>
      <c r="GTG661" s="734"/>
      <c r="GTH661" s="733"/>
      <c r="GTI661" s="734"/>
      <c r="GTJ661" s="735"/>
      <c r="GTK661" s="734"/>
      <c r="GTL661" s="733"/>
      <c r="GTM661" s="734"/>
      <c r="GTN661" s="735"/>
      <c r="GTO661" s="734"/>
      <c r="GTP661" s="733"/>
      <c r="GTQ661" s="734"/>
      <c r="GTR661" s="735"/>
      <c r="GTS661" s="734"/>
      <c r="GTT661" s="733"/>
      <c r="GTU661" s="734"/>
      <c r="GTV661" s="735"/>
      <c r="GTW661" s="734"/>
      <c r="GTX661" s="733"/>
      <c r="GTY661" s="734"/>
      <c r="GTZ661" s="735"/>
      <c r="GUA661" s="734"/>
      <c r="GUB661" s="733"/>
      <c r="GUC661" s="734"/>
      <c r="GUD661" s="735"/>
      <c r="GUE661" s="734"/>
      <c r="GUF661" s="733"/>
      <c r="GUG661" s="734"/>
      <c r="GUH661" s="735"/>
      <c r="GUI661" s="734"/>
      <c r="GUJ661" s="733"/>
      <c r="GUK661" s="734"/>
      <c r="GUL661" s="735"/>
      <c r="GUM661" s="734"/>
      <c r="GUN661" s="733"/>
      <c r="GUO661" s="734"/>
      <c r="GUP661" s="735"/>
      <c r="GUQ661" s="734"/>
      <c r="GUR661" s="733"/>
      <c r="GUS661" s="734"/>
      <c r="GUT661" s="735"/>
      <c r="GUU661" s="734"/>
      <c r="GUV661" s="733"/>
      <c r="GUW661" s="734"/>
      <c r="GUX661" s="735"/>
      <c r="GUY661" s="734"/>
      <c r="GUZ661" s="733"/>
      <c r="GVA661" s="734"/>
      <c r="GVB661" s="735"/>
      <c r="GVC661" s="734"/>
      <c r="GVD661" s="733"/>
      <c r="GVE661" s="734"/>
      <c r="GVF661" s="735"/>
      <c r="GVG661" s="734"/>
      <c r="GVH661" s="733"/>
      <c r="GVI661" s="734"/>
      <c r="GVJ661" s="735"/>
      <c r="GVK661" s="734"/>
      <c r="GVL661" s="733"/>
      <c r="GVM661" s="734"/>
      <c r="GVN661" s="735"/>
      <c r="GVO661" s="734"/>
      <c r="GVP661" s="733"/>
      <c r="GVQ661" s="734"/>
      <c r="GVR661" s="735"/>
      <c r="GVS661" s="734"/>
      <c r="GVT661" s="733"/>
      <c r="GVU661" s="734"/>
      <c r="GVV661" s="735"/>
      <c r="GVW661" s="734"/>
      <c r="GVX661" s="733"/>
      <c r="GVY661" s="734"/>
      <c r="GVZ661" s="735"/>
      <c r="GWA661" s="734"/>
      <c r="GWB661" s="733"/>
      <c r="GWC661" s="734"/>
      <c r="GWD661" s="735"/>
      <c r="GWE661" s="734"/>
      <c r="GWF661" s="733"/>
      <c r="GWG661" s="734"/>
      <c r="GWH661" s="735"/>
      <c r="GWI661" s="734"/>
      <c r="GWJ661" s="733"/>
      <c r="GWK661" s="734"/>
      <c r="GWL661" s="735"/>
      <c r="GWM661" s="734"/>
      <c r="GWN661" s="733"/>
      <c r="GWO661" s="734"/>
      <c r="GWP661" s="735"/>
      <c r="GWQ661" s="734"/>
      <c r="GWR661" s="733"/>
      <c r="GWS661" s="734"/>
      <c r="GWT661" s="735"/>
      <c r="GWU661" s="734"/>
      <c r="GWV661" s="733"/>
      <c r="GWW661" s="734"/>
      <c r="GWX661" s="735"/>
      <c r="GWY661" s="734"/>
      <c r="GWZ661" s="733"/>
      <c r="GXA661" s="734"/>
      <c r="GXB661" s="735"/>
      <c r="GXC661" s="734"/>
      <c r="GXD661" s="733"/>
      <c r="GXE661" s="734"/>
      <c r="GXF661" s="735"/>
      <c r="GXG661" s="734"/>
      <c r="GXH661" s="733"/>
      <c r="GXI661" s="734"/>
      <c r="GXJ661" s="735"/>
      <c r="GXK661" s="734"/>
      <c r="GXL661" s="733"/>
      <c r="GXM661" s="734"/>
      <c r="GXN661" s="735"/>
      <c r="GXO661" s="734"/>
      <c r="GXP661" s="733"/>
      <c r="GXQ661" s="734"/>
      <c r="GXR661" s="735"/>
      <c r="GXS661" s="734"/>
      <c r="GXT661" s="733"/>
      <c r="GXU661" s="734"/>
      <c r="GXV661" s="735"/>
      <c r="GXW661" s="734"/>
      <c r="GXX661" s="733"/>
      <c r="GXY661" s="734"/>
      <c r="GXZ661" s="735"/>
      <c r="GYA661" s="734"/>
      <c r="GYB661" s="733"/>
      <c r="GYC661" s="734"/>
      <c r="GYD661" s="735"/>
      <c r="GYE661" s="734"/>
      <c r="GYF661" s="733"/>
      <c r="GYG661" s="734"/>
      <c r="GYH661" s="735"/>
      <c r="GYI661" s="734"/>
      <c r="GYJ661" s="733"/>
      <c r="GYK661" s="734"/>
      <c r="GYL661" s="735"/>
      <c r="GYM661" s="734"/>
      <c r="GYN661" s="733"/>
      <c r="GYO661" s="734"/>
      <c r="GYP661" s="735"/>
      <c r="GYQ661" s="734"/>
      <c r="GYR661" s="733"/>
      <c r="GYS661" s="734"/>
      <c r="GYT661" s="735"/>
      <c r="GYU661" s="734"/>
      <c r="GYV661" s="733"/>
      <c r="GYW661" s="734"/>
      <c r="GYX661" s="735"/>
      <c r="GYY661" s="734"/>
      <c r="GYZ661" s="733"/>
      <c r="GZA661" s="734"/>
      <c r="GZB661" s="735"/>
      <c r="GZC661" s="734"/>
      <c r="GZD661" s="733"/>
      <c r="GZE661" s="734"/>
      <c r="GZF661" s="735"/>
      <c r="GZG661" s="734"/>
      <c r="GZH661" s="733"/>
      <c r="GZI661" s="734"/>
      <c r="GZJ661" s="735"/>
      <c r="GZK661" s="734"/>
      <c r="GZL661" s="733"/>
      <c r="GZM661" s="734"/>
      <c r="GZN661" s="735"/>
      <c r="GZO661" s="734"/>
      <c r="GZP661" s="733"/>
      <c r="GZQ661" s="734"/>
      <c r="GZR661" s="735"/>
      <c r="GZS661" s="734"/>
      <c r="GZT661" s="733"/>
      <c r="GZU661" s="734"/>
      <c r="GZV661" s="735"/>
      <c r="GZW661" s="734"/>
      <c r="GZX661" s="733"/>
      <c r="GZY661" s="734"/>
      <c r="GZZ661" s="735"/>
      <c r="HAA661" s="734"/>
      <c r="HAB661" s="733"/>
      <c r="HAC661" s="734"/>
      <c r="HAD661" s="735"/>
      <c r="HAE661" s="734"/>
      <c r="HAF661" s="733"/>
      <c r="HAG661" s="734"/>
      <c r="HAH661" s="735"/>
      <c r="HAI661" s="734"/>
      <c r="HAJ661" s="733"/>
      <c r="HAK661" s="734"/>
      <c r="HAL661" s="735"/>
      <c r="HAM661" s="734"/>
      <c r="HAN661" s="733"/>
      <c r="HAO661" s="734"/>
      <c r="HAP661" s="735"/>
      <c r="HAQ661" s="734"/>
      <c r="HAR661" s="733"/>
      <c r="HAS661" s="734"/>
      <c r="HAT661" s="735"/>
      <c r="HAU661" s="734"/>
      <c r="HAV661" s="733"/>
      <c r="HAW661" s="734"/>
      <c r="HAX661" s="735"/>
      <c r="HAY661" s="734"/>
      <c r="HAZ661" s="733"/>
      <c r="HBA661" s="734"/>
      <c r="HBB661" s="735"/>
      <c r="HBC661" s="734"/>
      <c r="HBD661" s="733"/>
      <c r="HBE661" s="734"/>
      <c r="HBF661" s="735"/>
      <c r="HBG661" s="734"/>
      <c r="HBH661" s="733"/>
      <c r="HBI661" s="734"/>
      <c r="HBJ661" s="735"/>
      <c r="HBK661" s="734"/>
      <c r="HBL661" s="733"/>
      <c r="HBM661" s="734"/>
      <c r="HBN661" s="735"/>
      <c r="HBO661" s="734"/>
      <c r="HBP661" s="733"/>
      <c r="HBQ661" s="734"/>
      <c r="HBR661" s="735"/>
      <c r="HBS661" s="734"/>
      <c r="HBT661" s="733"/>
      <c r="HBU661" s="734"/>
      <c r="HBV661" s="735"/>
      <c r="HBW661" s="734"/>
      <c r="HBX661" s="733"/>
      <c r="HBY661" s="734"/>
      <c r="HBZ661" s="735"/>
      <c r="HCA661" s="734"/>
      <c r="HCB661" s="733"/>
      <c r="HCC661" s="734"/>
      <c r="HCD661" s="735"/>
      <c r="HCE661" s="734"/>
      <c r="HCF661" s="733"/>
      <c r="HCG661" s="734"/>
      <c r="HCH661" s="735"/>
      <c r="HCI661" s="734"/>
      <c r="HCJ661" s="733"/>
      <c r="HCK661" s="734"/>
      <c r="HCL661" s="735"/>
      <c r="HCM661" s="734"/>
      <c r="HCN661" s="733"/>
      <c r="HCO661" s="734"/>
      <c r="HCP661" s="735"/>
      <c r="HCQ661" s="734"/>
      <c r="HCR661" s="733"/>
      <c r="HCS661" s="734"/>
      <c r="HCT661" s="735"/>
      <c r="HCU661" s="734"/>
      <c r="HCV661" s="733"/>
      <c r="HCW661" s="734"/>
      <c r="HCX661" s="735"/>
      <c r="HCY661" s="734"/>
      <c r="HCZ661" s="733"/>
      <c r="HDA661" s="734"/>
      <c r="HDB661" s="735"/>
      <c r="HDC661" s="734"/>
      <c r="HDD661" s="733"/>
      <c r="HDE661" s="734"/>
      <c r="HDF661" s="735"/>
      <c r="HDG661" s="734"/>
      <c r="HDH661" s="733"/>
      <c r="HDI661" s="734"/>
      <c r="HDJ661" s="735"/>
      <c r="HDK661" s="734"/>
      <c r="HDL661" s="733"/>
      <c r="HDM661" s="734"/>
      <c r="HDN661" s="735"/>
      <c r="HDO661" s="734"/>
      <c r="HDP661" s="733"/>
      <c r="HDQ661" s="734"/>
      <c r="HDR661" s="735"/>
      <c r="HDS661" s="734"/>
      <c r="HDT661" s="733"/>
      <c r="HDU661" s="734"/>
      <c r="HDV661" s="735"/>
      <c r="HDW661" s="734"/>
      <c r="HDX661" s="733"/>
      <c r="HDY661" s="734"/>
      <c r="HDZ661" s="735"/>
      <c r="HEA661" s="734"/>
      <c r="HEB661" s="733"/>
      <c r="HEC661" s="734"/>
      <c r="HED661" s="735"/>
      <c r="HEE661" s="734"/>
      <c r="HEF661" s="733"/>
      <c r="HEG661" s="734"/>
      <c r="HEH661" s="735"/>
      <c r="HEI661" s="734"/>
      <c r="HEJ661" s="733"/>
      <c r="HEK661" s="734"/>
      <c r="HEL661" s="735"/>
      <c r="HEM661" s="734"/>
      <c r="HEN661" s="733"/>
      <c r="HEO661" s="734"/>
      <c r="HEP661" s="735"/>
      <c r="HEQ661" s="734"/>
      <c r="HER661" s="733"/>
      <c r="HES661" s="734"/>
      <c r="HET661" s="735"/>
      <c r="HEU661" s="734"/>
      <c r="HEV661" s="733"/>
      <c r="HEW661" s="734"/>
      <c r="HEX661" s="735"/>
      <c r="HEY661" s="734"/>
      <c r="HEZ661" s="733"/>
      <c r="HFA661" s="734"/>
      <c r="HFB661" s="735"/>
      <c r="HFC661" s="734"/>
      <c r="HFD661" s="733"/>
      <c r="HFE661" s="734"/>
      <c r="HFF661" s="735"/>
      <c r="HFG661" s="734"/>
      <c r="HFH661" s="733"/>
      <c r="HFI661" s="734"/>
      <c r="HFJ661" s="735"/>
      <c r="HFK661" s="734"/>
      <c r="HFL661" s="733"/>
      <c r="HFM661" s="734"/>
      <c r="HFN661" s="735"/>
      <c r="HFO661" s="734"/>
      <c r="HFP661" s="733"/>
      <c r="HFQ661" s="734"/>
      <c r="HFR661" s="735"/>
      <c r="HFS661" s="734"/>
      <c r="HFT661" s="733"/>
      <c r="HFU661" s="734"/>
      <c r="HFV661" s="735"/>
      <c r="HFW661" s="734"/>
      <c r="HFX661" s="733"/>
      <c r="HFY661" s="734"/>
      <c r="HFZ661" s="735"/>
      <c r="HGA661" s="734"/>
      <c r="HGB661" s="733"/>
      <c r="HGC661" s="734"/>
      <c r="HGD661" s="735"/>
      <c r="HGE661" s="734"/>
      <c r="HGF661" s="733"/>
      <c r="HGG661" s="734"/>
      <c r="HGH661" s="735"/>
      <c r="HGI661" s="734"/>
      <c r="HGJ661" s="733"/>
      <c r="HGK661" s="734"/>
      <c r="HGL661" s="735"/>
      <c r="HGM661" s="734"/>
      <c r="HGN661" s="733"/>
      <c r="HGO661" s="734"/>
      <c r="HGP661" s="735"/>
      <c r="HGQ661" s="734"/>
      <c r="HGR661" s="733"/>
      <c r="HGS661" s="734"/>
      <c r="HGT661" s="735"/>
      <c r="HGU661" s="734"/>
      <c r="HGV661" s="733"/>
      <c r="HGW661" s="734"/>
      <c r="HGX661" s="735"/>
      <c r="HGY661" s="734"/>
      <c r="HGZ661" s="733"/>
      <c r="HHA661" s="734"/>
      <c r="HHB661" s="735"/>
      <c r="HHC661" s="734"/>
      <c r="HHD661" s="733"/>
      <c r="HHE661" s="734"/>
      <c r="HHF661" s="735"/>
      <c r="HHG661" s="734"/>
      <c r="HHH661" s="733"/>
      <c r="HHI661" s="734"/>
      <c r="HHJ661" s="735"/>
      <c r="HHK661" s="734"/>
      <c r="HHL661" s="733"/>
      <c r="HHM661" s="734"/>
      <c r="HHN661" s="735"/>
      <c r="HHO661" s="734"/>
      <c r="HHP661" s="733"/>
      <c r="HHQ661" s="734"/>
      <c r="HHR661" s="735"/>
      <c r="HHS661" s="734"/>
      <c r="HHT661" s="733"/>
      <c r="HHU661" s="734"/>
      <c r="HHV661" s="735"/>
      <c r="HHW661" s="734"/>
      <c r="HHX661" s="733"/>
      <c r="HHY661" s="734"/>
      <c r="HHZ661" s="735"/>
      <c r="HIA661" s="734"/>
      <c r="HIB661" s="733"/>
      <c r="HIC661" s="734"/>
      <c r="HID661" s="735"/>
      <c r="HIE661" s="734"/>
      <c r="HIF661" s="733"/>
      <c r="HIG661" s="734"/>
      <c r="HIH661" s="735"/>
      <c r="HII661" s="734"/>
      <c r="HIJ661" s="733"/>
      <c r="HIK661" s="734"/>
      <c r="HIL661" s="735"/>
      <c r="HIM661" s="734"/>
      <c r="HIN661" s="733"/>
      <c r="HIO661" s="734"/>
      <c r="HIP661" s="735"/>
      <c r="HIQ661" s="734"/>
      <c r="HIR661" s="733"/>
      <c r="HIS661" s="734"/>
      <c r="HIT661" s="735"/>
      <c r="HIU661" s="734"/>
      <c r="HIV661" s="733"/>
      <c r="HIW661" s="734"/>
      <c r="HIX661" s="735"/>
      <c r="HIY661" s="734"/>
      <c r="HIZ661" s="733"/>
      <c r="HJA661" s="734"/>
      <c r="HJB661" s="735"/>
      <c r="HJC661" s="734"/>
      <c r="HJD661" s="733"/>
      <c r="HJE661" s="734"/>
      <c r="HJF661" s="735"/>
      <c r="HJG661" s="734"/>
      <c r="HJH661" s="733"/>
      <c r="HJI661" s="734"/>
      <c r="HJJ661" s="735"/>
      <c r="HJK661" s="734"/>
      <c r="HJL661" s="733"/>
      <c r="HJM661" s="734"/>
      <c r="HJN661" s="735"/>
      <c r="HJO661" s="734"/>
      <c r="HJP661" s="733"/>
      <c r="HJQ661" s="734"/>
      <c r="HJR661" s="735"/>
      <c r="HJS661" s="734"/>
      <c r="HJT661" s="733"/>
      <c r="HJU661" s="734"/>
      <c r="HJV661" s="735"/>
      <c r="HJW661" s="734"/>
      <c r="HJX661" s="733"/>
      <c r="HJY661" s="734"/>
      <c r="HJZ661" s="735"/>
      <c r="HKA661" s="734"/>
      <c r="HKB661" s="733"/>
      <c r="HKC661" s="734"/>
      <c r="HKD661" s="735"/>
      <c r="HKE661" s="734"/>
      <c r="HKF661" s="733"/>
      <c r="HKG661" s="734"/>
      <c r="HKH661" s="735"/>
      <c r="HKI661" s="734"/>
      <c r="HKJ661" s="733"/>
      <c r="HKK661" s="734"/>
      <c r="HKL661" s="735"/>
      <c r="HKM661" s="734"/>
      <c r="HKN661" s="733"/>
      <c r="HKO661" s="734"/>
      <c r="HKP661" s="735"/>
      <c r="HKQ661" s="734"/>
      <c r="HKR661" s="733"/>
      <c r="HKS661" s="734"/>
      <c r="HKT661" s="735"/>
      <c r="HKU661" s="734"/>
      <c r="HKV661" s="733"/>
      <c r="HKW661" s="734"/>
      <c r="HKX661" s="735"/>
      <c r="HKY661" s="734"/>
      <c r="HKZ661" s="733"/>
      <c r="HLA661" s="734"/>
      <c r="HLB661" s="735"/>
      <c r="HLC661" s="734"/>
      <c r="HLD661" s="733"/>
      <c r="HLE661" s="734"/>
      <c r="HLF661" s="735"/>
      <c r="HLG661" s="734"/>
      <c r="HLH661" s="733"/>
      <c r="HLI661" s="734"/>
      <c r="HLJ661" s="735"/>
      <c r="HLK661" s="734"/>
      <c r="HLL661" s="733"/>
      <c r="HLM661" s="734"/>
      <c r="HLN661" s="735"/>
      <c r="HLO661" s="734"/>
      <c r="HLP661" s="733"/>
      <c r="HLQ661" s="734"/>
      <c r="HLR661" s="735"/>
      <c r="HLS661" s="734"/>
      <c r="HLT661" s="733"/>
      <c r="HLU661" s="734"/>
      <c r="HLV661" s="735"/>
      <c r="HLW661" s="734"/>
      <c r="HLX661" s="733"/>
      <c r="HLY661" s="734"/>
      <c r="HLZ661" s="735"/>
      <c r="HMA661" s="734"/>
      <c r="HMB661" s="733"/>
      <c r="HMC661" s="734"/>
      <c r="HMD661" s="735"/>
      <c r="HME661" s="734"/>
      <c r="HMF661" s="733"/>
      <c r="HMG661" s="734"/>
      <c r="HMH661" s="735"/>
      <c r="HMI661" s="734"/>
      <c r="HMJ661" s="733"/>
      <c r="HMK661" s="734"/>
      <c r="HML661" s="735"/>
      <c r="HMM661" s="734"/>
      <c r="HMN661" s="733"/>
      <c r="HMO661" s="734"/>
      <c r="HMP661" s="735"/>
      <c r="HMQ661" s="734"/>
      <c r="HMR661" s="733"/>
      <c r="HMS661" s="734"/>
      <c r="HMT661" s="735"/>
      <c r="HMU661" s="734"/>
      <c r="HMV661" s="733"/>
      <c r="HMW661" s="734"/>
      <c r="HMX661" s="735"/>
      <c r="HMY661" s="734"/>
      <c r="HMZ661" s="733"/>
      <c r="HNA661" s="734"/>
      <c r="HNB661" s="735"/>
      <c r="HNC661" s="734"/>
      <c r="HND661" s="733"/>
      <c r="HNE661" s="734"/>
      <c r="HNF661" s="735"/>
      <c r="HNG661" s="734"/>
      <c r="HNH661" s="733"/>
      <c r="HNI661" s="734"/>
      <c r="HNJ661" s="735"/>
      <c r="HNK661" s="734"/>
      <c r="HNL661" s="733"/>
      <c r="HNM661" s="734"/>
      <c r="HNN661" s="735"/>
      <c r="HNO661" s="734"/>
      <c r="HNP661" s="733"/>
      <c r="HNQ661" s="734"/>
      <c r="HNR661" s="735"/>
      <c r="HNS661" s="734"/>
      <c r="HNT661" s="733"/>
      <c r="HNU661" s="734"/>
      <c r="HNV661" s="735"/>
      <c r="HNW661" s="734"/>
      <c r="HNX661" s="733"/>
      <c r="HNY661" s="734"/>
      <c r="HNZ661" s="735"/>
      <c r="HOA661" s="734"/>
      <c r="HOB661" s="733"/>
      <c r="HOC661" s="734"/>
      <c r="HOD661" s="735"/>
      <c r="HOE661" s="734"/>
      <c r="HOF661" s="733"/>
      <c r="HOG661" s="734"/>
      <c r="HOH661" s="735"/>
      <c r="HOI661" s="734"/>
      <c r="HOJ661" s="733"/>
      <c r="HOK661" s="734"/>
      <c r="HOL661" s="735"/>
      <c r="HOM661" s="734"/>
      <c r="HON661" s="733"/>
      <c r="HOO661" s="734"/>
      <c r="HOP661" s="735"/>
      <c r="HOQ661" s="734"/>
      <c r="HOR661" s="733"/>
      <c r="HOS661" s="734"/>
      <c r="HOT661" s="735"/>
      <c r="HOU661" s="734"/>
      <c r="HOV661" s="733"/>
      <c r="HOW661" s="734"/>
      <c r="HOX661" s="735"/>
      <c r="HOY661" s="734"/>
      <c r="HOZ661" s="733"/>
      <c r="HPA661" s="734"/>
      <c r="HPB661" s="735"/>
      <c r="HPC661" s="734"/>
      <c r="HPD661" s="733"/>
      <c r="HPE661" s="734"/>
      <c r="HPF661" s="735"/>
      <c r="HPG661" s="734"/>
      <c r="HPH661" s="733"/>
      <c r="HPI661" s="734"/>
      <c r="HPJ661" s="735"/>
      <c r="HPK661" s="734"/>
      <c r="HPL661" s="733"/>
      <c r="HPM661" s="734"/>
      <c r="HPN661" s="735"/>
      <c r="HPO661" s="734"/>
      <c r="HPP661" s="733"/>
      <c r="HPQ661" s="734"/>
      <c r="HPR661" s="735"/>
      <c r="HPS661" s="734"/>
      <c r="HPT661" s="733"/>
      <c r="HPU661" s="734"/>
      <c r="HPV661" s="735"/>
      <c r="HPW661" s="734"/>
      <c r="HPX661" s="733"/>
      <c r="HPY661" s="734"/>
      <c r="HPZ661" s="735"/>
      <c r="HQA661" s="734"/>
      <c r="HQB661" s="733"/>
      <c r="HQC661" s="734"/>
      <c r="HQD661" s="735"/>
      <c r="HQE661" s="734"/>
      <c r="HQF661" s="733"/>
      <c r="HQG661" s="734"/>
      <c r="HQH661" s="735"/>
      <c r="HQI661" s="734"/>
      <c r="HQJ661" s="733"/>
      <c r="HQK661" s="734"/>
      <c r="HQL661" s="735"/>
      <c r="HQM661" s="734"/>
      <c r="HQN661" s="733"/>
      <c r="HQO661" s="734"/>
      <c r="HQP661" s="735"/>
      <c r="HQQ661" s="734"/>
      <c r="HQR661" s="733"/>
      <c r="HQS661" s="734"/>
      <c r="HQT661" s="735"/>
      <c r="HQU661" s="734"/>
      <c r="HQV661" s="733"/>
      <c r="HQW661" s="734"/>
      <c r="HQX661" s="735"/>
      <c r="HQY661" s="734"/>
      <c r="HQZ661" s="733"/>
      <c r="HRA661" s="734"/>
      <c r="HRB661" s="735"/>
      <c r="HRC661" s="734"/>
      <c r="HRD661" s="733"/>
      <c r="HRE661" s="734"/>
      <c r="HRF661" s="735"/>
      <c r="HRG661" s="734"/>
      <c r="HRH661" s="733"/>
      <c r="HRI661" s="734"/>
      <c r="HRJ661" s="735"/>
      <c r="HRK661" s="734"/>
      <c r="HRL661" s="733"/>
      <c r="HRM661" s="734"/>
      <c r="HRN661" s="735"/>
      <c r="HRO661" s="734"/>
      <c r="HRP661" s="733"/>
      <c r="HRQ661" s="734"/>
      <c r="HRR661" s="735"/>
      <c r="HRS661" s="734"/>
      <c r="HRT661" s="733"/>
      <c r="HRU661" s="734"/>
      <c r="HRV661" s="735"/>
      <c r="HRW661" s="734"/>
      <c r="HRX661" s="733"/>
      <c r="HRY661" s="734"/>
      <c r="HRZ661" s="735"/>
      <c r="HSA661" s="734"/>
      <c r="HSB661" s="733"/>
      <c r="HSC661" s="734"/>
      <c r="HSD661" s="735"/>
      <c r="HSE661" s="734"/>
      <c r="HSF661" s="733"/>
      <c r="HSG661" s="734"/>
      <c r="HSH661" s="735"/>
      <c r="HSI661" s="734"/>
      <c r="HSJ661" s="733"/>
      <c r="HSK661" s="734"/>
      <c r="HSL661" s="735"/>
      <c r="HSM661" s="734"/>
      <c r="HSN661" s="733"/>
      <c r="HSO661" s="734"/>
      <c r="HSP661" s="735"/>
      <c r="HSQ661" s="734"/>
      <c r="HSR661" s="733"/>
      <c r="HSS661" s="734"/>
      <c r="HST661" s="735"/>
      <c r="HSU661" s="734"/>
      <c r="HSV661" s="733"/>
      <c r="HSW661" s="734"/>
      <c r="HSX661" s="735"/>
      <c r="HSY661" s="734"/>
      <c r="HSZ661" s="733"/>
      <c r="HTA661" s="734"/>
      <c r="HTB661" s="735"/>
      <c r="HTC661" s="734"/>
      <c r="HTD661" s="733"/>
      <c r="HTE661" s="734"/>
      <c r="HTF661" s="735"/>
      <c r="HTG661" s="734"/>
      <c r="HTH661" s="733"/>
      <c r="HTI661" s="734"/>
      <c r="HTJ661" s="735"/>
      <c r="HTK661" s="734"/>
      <c r="HTL661" s="733"/>
      <c r="HTM661" s="734"/>
      <c r="HTN661" s="735"/>
      <c r="HTO661" s="734"/>
      <c r="HTP661" s="733"/>
      <c r="HTQ661" s="734"/>
      <c r="HTR661" s="735"/>
      <c r="HTS661" s="734"/>
      <c r="HTT661" s="733"/>
      <c r="HTU661" s="734"/>
      <c r="HTV661" s="735"/>
      <c r="HTW661" s="734"/>
      <c r="HTX661" s="733"/>
      <c r="HTY661" s="734"/>
      <c r="HTZ661" s="735"/>
      <c r="HUA661" s="734"/>
      <c r="HUB661" s="733"/>
      <c r="HUC661" s="734"/>
      <c r="HUD661" s="735"/>
      <c r="HUE661" s="734"/>
      <c r="HUF661" s="733"/>
      <c r="HUG661" s="734"/>
      <c r="HUH661" s="735"/>
      <c r="HUI661" s="734"/>
      <c r="HUJ661" s="733"/>
      <c r="HUK661" s="734"/>
      <c r="HUL661" s="735"/>
      <c r="HUM661" s="734"/>
      <c r="HUN661" s="733"/>
      <c r="HUO661" s="734"/>
      <c r="HUP661" s="735"/>
      <c r="HUQ661" s="734"/>
      <c r="HUR661" s="733"/>
      <c r="HUS661" s="734"/>
      <c r="HUT661" s="735"/>
      <c r="HUU661" s="734"/>
      <c r="HUV661" s="733"/>
      <c r="HUW661" s="734"/>
      <c r="HUX661" s="735"/>
      <c r="HUY661" s="734"/>
      <c r="HUZ661" s="733"/>
      <c r="HVA661" s="734"/>
      <c r="HVB661" s="735"/>
      <c r="HVC661" s="734"/>
      <c r="HVD661" s="733"/>
      <c r="HVE661" s="734"/>
      <c r="HVF661" s="735"/>
      <c r="HVG661" s="734"/>
      <c r="HVH661" s="733"/>
      <c r="HVI661" s="734"/>
      <c r="HVJ661" s="735"/>
      <c r="HVK661" s="734"/>
      <c r="HVL661" s="733"/>
      <c r="HVM661" s="734"/>
      <c r="HVN661" s="735"/>
      <c r="HVO661" s="734"/>
      <c r="HVP661" s="733"/>
      <c r="HVQ661" s="734"/>
      <c r="HVR661" s="735"/>
      <c r="HVS661" s="734"/>
      <c r="HVT661" s="733"/>
      <c r="HVU661" s="734"/>
      <c r="HVV661" s="735"/>
      <c r="HVW661" s="734"/>
      <c r="HVX661" s="733"/>
      <c r="HVY661" s="734"/>
      <c r="HVZ661" s="735"/>
      <c r="HWA661" s="734"/>
      <c r="HWB661" s="733"/>
      <c r="HWC661" s="734"/>
      <c r="HWD661" s="735"/>
      <c r="HWE661" s="734"/>
      <c r="HWF661" s="733"/>
      <c r="HWG661" s="734"/>
      <c r="HWH661" s="735"/>
      <c r="HWI661" s="734"/>
      <c r="HWJ661" s="733"/>
      <c r="HWK661" s="734"/>
      <c r="HWL661" s="735"/>
      <c r="HWM661" s="734"/>
      <c r="HWN661" s="733"/>
      <c r="HWO661" s="734"/>
      <c r="HWP661" s="735"/>
      <c r="HWQ661" s="734"/>
      <c r="HWR661" s="733"/>
      <c r="HWS661" s="734"/>
      <c r="HWT661" s="735"/>
      <c r="HWU661" s="734"/>
      <c r="HWV661" s="733"/>
      <c r="HWW661" s="734"/>
      <c r="HWX661" s="735"/>
      <c r="HWY661" s="734"/>
      <c r="HWZ661" s="733"/>
      <c r="HXA661" s="734"/>
      <c r="HXB661" s="735"/>
      <c r="HXC661" s="734"/>
      <c r="HXD661" s="733"/>
      <c r="HXE661" s="734"/>
      <c r="HXF661" s="735"/>
      <c r="HXG661" s="734"/>
      <c r="HXH661" s="733"/>
      <c r="HXI661" s="734"/>
      <c r="HXJ661" s="735"/>
      <c r="HXK661" s="734"/>
      <c r="HXL661" s="733"/>
      <c r="HXM661" s="734"/>
      <c r="HXN661" s="735"/>
      <c r="HXO661" s="734"/>
      <c r="HXP661" s="733"/>
      <c r="HXQ661" s="734"/>
      <c r="HXR661" s="735"/>
      <c r="HXS661" s="734"/>
      <c r="HXT661" s="733"/>
      <c r="HXU661" s="734"/>
      <c r="HXV661" s="735"/>
      <c r="HXW661" s="734"/>
      <c r="HXX661" s="733"/>
      <c r="HXY661" s="734"/>
      <c r="HXZ661" s="735"/>
      <c r="HYA661" s="734"/>
      <c r="HYB661" s="733"/>
      <c r="HYC661" s="734"/>
      <c r="HYD661" s="735"/>
      <c r="HYE661" s="734"/>
      <c r="HYF661" s="733"/>
      <c r="HYG661" s="734"/>
      <c r="HYH661" s="735"/>
      <c r="HYI661" s="734"/>
      <c r="HYJ661" s="733"/>
      <c r="HYK661" s="734"/>
      <c r="HYL661" s="735"/>
      <c r="HYM661" s="734"/>
      <c r="HYN661" s="733"/>
      <c r="HYO661" s="734"/>
      <c r="HYP661" s="735"/>
      <c r="HYQ661" s="734"/>
      <c r="HYR661" s="733"/>
      <c r="HYS661" s="734"/>
      <c r="HYT661" s="735"/>
      <c r="HYU661" s="734"/>
      <c r="HYV661" s="733"/>
      <c r="HYW661" s="734"/>
      <c r="HYX661" s="735"/>
      <c r="HYY661" s="734"/>
      <c r="HYZ661" s="733"/>
      <c r="HZA661" s="734"/>
      <c r="HZB661" s="735"/>
      <c r="HZC661" s="734"/>
      <c r="HZD661" s="733"/>
      <c r="HZE661" s="734"/>
      <c r="HZF661" s="735"/>
      <c r="HZG661" s="734"/>
      <c r="HZH661" s="733"/>
      <c r="HZI661" s="734"/>
      <c r="HZJ661" s="735"/>
      <c r="HZK661" s="734"/>
      <c r="HZL661" s="733"/>
      <c r="HZM661" s="734"/>
      <c r="HZN661" s="735"/>
      <c r="HZO661" s="734"/>
      <c r="HZP661" s="733"/>
      <c r="HZQ661" s="734"/>
      <c r="HZR661" s="735"/>
      <c r="HZS661" s="734"/>
      <c r="HZT661" s="733"/>
      <c r="HZU661" s="734"/>
      <c r="HZV661" s="735"/>
      <c r="HZW661" s="734"/>
      <c r="HZX661" s="733"/>
      <c r="HZY661" s="734"/>
      <c r="HZZ661" s="735"/>
      <c r="IAA661" s="734"/>
      <c r="IAB661" s="733"/>
      <c r="IAC661" s="734"/>
      <c r="IAD661" s="735"/>
      <c r="IAE661" s="734"/>
      <c r="IAF661" s="733"/>
      <c r="IAG661" s="734"/>
      <c r="IAH661" s="735"/>
      <c r="IAI661" s="734"/>
      <c r="IAJ661" s="733"/>
      <c r="IAK661" s="734"/>
      <c r="IAL661" s="735"/>
      <c r="IAM661" s="734"/>
      <c r="IAN661" s="733"/>
      <c r="IAO661" s="734"/>
      <c r="IAP661" s="735"/>
      <c r="IAQ661" s="734"/>
      <c r="IAR661" s="733"/>
      <c r="IAS661" s="734"/>
      <c r="IAT661" s="735"/>
      <c r="IAU661" s="734"/>
      <c r="IAV661" s="733"/>
      <c r="IAW661" s="734"/>
      <c r="IAX661" s="735"/>
      <c r="IAY661" s="734"/>
      <c r="IAZ661" s="733"/>
      <c r="IBA661" s="734"/>
      <c r="IBB661" s="735"/>
      <c r="IBC661" s="734"/>
      <c r="IBD661" s="733"/>
      <c r="IBE661" s="734"/>
      <c r="IBF661" s="735"/>
      <c r="IBG661" s="734"/>
      <c r="IBH661" s="733"/>
      <c r="IBI661" s="734"/>
      <c r="IBJ661" s="735"/>
      <c r="IBK661" s="734"/>
      <c r="IBL661" s="733"/>
      <c r="IBM661" s="734"/>
      <c r="IBN661" s="735"/>
      <c r="IBO661" s="734"/>
      <c r="IBP661" s="733"/>
      <c r="IBQ661" s="734"/>
      <c r="IBR661" s="735"/>
      <c r="IBS661" s="734"/>
      <c r="IBT661" s="733"/>
      <c r="IBU661" s="734"/>
      <c r="IBV661" s="735"/>
      <c r="IBW661" s="734"/>
      <c r="IBX661" s="733"/>
      <c r="IBY661" s="734"/>
      <c r="IBZ661" s="735"/>
      <c r="ICA661" s="734"/>
      <c r="ICB661" s="733"/>
      <c r="ICC661" s="734"/>
      <c r="ICD661" s="735"/>
      <c r="ICE661" s="734"/>
      <c r="ICF661" s="733"/>
      <c r="ICG661" s="734"/>
      <c r="ICH661" s="735"/>
      <c r="ICI661" s="734"/>
      <c r="ICJ661" s="733"/>
      <c r="ICK661" s="734"/>
      <c r="ICL661" s="735"/>
      <c r="ICM661" s="734"/>
      <c r="ICN661" s="733"/>
      <c r="ICO661" s="734"/>
      <c r="ICP661" s="735"/>
      <c r="ICQ661" s="734"/>
      <c r="ICR661" s="733"/>
      <c r="ICS661" s="734"/>
      <c r="ICT661" s="735"/>
      <c r="ICU661" s="734"/>
      <c r="ICV661" s="733"/>
      <c r="ICW661" s="734"/>
      <c r="ICX661" s="735"/>
      <c r="ICY661" s="734"/>
      <c r="ICZ661" s="733"/>
      <c r="IDA661" s="734"/>
      <c r="IDB661" s="735"/>
      <c r="IDC661" s="734"/>
      <c r="IDD661" s="733"/>
      <c r="IDE661" s="734"/>
      <c r="IDF661" s="735"/>
      <c r="IDG661" s="734"/>
      <c r="IDH661" s="733"/>
      <c r="IDI661" s="734"/>
      <c r="IDJ661" s="735"/>
      <c r="IDK661" s="734"/>
      <c r="IDL661" s="733"/>
      <c r="IDM661" s="734"/>
      <c r="IDN661" s="735"/>
      <c r="IDO661" s="734"/>
      <c r="IDP661" s="733"/>
      <c r="IDQ661" s="734"/>
      <c r="IDR661" s="735"/>
      <c r="IDS661" s="734"/>
      <c r="IDT661" s="733"/>
      <c r="IDU661" s="734"/>
      <c r="IDV661" s="735"/>
      <c r="IDW661" s="734"/>
      <c r="IDX661" s="733"/>
      <c r="IDY661" s="734"/>
      <c r="IDZ661" s="735"/>
      <c r="IEA661" s="734"/>
      <c r="IEB661" s="733"/>
      <c r="IEC661" s="734"/>
      <c r="IED661" s="735"/>
      <c r="IEE661" s="734"/>
      <c r="IEF661" s="733"/>
      <c r="IEG661" s="734"/>
      <c r="IEH661" s="735"/>
      <c r="IEI661" s="734"/>
      <c r="IEJ661" s="733"/>
      <c r="IEK661" s="734"/>
      <c r="IEL661" s="735"/>
      <c r="IEM661" s="734"/>
      <c r="IEN661" s="733"/>
      <c r="IEO661" s="734"/>
      <c r="IEP661" s="735"/>
      <c r="IEQ661" s="734"/>
      <c r="IER661" s="733"/>
      <c r="IES661" s="734"/>
      <c r="IET661" s="735"/>
      <c r="IEU661" s="734"/>
      <c r="IEV661" s="733"/>
      <c r="IEW661" s="734"/>
      <c r="IEX661" s="735"/>
      <c r="IEY661" s="734"/>
      <c r="IEZ661" s="733"/>
      <c r="IFA661" s="734"/>
      <c r="IFB661" s="735"/>
      <c r="IFC661" s="734"/>
      <c r="IFD661" s="733"/>
      <c r="IFE661" s="734"/>
      <c r="IFF661" s="735"/>
      <c r="IFG661" s="734"/>
      <c r="IFH661" s="733"/>
      <c r="IFI661" s="734"/>
      <c r="IFJ661" s="735"/>
      <c r="IFK661" s="734"/>
      <c r="IFL661" s="733"/>
      <c r="IFM661" s="734"/>
      <c r="IFN661" s="735"/>
      <c r="IFO661" s="734"/>
      <c r="IFP661" s="733"/>
      <c r="IFQ661" s="734"/>
      <c r="IFR661" s="735"/>
      <c r="IFS661" s="734"/>
      <c r="IFT661" s="733"/>
      <c r="IFU661" s="734"/>
      <c r="IFV661" s="735"/>
      <c r="IFW661" s="734"/>
      <c r="IFX661" s="733"/>
      <c r="IFY661" s="734"/>
      <c r="IFZ661" s="735"/>
      <c r="IGA661" s="734"/>
      <c r="IGB661" s="733"/>
      <c r="IGC661" s="734"/>
      <c r="IGD661" s="735"/>
      <c r="IGE661" s="734"/>
      <c r="IGF661" s="733"/>
      <c r="IGG661" s="734"/>
      <c r="IGH661" s="735"/>
      <c r="IGI661" s="734"/>
      <c r="IGJ661" s="733"/>
      <c r="IGK661" s="734"/>
      <c r="IGL661" s="735"/>
      <c r="IGM661" s="734"/>
      <c r="IGN661" s="733"/>
      <c r="IGO661" s="734"/>
      <c r="IGP661" s="735"/>
      <c r="IGQ661" s="734"/>
      <c r="IGR661" s="733"/>
      <c r="IGS661" s="734"/>
      <c r="IGT661" s="735"/>
      <c r="IGU661" s="734"/>
      <c r="IGV661" s="733"/>
      <c r="IGW661" s="734"/>
      <c r="IGX661" s="735"/>
      <c r="IGY661" s="734"/>
      <c r="IGZ661" s="733"/>
      <c r="IHA661" s="734"/>
      <c r="IHB661" s="735"/>
      <c r="IHC661" s="734"/>
      <c r="IHD661" s="733"/>
      <c r="IHE661" s="734"/>
      <c r="IHF661" s="735"/>
      <c r="IHG661" s="734"/>
      <c r="IHH661" s="733"/>
      <c r="IHI661" s="734"/>
      <c r="IHJ661" s="735"/>
      <c r="IHK661" s="734"/>
      <c r="IHL661" s="733"/>
      <c r="IHM661" s="734"/>
      <c r="IHN661" s="735"/>
      <c r="IHO661" s="734"/>
      <c r="IHP661" s="733"/>
      <c r="IHQ661" s="734"/>
      <c r="IHR661" s="735"/>
      <c r="IHS661" s="734"/>
      <c r="IHT661" s="733"/>
      <c r="IHU661" s="734"/>
      <c r="IHV661" s="735"/>
      <c r="IHW661" s="734"/>
      <c r="IHX661" s="733"/>
      <c r="IHY661" s="734"/>
      <c r="IHZ661" s="735"/>
      <c r="IIA661" s="734"/>
      <c r="IIB661" s="733"/>
      <c r="IIC661" s="734"/>
      <c r="IID661" s="735"/>
      <c r="IIE661" s="734"/>
      <c r="IIF661" s="733"/>
      <c r="IIG661" s="734"/>
      <c r="IIH661" s="735"/>
      <c r="III661" s="734"/>
      <c r="IIJ661" s="733"/>
      <c r="IIK661" s="734"/>
      <c r="IIL661" s="735"/>
      <c r="IIM661" s="734"/>
      <c r="IIN661" s="733"/>
      <c r="IIO661" s="734"/>
      <c r="IIP661" s="735"/>
      <c r="IIQ661" s="734"/>
      <c r="IIR661" s="733"/>
      <c r="IIS661" s="734"/>
      <c r="IIT661" s="735"/>
      <c r="IIU661" s="734"/>
      <c r="IIV661" s="733"/>
      <c r="IIW661" s="734"/>
      <c r="IIX661" s="735"/>
      <c r="IIY661" s="734"/>
      <c r="IIZ661" s="733"/>
      <c r="IJA661" s="734"/>
      <c r="IJB661" s="735"/>
      <c r="IJC661" s="734"/>
      <c r="IJD661" s="733"/>
      <c r="IJE661" s="734"/>
      <c r="IJF661" s="735"/>
      <c r="IJG661" s="734"/>
      <c r="IJH661" s="733"/>
      <c r="IJI661" s="734"/>
      <c r="IJJ661" s="735"/>
      <c r="IJK661" s="734"/>
      <c r="IJL661" s="733"/>
      <c r="IJM661" s="734"/>
      <c r="IJN661" s="735"/>
      <c r="IJO661" s="734"/>
      <c r="IJP661" s="733"/>
      <c r="IJQ661" s="734"/>
      <c r="IJR661" s="735"/>
      <c r="IJS661" s="734"/>
      <c r="IJT661" s="733"/>
      <c r="IJU661" s="734"/>
      <c r="IJV661" s="735"/>
      <c r="IJW661" s="734"/>
      <c r="IJX661" s="733"/>
      <c r="IJY661" s="734"/>
      <c r="IJZ661" s="735"/>
      <c r="IKA661" s="734"/>
      <c r="IKB661" s="733"/>
      <c r="IKC661" s="734"/>
      <c r="IKD661" s="735"/>
      <c r="IKE661" s="734"/>
      <c r="IKF661" s="733"/>
      <c r="IKG661" s="734"/>
      <c r="IKH661" s="735"/>
      <c r="IKI661" s="734"/>
      <c r="IKJ661" s="733"/>
      <c r="IKK661" s="734"/>
      <c r="IKL661" s="735"/>
      <c r="IKM661" s="734"/>
      <c r="IKN661" s="733"/>
      <c r="IKO661" s="734"/>
      <c r="IKP661" s="735"/>
      <c r="IKQ661" s="734"/>
      <c r="IKR661" s="733"/>
      <c r="IKS661" s="734"/>
      <c r="IKT661" s="735"/>
      <c r="IKU661" s="734"/>
      <c r="IKV661" s="733"/>
      <c r="IKW661" s="734"/>
      <c r="IKX661" s="735"/>
      <c r="IKY661" s="734"/>
      <c r="IKZ661" s="733"/>
      <c r="ILA661" s="734"/>
      <c r="ILB661" s="735"/>
      <c r="ILC661" s="734"/>
      <c r="ILD661" s="733"/>
      <c r="ILE661" s="734"/>
      <c r="ILF661" s="735"/>
      <c r="ILG661" s="734"/>
      <c r="ILH661" s="733"/>
      <c r="ILI661" s="734"/>
      <c r="ILJ661" s="735"/>
      <c r="ILK661" s="734"/>
      <c r="ILL661" s="733"/>
      <c r="ILM661" s="734"/>
      <c r="ILN661" s="735"/>
      <c r="ILO661" s="734"/>
      <c r="ILP661" s="733"/>
      <c r="ILQ661" s="734"/>
      <c r="ILR661" s="735"/>
      <c r="ILS661" s="734"/>
      <c r="ILT661" s="733"/>
      <c r="ILU661" s="734"/>
      <c r="ILV661" s="735"/>
      <c r="ILW661" s="734"/>
      <c r="ILX661" s="733"/>
      <c r="ILY661" s="734"/>
      <c r="ILZ661" s="735"/>
      <c r="IMA661" s="734"/>
      <c r="IMB661" s="733"/>
      <c r="IMC661" s="734"/>
      <c r="IMD661" s="735"/>
      <c r="IME661" s="734"/>
      <c r="IMF661" s="733"/>
      <c r="IMG661" s="734"/>
      <c r="IMH661" s="735"/>
      <c r="IMI661" s="734"/>
      <c r="IMJ661" s="733"/>
      <c r="IMK661" s="734"/>
      <c r="IML661" s="735"/>
      <c r="IMM661" s="734"/>
      <c r="IMN661" s="733"/>
      <c r="IMO661" s="734"/>
      <c r="IMP661" s="735"/>
      <c r="IMQ661" s="734"/>
      <c r="IMR661" s="733"/>
      <c r="IMS661" s="734"/>
      <c r="IMT661" s="735"/>
      <c r="IMU661" s="734"/>
      <c r="IMV661" s="733"/>
      <c r="IMW661" s="734"/>
      <c r="IMX661" s="735"/>
      <c r="IMY661" s="734"/>
      <c r="IMZ661" s="733"/>
      <c r="INA661" s="734"/>
      <c r="INB661" s="735"/>
      <c r="INC661" s="734"/>
      <c r="IND661" s="733"/>
      <c r="INE661" s="734"/>
      <c r="INF661" s="735"/>
      <c r="ING661" s="734"/>
      <c r="INH661" s="733"/>
      <c r="INI661" s="734"/>
      <c r="INJ661" s="735"/>
      <c r="INK661" s="734"/>
      <c r="INL661" s="733"/>
      <c r="INM661" s="734"/>
      <c r="INN661" s="735"/>
      <c r="INO661" s="734"/>
      <c r="INP661" s="733"/>
      <c r="INQ661" s="734"/>
      <c r="INR661" s="735"/>
      <c r="INS661" s="734"/>
      <c r="INT661" s="733"/>
      <c r="INU661" s="734"/>
      <c r="INV661" s="735"/>
      <c r="INW661" s="734"/>
      <c r="INX661" s="733"/>
      <c r="INY661" s="734"/>
      <c r="INZ661" s="735"/>
      <c r="IOA661" s="734"/>
      <c r="IOB661" s="733"/>
      <c r="IOC661" s="734"/>
      <c r="IOD661" s="735"/>
      <c r="IOE661" s="734"/>
      <c r="IOF661" s="733"/>
      <c r="IOG661" s="734"/>
      <c r="IOH661" s="735"/>
      <c r="IOI661" s="734"/>
      <c r="IOJ661" s="733"/>
      <c r="IOK661" s="734"/>
      <c r="IOL661" s="735"/>
      <c r="IOM661" s="734"/>
      <c r="ION661" s="733"/>
      <c r="IOO661" s="734"/>
      <c r="IOP661" s="735"/>
      <c r="IOQ661" s="734"/>
      <c r="IOR661" s="733"/>
      <c r="IOS661" s="734"/>
      <c r="IOT661" s="735"/>
      <c r="IOU661" s="734"/>
      <c r="IOV661" s="733"/>
      <c r="IOW661" s="734"/>
      <c r="IOX661" s="735"/>
      <c r="IOY661" s="734"/>
      <c r="IOZ661" s="733"/>
      <c r="IPA661" s="734"/>
      <c r="IPB661" s="735"/>
      <c r="IPC661" s="734"/>
      <c r="IPD661" s="733"/>
      <c r="IPE661" s="734"/>
      <c r="IPF661" s="735"/>
      <c r="IPG661" s="734"/>
      <c r="IPH661" s="733"/>
      <c r="IPI661" s="734"/>
      <c r="IPJ661" s="735"/>
      <c r="IPK661" s="734"/>
      <c r="IPL661" s="733"/>
      <c r="IPM661" s="734"/>
      <c r="IPN661" s="735"/>
      <c r="IPO661" s="734"/>
      <c r="IPP661" s="733"/>
      <c r="IPQ661" s="734"/>
      <c r="IPR661" s="735"/>
      <c r="IPS661" s="734"/>
      <c r="IPT661" s="733"/>
      <c r="IPU661" s="734"/>
      <c r="IPV661" s="735"/>
      <c r="IPW661" s="734"/>
      <c r="IPX661" s="733"/>
      <c r="IPY661" s="734"/>
      <c r="IPZ661" s="735"/>
      <c r="IQA661" s="734"/>
      <c r="IQB661" s="733"/>
      <c r="IQC661" s="734"/>
      <c r="IQD661" s="735"/>
      <c r="IQE661" s="734"/>
      <c r="IQF661" s="733"/>
      <c r="IQG661" s="734"/>
      <c r="IQH661" s="735"/>
      <c r="IQI661" s="734"/>
      <c r="IQJ661" s="733"/>
      <c r="IQK661" s="734"/>
      <c r="IQL661" s="735"/>
      <c r="IQM661" s="734"/>
      <c r="IQN661" s="733"/>
      <c r="IQO661" s="734"/>
      <c r="IQP661" s="735"/>
      <c r="IQQ661" s="734"/>
      <c r="IQR661" s="733"/>
      <c r="IQS661" s="734"/>
      <c r="IQT661" s="735"/>
      <c r="IQU661" s="734"/>
      <c r="IQV661" s="733"/>
      <c r="IQW661" s="734"/>
      <c r="IQX661" s="735"/>
      <c r="IQY661" s="734"/>
      <c r="IQZ661" s="733"/>
      <c r="IRA661" s="734"/>
      <c r="IRB661" s="735"/>
      <c r="IRC661" s="734"/>
      <c r="IRD661" s="733"/>
      <c r="IRE661" s="734"/>
      <c r="IRF661" s="735"/>
      <c r="IRG661" s="734"/>
      <c r="IRH661" s="733"/>
      <c r="IRI661" s="734"/>
      <c r="IRJ661" s="735"/>
      <c r="IRK661" s="734"/>
      <c r="IRL661" s="733"/>
      <c r="IRM661" s="734"/>
      <c r="IRN661" s="735"/>
      <c r="IRO661" s="734"/>
      <c r="IRP661" s="733"/>
      <c r="IRQ661" s="734"/>
      <c r="IRR661" s="735"/>
      <c r="IRS661" s="734"/>
      <c r="IRT661" s="733"/>
      <c r="IRU661" s="734"/>
      <c r="IRV661" s="735"/>
      <c r="IRW661" s="734"/>
      <c r="IRX661" s="733"/>
      <c r="IRY661" s="734"/>
      <c r="IRZ661" s="735"/>
      <c r="ISA661" s="734"/>
      <c r="ISB661" s="733"/>
      <c r="ISC661" s="734"/>
      <c r="ISD661" s="735"/>
      <c r="ISE661" s="734"/>
      <c r="ISF661" s="733"/>
      <c r="ISG661" s="734"/>
      <c r="ISH661" s="735"/>
      <c r="ISI661" s="734"/>
      <c r="ISJ661" s="733"/>
      <c r="ISK661" s="734"/>
      <c r="ISL661" s="735"/>
      <c r="ISM661" s="734"/>
      <c r="ISN661" s="733"/>
      <c r="ISO661" s="734"/>
      <c r="ISP661" s="735"/>
      <c r="ISQ661" s="734"/>
      <c r="ISR661" s="733"/>
      <c r="ISS661" s="734"/>
      <c r="IST661" s="735"/>
      <c r="ISU661" s="734"/>
      <c r="ISV661" s="733"/>
      <c r="ISW661" s="734"/>
      <c r="ISX661" s="735"/>
      <c r="ISY661" s="734"/>
      <c r="ISZ661" s="733"/>
      <c r="ITA661" s="734"/>
      <c r="ITB661" s="735"/>
      <c r="ITC661" s="734"/>
      <c r="ITD661" s="733"/>
      <c r="ITE661" s="734"/>
      <c r="ITF661" s="735"/>
      <c r="ITG661" s="734"/>
      <c r="ITH661" s="733"/>
      <c r="ITI661" s="734"/>
      <c r="ITJ661" s="735"/>
      <c r="ITK661" s="734"/>
      <c r="ITL661" s="733"/>
      <c r="ITM661" s="734"/>
      <c r="ITN661" s="735"/>
      <c r="ITO661" s="734"/>
      <c r="ITP661" s="733"/>
      <c r="ITQ661" s="734"/>
      <c r="ITR661" s="735"/>
      <c r="ITS661" s="734"/>
      <c r="ITT661" s="733"/>
      <c r="ITU661" s="734"/>
      <c r="ITV661" s="735"/>
      <c r="ITW661" s="734"/>
      <c r="ITX661" s="733"/>
      <c r="ITY661" s="734"/>
      <c r="ITZ661" s="735"/>
      <c r="IUA661" s="734"/>
      <c r="IUB661" s="733"/>
      <c r="IUC661" s="734"/>
      <c r="IUD661" s="735"/>
      <c r="IUE661" s="734"/>
      <c r="IUF661" s="733"/>
      <c r="IUG661" s="734"/>
      <c r="IUH661" s="735"/>
      <c r="IUI661" s="734"/>
      <c r="IUJ661" s="733"/>
      <c r="IUK661" s="734"/>
      <c r="IUL661" s="735"/>
      <c r="IUM661" s="734"/>
      <c r="IUN661" s="733"/>
      <c r="IUO661" s="734"/>
      <c r="IUP661" s="735"/>
      <c r="IUQ661" s="734"/>
      <c r="IUR661" s="733"/>
      <c r="IUS661" s="734"/>
      <c r="IUT661" s="735"/>
      <c r="IUU661" s="734"/>
      <c r="IUV661" s="733"/>
      <c r="IUW661" s="734"/>
      <c r="IUX661" s="735"/>
      <c r="IUY661" s="734"/>
      <c r="IUZ661" s="733"/>
      <c r="IVA661" s="734"/>
      <c r="IVB661" s="735"/>
      <c r="IVC661" s="734"/>
      <c r="IVD661" s="733"/>
      <c r="IVE661" s="734"/>
      <c r="IVF661" s="735"/>
      <c r="IVG661" s="734"/>
      <c r="IVH661" s="733"/>
      <c r="IVI661" s="734"/>
      <c r="IVJ661" s="735"/>
      <c r="IVK661" s="734"/>
      <c r="IVL661" s="733"/>
      <c r="IVM661" s="734"/>
      <c r="IVN661" s="735"/>
      <c r="IVO661" s="734"/>
      <c r="IVP661" s="733"/>
      <c r="IVQ661" s="734"/>
      <c r="IVR661" s="735"/>
      <c r="IVS661" s="734"/>
      <c r="IVT661" s="733"/>
      <c r="IVU661" s="734"/>
      <c r="IVV661" s="735"/>
      <c r="IVW661" s="734"/>
      <c r="IVX661" s="733"/>
      <c r="IVY661" s="734"/>
      <c r="IVZ661" s="735"/>
      <c r="IWA661" s="734"/>
      <c r="IWB661" s="733"/>
      <c r="IWC661" s="734"/>
      <c r="IWD661" s="735"/>
      <c r="IWE661" s="734"/>
      <c r="IWF661" s="733"/>
      <c r="IWG661" s="734"/>
      <c r="IWH661" s="735"/>
      <c r="IWI661" s="734"/>
      <c r="IWJ661" s="733"/>
      <c r="IWK661" s="734"/>
      <c r="IWL661" s="735"/>
      <c r="IWM661" s="734"/>
      <c r="IWN661" s="733"/>
      <c r="IWO661" s="734"/>
      <c r="IWP661" s="735"/>
      <c r="IWQ661" s="734"/>
      <c r="IWR661" s="733"/>
      <c r="IWS661" s="734"/>
      <c r="IWT661" s="735"/>
      <c r="IWU661" s="734"/>
      <c r="IWV661" s="733"/>
      <c r="IWW661" s="734"/>
      <c r="IWX661" s="735"/>
      <c r="IWY661" s="734"/>
      <c r="IWZ661" s="733"/>
      <c r="IXA661" s="734"/>
      <c r="IXB661" s="735"/>
      <c r="IXC661" s="734"/>
      <c r="IXD661" s="733"/>
      <c r="IXE661" s="734"/>
      <c r="IXF661" s="735"/>
      <c r="IXG661" s="734"/>
      <c r="IXH661" s="733"/>
      <c r="IXI661" s="734"/>
      <c r="IXJ661" s="735"/>
      <c r="IXK661" s="734"/>
      <c r="IXL661" s="733"/>
      <c r="IXM661" s="734"/>
      <c r="IXN661" s="735"/>
      <c r="IXO661" s="734"/>
      <c r="IXP661" s="733"/>
      <c r="IXQ661" s="734"/>
      <c r="IXR661" s="735"/>
      <c r="IXS661" s="734"/>
      <c r="IXT661" s="733"/>
      <c r="IXU661" s="734"/>
      <c r="IXV661" s="735"/>
      <c r="IXW661" s="734"/>
      <c r="IXX661" s="733"/>
      <c r="IXY661" s="734"/>
      <c r="IXZ661" s="735"/>
      <c r="IYA661" s="734"/>
      <c r="IYB661" s="733"/>
      <c r="IYC661" s="734"/>
      <c r="IYD661" s="735"/>
      <c r="IYE661" s="734"/>
      <c r="IYF661" s="733"/>
      <c r="IYG661" s="734"/>
      <c r="IYH661" s="735"/>
      <c r="IYI661" s="734"/>
      <c r="IYJ661" s="733"/>
      <c r="IYK661" s="734"/>
      <c r="IYL661" s="735"/>
      <c r="IYM661" s="734"/>
      <c r="IYN661" s="733"/>
      <c r="IYO661" s="734"/>
      <c r="IYP661" s="735"/>
      <c r="IYQ661" s="734"/>
      <c r="IYR661" s="733"/>
      <c r="IYS661" s="734"/>
      <c r="IYT661" s="735"/>
      <c r="IYU661" s="734"/>
      <c r="IYV661" s="733"/>
      <c r="IYW661" s="734"/>
      <c r="IYX661" s="735"/>
      <c r="IYY661" s="734"/>
      <c r="IYZ661" s="733"/>
      <c r="IZA661" s="734"/>
      <c r="IZB661" s="735"/>
      <c r="IZC661" s="734"/>
      <c r="IZD661" s="733"/>
      <c r="IZE661" s="734"/>
      <c r="IZF661" s="735"/>
      <c r="IZG661" s="734"/>
      <c r="IZH661" s="733"/>
      <c r="IZI661" s="734"/>
      <c r="IZJ661" s="735"/>
      <c r="IZK661" s="734"/>
      <c r="IZL661" s="733"/>
      <c r="IZM661" s="734"/>
      <c r="IZN661" s="735"/>
      <c r="IZO661" s="734"/>
      <c r="IZP661" s="733"/>
      <c r="IZQ661" s="734"/>
      <c r="IZR661" s="735"/>
      <c r="IZS661" s="734"/>
      <c r="IZT661" s="733"/>
      <c r="IZU661" s="734"/>
      <c r="IZV661" s="735"/>
      <c r="IZW661" s="734"/>
      <c r="IZX661" s="733"/>
      <c r="IZY661" s="734"/>
      <c r="IZZ661" s="735"/>
      <c r="JAA661" s="734"/>
      <c r="JAB661" s="733"/>
      <c r="JAC661" s="734"/>
      <c r="JAD661" s="735"/>
      <c r="JAE661" s="734"/>
      <c r="JAF661" s="733"/>
      <c r="JAG661" s="734"/>
      <c r="JAH661" s="735"/>
      <c r="JAI661" s="734"/>
      <c r="JAJ661" s="733"/>
      <c r="JAK661" s="734"/>
      <c r="JAL661" s="735"/>
      <c r="JAM661" s="734"/>
      <c r="JAN661" s="733"/>
      <c r="JAO661" s="734"/>
      <c r="JAP661" s="735"/>
      <c r="JAQ661" s="734"/>
      <c r="JAR661" s="733"/>
      <c r="JAS661" s="734"/>
      <c r="JAT661" s="735"/>
      <c r="JAU661" s="734"/>
      <c r="JAV661" s="733"/>
      <c r="JAW661" s="734"/>
      <c r="JAX661" s="735"/>
      <c r="JAY661" s="734"/>
      <c r="JAZ661" s="733"/>
      <c r="JBA661" s="734"/>
      <c r="JBB661" s="735"/>
      <c r="JBC661" s="734"/>
      <c r="JBD661" s="733"/>
      <c r="JBE661" s="734"/>
      <c r="JBF661" s="735"/>
      <c r="JBG661" s="734"/>
      <c r="JBH661" s="733"/>
      <c r="JBI661" s="734"/>
      <c r="JBJ661" s="735"/>
      <c r="JBK661" s="734"/>
      <c r="JBL661" s="733"/>
      <c r="JBM661" s="734"/>
      <c r="JBN661" s="735"/>
      <c r="JBO661" s="734"/>
      <c r="JBP661" s="733"/>
      <c r="JBQ661" s="734"/>
      <c r="JBR661" s="735"/>
      <c r="JBS661" s="734"/>
      <c r="JBT661" s="733"/>
      <c r="JBU661" s="734"/>
      <c r="JBV661" s="735"/>
      <c r="JBW661" s="734"/>
      <c r="JBX661" s="733"/>
      <c r="JBY661" s="734"/>
      <c r="JBZ661" s="735"/>
      <c r="JCA661" s="734"/>
      <c r="JCB661" s="733"/>
      <c r="JCC661" s="734"/>
      <c r="JCD661" s="735"/>
      <c r="JCE661" s="734"/>
      <c r="JCF661" s="733"/>
      <c r="JCG661" s="734"/>
      <c r="JCH661" s="735"/>
      <c r="JCI661" s="734"/>
      <c r="JCJ661" s="733"/>
      <c r="JCK661" s="734"/>
      <c r="JCL661" s="735"/>
      <c r="JCM661" s="734"/>
      <c r="JCN661" s="733"/>
      <c r="JCO661" s="734"/>
      <c r="JCP661" s="735"/>
      <c r="JCQ661" s="734"/>
      <c r="JCR661" s="733"/>
      <c r="JCS661" s="734"/>
      <c r="JCT661" s="735"/>
      <c r="JCU661" s="734"/>
      <c r="JCV661" s="733"/>
      <c r="JCW661" s="734"/>
      <c r="JCX661" s="735"/>
      <c r="JCY661" s="734"/>
      <c r="JCZ661" s="733"/>
      <c r="JDA661" s="734"/>
      <c r="JDB661" s="735"/>
      <c r="JDC661" s="734"/>
      <c r="JDD661" s="733"/>
      <c r="JDE661" s="734"/>
      <c r="JDF661" s="735"/>
      <c r="JDG661" s="734"/>
      <c r="JDH661" s="733"/>
      <c r="JDI661" s="734"/>
      <c r="JDJ661" s="735"/>
      <c r="JDK661" s="734"/>
      <c r="JDL661" s="733"/>
      <c r="JDM661" s="734"/>
      <c r="JDN661" s="735"/>
      <c r="JDO661" s="734"/>
      <c r="JDP661" s="733"/>
      <c r="JDQ661" s="734"/>
      <c r="JDR661" s="735"/>
      <c r="JDS661" s="734"/>
      <c r="JDT661" s="733"/>
      <c r="JDU661" s="734"/>
      <c r="JDV661" s="735"/>
      <c r="JDW661" s="734"/>
      <c r="JDX661" s="733"/>
      <c r="JDY661" s="734"/>
      <c r="JDZ661" s="735"/>
      <c r="JEA661" s="734"/>
      <c r="JEB661" s="733"/>
      <c r="JEC661" s="734"/>
      <c r="JED661" s="735"/>
      <c r="JEE661" s="734"/>
      <c r="JEF661" s="733"/>
      <c r="JEG661" s="734"/>
      <c r="JEH661" s="735"/>
      <c r="JEI661" s="734"/>
      <c r="JEJ661" s="733"/>
      <c r="JEK661" s="734"/>
      <c r="JEL661" s="735"/>
      <c r="JEM661" s="734"/>
      <c r="JEN661" s="733"/>
      <c r="JEO661" s="734"/>
      <c r="JEP661" s="735"/>
      <c r="JEQ661" s="734"/>
      <c r="JER661" s="733"/>
      <c r="JES661" s="734"/>
      <c r="JET661" s="735"/>
      <c r="JEU661" s="734"/>
      <c r="JEV661" s="733"/>
      <c r="JEW661" s="734"/>
      <c r="JEX661" s="735"/>
      <c r="JEY661" s="734"/>
      <c r="JEZ661" s="733"/>
      <c r="JFA661" s="734"/>
      <c r="JFB661" s="735"/>
      <c r="JFC661" s="734"/>
      <c r="JFD661" s="733"/>
      <c r="JFE661" s="734"/>
      <c r="JFF661" s="735"/>
      <c r="JFG661" s="734"/>
      <c r="JFH661" s="733"/>
      <c r="JFI661" s="734"/>
      <c r="JFJ661" s="735"/>
      <c r="JFK661" s="734"/>
      <c r="JFL661" s="733"/>
      <c r="JFM661" s="734"/>
      <c r="JFN661" s="735"/>
      <c r="JFO661" s="734"/>
      <c r="JFP661" s="733"/>
      <c r="JFQ661" s="734"/>
      <c r="JFR661" s="735"/>
      <c r="JFS661" s="734"/>
      <c r="JFT661" s="733"/>
      <c r="JFU661" s="734"/>
      <c r="JFV661" s="735"/>
      <c r="JFW661" s="734"/>
      <c r="JFX661" s="733"/>
      <c r="JFY661" s="734"/>
      <c r="JFZ661" s="735"/>
      <c r="JGA661" s="734"/>
      <c r="JGB661" s="733"/>
      <c r="JGC661" s="734"/>
      <c r="JGD661" s="735"/>
      <c r="JGE661" s="734"/>
      <c r="JGF661" s="733"/>
      <c r="JGG661" s="734"/>
      <c r="JGH661" s="735"/>
      <c r="JGI661" s="734"/>
      <c r="JGJ661" s="733"/>
      <c r="JGK661" s="734"/>
      <c r="JGL661" s="735"/>
      <c r="JGM661" s="734"/>
      <c r="JGN661" s="733"/>
      <c r="JGO661" s="734"/>
      <c r="JGP661" s="735"/>
      <c r="JGQ661" s="734"/>
      <c r="JGR661" s="733"/>
      <c r="JGS661" s="734"/>
      <c r="JGT661" s="735"/>
      <c r="JGU661" s="734"/>
      <c r="JGV661" s="733"/>
      <c r="JGW661" s="734"/>
      <c r="JGX661" s="735"/>
      <c r="JGY661" s="734"/>
      <c r="JGZ661" s="733"/>
      <c r="JHA661" s="734"/>
      <c r="JHB661" s="735"/>
      <c r="JHC661" s="734"/>
      <c r="JHD661" s="733"/>
      <c r="JHE661" s="734"/>
      <c r="JHF661" s="735"/>
      <c r="JHG661" s="734"/>
      <c r="JHH661" s="733"/>
      <c r="JHI661" s="734"/>
      <c r="JHJ661" s="735"/>
      <c r="JHK661" s="734"/>
      <c r="JHL661" s="733"/>
      <c r="JHM661" s="734"/>
      <c r="JHN661" s="735"/>
      <c r="JHO661" s="734"/>
      <c r="JHP661" s="733"/>
      <c r="JHQ661" s="734"/>
      <c r="JHR661" s="735"/>
      <c r="JHS661" s="734"/>
      <c r="JHT661" s="733"/>
      <c r="JHU661" s="734"/>
      <c r="JHV661" s="735"/>
      <c r="JHW661" s="734"/>
      <c r="JHX661" s="733"/>
      <c r="JHY661" s="734"/>
      <c r="JHZ661" s="735"/>
      <c r="JIA661" s="734"/>
      <c r="JIB661" s="733"/>
      <c r="JIC661" s="734"/>
      <c r="JID661" s="735"/>
      <c r="JIE661" s="734"/>
      <c r="JIF661" s="733"/>
      <c r="JIG661" s="734"/>
      <c r="JIH661" s="735"/>
      <c r="JII661" s="734"/>
      <c r="JIJ661" s="733"/>
      <c r="JIK661" s="734"/>
      <c r="JIL661" s="735"/>
      <c r="JIM661" s="734"/>
      <c r="JIN661" s="733"/>
      <c r="JIO661" s="734"/>
      <c r="JIP661" s="735"/>
      <c r="JIQ661" s="734"/>
      <c r="JIR661" s="733"/>
      <c r="JIS661" s="734"/>
      <c r="JIT661" s="735"/>
      <c r="JIU661" s="734"/>
      <c r="JIV661" s="733"/>
      <c r="JIW661" s="734"/>
      <c r="JIX661" s="735"/>
      <c r="JIY661" s="734"/>
      <c r="JIZ661" s="733"/>
      <c r="JJA661" s="734"/>
      <c r="JJB661" s="735"/>
      <c r="JJC661" s="734"/>
      <c r="JJD661" s="733"/>
      <c r="JJE661" s="734"/>
      <c r="JJF661" s="735"/>
      <c r="JJG661" s="734"/>
      <c r="JJH661" s="733"/>
      <c r="JJI661" s="734"/>
      <c r="JJJ661" s="735"/>
      <c r="JJK661" s="734"/>
      <c r="JJL661" s="733"/>
      <c r="JJM661" s="734"/>
      <c r="JJN661" s="735"/>
      <c r="JJO661" s="734"/>
      <c r="JJP661" s="733"/>
      <c r="JJQ661" s="734"/>
      <c r="JJR661" s="735"/>
      <c r="JJS661" s="734"/>
      <c r="JJT661" s="733"/>
      <c r="JJU661" s="734"/>
      <c r="JJV661" s="735"/>
      <c r="JJW661" s="734"/>
      <c r="JJX661" s="733"/>
      <c r="JJY661" s="734"/>
      <c r="JJZ661" s="735"/>
      <c r="JKA661" s="734"/>
      <c r="JKB661" s="733"/>
      <c r="JKC661" s="734"/>
      <c r="JKD661" s="735"/>
      <c r="JKE661" s="734"/>
      <c r="JKF661" s="733"/>
      <c r="JKG661" s="734"/>
      <c r="JKH661" s="735"/>
      <c r="JKI661" s="734"/>
      <c r="JKJ661" s="733"/>
      <c r="JKK661" s="734"/>
      <c r="JKL661" s="735"/>
      <c r="JKM661" s="734"/>
      <c r="JKN661" s="733"/>
      <c r="JKO661" s="734"/>
      <c r="JKP661" s="735"/>
      <c r="JKQ661" s="734"/>
      <c r="JKR661" s="733"/>
      <c r="JKS661" s="734"/>
      <c r="JKT661" s="735"/>
      <c r="JKU661" s="734"/>
      <c r="JKV661" s="733"/>
      <c r="JKW661" s="734"/>
      <c r="JKX661" s="735"/>
      <c r="JKY661" s="734"/>
      <c r="JKZ661" s="733"/>
      <c r="JLA661" s="734"/>
      <c r="JLB661" s="735"/>
      <c r="JLC661" s="734"/>
      <c r="JLD661" s="733"/>
      <c r="JLE661" s="734"/>
      <c r="JLF661" s="735"/>
      <c r="JLG661" s="734"/>
      <c r="JLH661" s="733"/>
      <c r="JLI661" s="734"/>
      <c r="JLJ661" s="735"/>
      <c r="JLK661" s="734"/>
      <c r="JLL661" s="733"/>
      <c r="JLM661" s="734"/>
      <c r="JLN661" s="735"/>
      <c r="JLO661" s="734"/>
      <c r="JLP661" s="733"/>
      <c r="JLQ661" s="734"/>
      <c r="JLR661" s="735"/>
      <c r="JLS661" s="734"/>
      <c r="JLT661" s="733"/>
      <c r="JLU661" s="734"/>
      <c r="JLV661" s="735"/>
      <c r="JLW661" s="734"/>
      <c r="JLX661" s="733"/>
      <c r="JLY661" s="734"/>
      <c r="JLZ661" s="735"/>
      <c r="JMA661" s="734"/>
      <c r="JMB661" s="733"/>
      <c r="JMC661" s="734"/>
      <c r="JMD661" s="735"/>
      <c r="JME661" s="734"/>
      <c r="JMF661" s="733"/>
      <c r="JMG661" s="734"/>
      <c r="JMH661" s="735"/>
      <c r="JMI661" s="734"/>
      <c r="JMJ661" s="733"/>
      <c r="JMK661" s="734"/>
      <c r="JML661" s="735"/>
      <c r="JMM661" s="734"/>
      <c r="JMN661" s="733"/>
      <c r="JMO661" s="734"/>
      <c r="JMP661" s="735"/>
      <c r="JMQ661" s="734"/>
      <c r="JMR661" s="733"/>
      <c r="JMS661" s="734"/>
      <c r="JMT661" s="735"/>
      <c r="JMU661" s="734"/>
      <c r="JMV661" s="733"/>
      <c r="JMW661" s="734"/>
      <c r="JMX661" s="735"/>
      <c r="JMY661" s="734"/>
      <c r="JMZ661" s="733"/>
      <c r="JNA661" s="734"/>
      <c r="JNB661" s="735"/>
      <c r="JNC661" s="734"/>
      <c r="JND661" s="733"/>
      <c r="JNE661" s="734"/>
      <c r="JNF661" s="735"/>
      <c r="JNG661" s="734"/>
      <c r="JNH661" s="733"/>
      <c r="JNI661" s="734"/>
      <c r="JNJ661" s="735"/>
      <c r="JNK661" s="734"/>
      <c r="JNL661" s="733"/>
      <c r="JNM661" s="734"/>
      <c r="JNN661" s="735"/>
      <c r="JNO661" s="734"/>
      <c r="JNP661" s="733"/>
      <c r="JNQ661" s="734"/>
      <c r="JNR661" s="735"/>
      <c r="JNS661" s="734"/>
      <c r="JNT661" s="733"/>
      <c r="JNU661" s="734"/>
      <c r="JNV661" s="735"/>
      <c r="JNW661" s="734"/>
      <c r="JNX661" s="733"/>
      <c r="JNY661" s="734"/>
      <c r="JNZ661" s="735"/>
      <c r="JOA661" s="734"/>
      <c r="JOB661" s="733"/>
      <c r="JOC661" s="734"/>
      <c r="JOD661" s="735"/>
      <c r="JOE661" s="734"/>
      <c r="JOF661" s="733"/>
      <c r="JOG661" s="734"/>
      <c r="JOH661" s="735"/>
      <c r="JOI661" s="734"/>
      <c r="JOJ661" s="733"/>
      <c r="JOK661" s="734"/>
      <c r="JOL661" s="735"/>
      <c r="JOM661" s="734"/>
      <c r="JON661" s="733"/>
      <c r="JOO661" s="734"/>
      <c r="JOP661" s="735"/>
      <c r="JOQ661" s="734"/>
      <c r="JOR661" s="733"/>
      <c r="JOS661" s="734"/>
      <c r="JOT661" s="735"/>
      <c r="JOU661" s="734"/>
      <c r="JOV661" s="733"/>
      <c r="JOW661" s="734"/>
      <c r="JOX661" s="735"/>
      <c r="JOY661" s="734"/>
      <c r="JOZ661" s="733"/>
      <c r="JPA661" s="734"/>
      <c r="JPB661" s="735"/>
      <c r="JPC661" s="734"/>
      <c r="JPD661" s="733"/>
      <c r="JPE661" s="734"/>
      <c r="JPF661" s="735"/>
      <c r="JPG661" s="734"/>
      <c r="JPH661" s="733"/>
      <c r="JPI661" s="734"/>
      <c r="JPJ661" s="735"/>
      <c r="JPK661" s="734"/>
      <c r="JPL661" s="733"/>
      <c r="JPM661" s="734"/>
      <c r="JPN661" s="735"/>
      <c r="JPO661" s="734"/>
      <c r="JPP661" s="733"/>
      <c r="JPQ661" s="734"/>
      <c r="JPR661" s="735"/>
      <c r="JPS661" s="734"/>
      <c r="JPT661" s="733"/>
      <c r="JPU661" s="734"/>
      <c r="JPV661" s="735"/>
      <c r="JPW661" s="734"/>
      <c r="JPX661" s="733"/>
      <c r="JPY661" s="734"/>
      <c r="JPZ661" s="735"/>
      <c r="JQA661" s="734"/>
      <c r="JQB661" s="733"/>
      <c r="JQC661" s="734"/>
      <c r="JQD661" s="735"/>
      <c r="JQE661" s="734"/>
      <c r="JQF661" s="733"/>
      <c r="JQG661" s="734"/>
      <c r="JQH661" s="735"/>
      <c r="JQI661" s="734"/>
      <c r="JQJ661" s="733"/>
      <c r="JQK661" s="734"/>
      <c r="JQL661" s="735"/>
      <c r="JQM661" s="734"/>
      <c r="JQN661" s="733"/>
      <c r="JQO661" s="734"/>
      <c r="JQP661" s="735"/>
      <c r="JQQ661" s="734"/>
      <c r="JQR661" s="733"/>
      <c r="JQS661" s="734"/>
      <c r="JQT661" s="735"/>
      <c r="JQU661" s="734"/>
      <c r="JQV661" s="733"/>
      <c r="JQW661" s="734"/>
      <c r="JQX661" s="735"/>
      <c r="JQY661" s="734"/>
      <c r="JQZ661" s="733"/>
      <c r="JRA661" s="734"/>
      <c r="JRB661" s="735"/>
      <c r="JRC661" s="734"/>
      <c r="JRD661" s="733"/>
      <c r="JRE661" s="734"/>
      <c r="JRF661" s="735"/>
      <c r="JRG661" s="734"/>
      <c r="JRH661" s="733"/>
      <c r="JRI661" s="734"/>
      <c r="JRJ661" s="735"/>
      <c r="JRK661" s="734"/>
      <c r="JRL661" s="733"/>
      <c r="JRM661" s="734"/>
      <c r="JRN661" s="735"/>
      <c r="JRO661" s="734"/>
      <c r="JRP661" s="733"/>
      <c r="JRQ661" s="734"/>
      <c r="JRR661" s="735"/>
      <c r="JRS661" s="734"/>
      <c r="JRT661" s="733"/>
      <c r="JRU661" s="734"/>
      <c r="JRV661" s="735"/>
      <c r="JRW661" s="734"/>
      <c r="JRX661" s="733"/>
      <c r="JRY661" s="734"/>
      <c r="JRZ661" s="735"/>
      <c r="JSA661" s="734"/>
      <c r="JSB661" s="733"/>
      <c r="JSC661" s="734"/>
      <c r="JSD661" s="735"/>
      <c r="JSE661" s="734"/>
      <c r="JSF661" s="733"/>
      <c r="JSG661" s="734"/>
      <c r="JSH661" s="735"/>
      <c r="JSI661" s="734"/>
      <c r="JSJ661" s="733"/>
      <c r="JSK661" s="734"/>
      <c r="JSL661" s="735"/>
      <c r="JSM661" s="734"/>
      <c r="JSN661" s="733"/>
      <c r="JSO661" s="734"/>
      <c r="JSP661" s="735"/>
      <c r="JSQ661" s="734"/>
      <c r="JSR661" s="733"/>
      <c r="JSS661" s="734"/>
      <c r="JST661" s="735"/>
      <c r="JSU661" s="734"/>
      <c r="JSV661" s="733"/>
      <c r="JSW661" s="734"/>
      <c r="JSX661" s="735"/>
      <c r="JSY661" s="734"/>
      <c r="JSZ661" s="733"/>
      <c r="JTA661" s="734"/>
      <c r="JTB661" s="735"/>
      <c r="JTC661" s="734"/>
      <c r="JTD661" s="733"/>
      <c r="JTE661" s="734"/>
      <c r="JTF661" s="735"/>
      <c r="JTG661" s="734"/>
      <c r="JTH661" s="733"/>
      <c r="JTI661" s="734"/>
      <c r="JTJ661" s="735"/>
      <c r="JTK661" s="734"/>
      <c r="JTL661" s="733"/>
      <c r="JTM661" s="734"/>
      <c r="JTN661" s="735"/>
      <c r="JTO661" s="734"/>
      <c r="JTP661" s="733"/>
      <c r="JTQ661" s="734"/>
      <c r="JTR661" s="735"/>
      <c r="JTS661" s="734"/>
      <c r="JTT661" s="733"/>
      <c r="JTU661" s="734"/>
      <c r="JTV661" s="735"/>
      <c r="JTW661" s="734"/>
      <c r="JTX661" s="733"/>
      <c r="JTY661" s="734"/>
      <c r="JTZ661" s="735"/>
      <c r="JUA661" s="734"/>
      <c r="JUB661" s="733"/>
      <c r="JUC661" s="734"/>
      <c r="JUD661" s="735"/>
      <c r="JUE661" s="734"/>
      <c r="JUF661" s="733"/>
      <c r="JUG661" s="734"/>
      <c r="JUH661" s="735"/>
      <c r="JUI661" s="734"/>
      <c r="JUJ661" s="733"/>
      <c r="JUK661" s="734"/>
      <c r="JUL661" s="735"/>
      <c r="JUM661" s="734"/>
      <c r="JUN661" s="733"/>
      <c r="JUO661" s="734"/>
      <c r="JUP661" s="735"/>
      <c r="JUQ661" s="734"/>
      <c r="JUR661" s="733"/>
      <c r="JUS661" s="734"/>
      <c r="JUT661" s="735"/>
      <c r="JUU661" s="734"/>
      <c r="JUV661" s="733"/>
      <c r="JUW661" s="734"/>
      <c r="JUX661" s="735"/>
      <c r="JUY661" s="734"/>
      <c r="JUZ661" s="733"/>
      <c r="JVA661" s="734"/>
      <c r="JVB661" s="735"/>
      <c r="JVC661" s="734"/>
      <c r="JVD661" s="733"/>
      <c r="JVE661" s="734"/>
      <c r="JVF661" s="735"/>
      <c r="JVG661" s="734"/>
      <c r="JVH661" s="733"/>
      <c r="JVI661" s="734"/>
      <c r="JVJ661" s="735"/>
      <c r="JVK661" s="734"/>
      <c r="JVL661" s="733"/>
      <c r="JVM661" s="734"/>
      <c r="JVN661" s="735"/>
      <c r="JVO661" s="734"/>
      <c r="JVP661" s="733"/>
      <c r="JVQ661" s="734"/>
      <c r="JVR661" s="735"/>
      <c r="JVS661" s="734"/>
      <c r="JVT661" s="733"/>
      <c r="JVU661" s="734"/>
      <c r="JVV661" s="735"/>
      <c r="JVW661" s="734"/>
      <c r="JVX661" s="733"/>
      <c r="JVY661" s="734"/>
      <c r="JVZ661" s="735"/>
      <c r="JWA661" s="734"/>
      <c r="JWB661" s="733"/>
      <c r="JWC661" s="734"/>
      <c r="JWD661" s="735"/>
      <c r="JWE661" s="734"/>
      <c r="JWF661" s="733"/>
      <c r="JWG661" s="734"/>
      <c r="JWH661" s="735"/>
      <c r="JWI661" s="734"/>
      <c r="JWJ661" s="733"/>
      <c r="JWK661" s="734"/>
      <c r="JWL661" s="735"/>
      <c r="JWM661" s="734"/>
      <c r="JWN661" s="733"/>
      <c r="JWO661" s="734"/>
      <c r="JWP661" s="735"/>
      <c r="JWQ661" s="734"/>
      <c r="JWR661" s="733"/>
      <c r="JWS661" s="734"/>
      <c r="JWT661" s="735"/>
      <c r="JWU661" s="734"/>
      <c r="JWV661" s="733"/>
      <c r="JWW661" s="734"/>
      <c r="JWX661" s="735"/>
      <c r="JWY661" s="734"/>
      <c r="JWZ661" s="733"/>
      <c r="JXA661" s="734"/>
      <c r="JXB661" s="735"/>
      <c r="JXC661" s="734"/>
      <c r="JXD661" s="733"/>
      <c r="JXE661" s="734"/>
      <c r="JXF661" s="735"/>
      <c r="JXG661" s="734"/>
      <c r="JXH661" s="733"/>
      <c r="JXI661" s="734"/>
      <c r="JXJ661" s="735"/>
      <c r="JXK661" s="734"/>
      <c r="JXL661" s="733"/>
      <c r="JXM661" s="734"/>
      <c r="JXN661" s="735"/>
      <c r="JXO661" s="734"/>
      <c r="JXP661" s="733"/>
      <c r="JXQ661" s="734"/>
      <c r="JXR661" s="735"/>
      <c r="JXS661" s="734"/>
      <c r="JXT661" s="733"/>
      <c r="JXU661" s="734"/>
      <c r="JXV661" s="735"/>
      <c r="JXW661" s="734"/>
      <c r="JXX661" s="733"/>
      <c r="JXY661" s="734"/>
      <c r="JXZ661" s="735"/>
      <c r="JYA661" s="734"/>
      <c r="JYB661" s="733"/>
      <c r="JYC661" s="734"/>
      <c r="JYD661" s="735"/>
      <c r="JYE661" s="734"/>
      <c r="JYF661" s="733"/>
      <c r="JYG661" s="734"/>
      <c r="JYH661" s="735"/>
      <c r="JYI661" s="734"/>
      <c r="JYJ661" s="733"/>
      <c r="JYK661" s="734"/>
      <c r="JYL661" s="735"/>
      <c r="JYM661" s="734"/>
      <c r="JYN661" s="733"/>
      <c r="JYO661" s="734"/>
      <c r="JYP661" s="735"/>
      <c r="JYQ661" s="734"/>
      <c r="JYR661" s="733"/>
      <c r="JYS661" s="734"/>
      <c r="JYT661" s="735"/>
      <c r="JYU661" s="734"/>
      <c r="JYV661" s="733"/>
      <c r="JYW661" s="734"/>
      <c r="JYX661" s="735"/>
      <c r="JYY661" s="734"/>
      <c r="JYZ661" s="733"/>
      <c r="JZA661" s="734"/>
      <c r="JZB661" s="735"/>
      <c r="JZC661" s="734"/>
      <c r="JZD661" s="733"/>
      <c r="JZE661" s="734"/>
      <c r="JZF661" s="735"/>
      <c r="JZG661" s="734"/>
      <c r="JZH661" s="733"/>
      <c r="JZI661" s="734"/>
      <c r="JZJ661" s="735"/>
      <c r="JZK661" s="734"/>
      <c r="JZL661" s="733"/>
      <c r="JZM661" s="734"/>
      <c r="JZN661" s="735"/>
      <c r="JZO661" s="734"/>
      <c r="JZP661" s="733"/>
      <c r="JZQ661" s="734"/>
      <c r="JZR661" s="735"/>
      <c r="JZS661" s="734"/>
      <c r="JZT661" s="733"/>
      <c r="JZU661" s="734"/>
      <c r="JZV661" s="735"/>
      <c r="JZW661" s="734"/>
      <c r="JZX661" s="733"/>
      <c r="JZY661" s="734"/>
      <c r="JZZ661" s="735"/>
      <c r="KAA661" s="734"/>
      <c r="KAB661" s="733"/>
      <c r="KAC661" s="734"/>
      <c r="KAD661" s="735"/>
      <c r="KAE661" s="734"/>
      <c r="KAF661" s="733"/>
      <c r="KAG661" s="734"/>
      <c r="KAH661" s="735"/>
      <c r="KAI661" s="734"/>
      <c r="KAJ661" s="733"/>
      <c r="KAK661" s="734"/>
      <c r="KAL661" s="735"/>
      <c r="KAM661" s="734"/>
      <c r="KAN661" s="733"/>
      <c r="KAO661" s="734"/>
      <c r="KAP661" s="735"/>
      <c r="KAQ661" s="734"/>
      <c r="KAR661" s="733"/>
      <c r="KAS661" s="734"/>
      <c r="KAT661" s="735"/>
      <c r="KAU661" s="734"/>
      <c r="KAV661" s="733"/>
      <c r="KAW661" s="734"/>
      <c r="KAX661" s="735"/>
      <c r="KAY661" s="734"/>
      <c r="KAZ661" s="733"/>
      <c r="KBA661" s="734"/>
      <c r="KBB661" s="735"/>
      <c r="KBC661" s="734"/>
      <c r="KBD661" s="733"/>
      <c r="KBE661" s="734"/>
      <c r="KBF661" s="735"/>
      <c r="KBG661" s="734"/>
      <c r="KBH661" s="733"/>
      <c r="KBI661" s="734"/>
      <c r="KBJ661" s="735"/>
      <c r="KBK661" s="734"/>
      <c r="KBL661" s="733"/>
      <c r="KBM661" s="734"/>
      <c r="KBN661" s="735"/>
      <c r="KBO661" s="734"/>
      <c r="KBP661" s="733"/>
      <c r="KBQ661" s="734"/>
      <c r="KBR661" s="735"/>
      <c r="KBS661" s="734"/>
      <c r="KBT661" s="733"/>
      <c r="KBU661" s="734"/>
      <c r="KBV661" s="735"/>
      <c r="KBW661" s="734"/>
      <c r="KBX661" s="733"/>
      <c r="KBY661" s="734"/>
      <c r="KBZ661" s="735"/>
      <c r="KCA661" s="734"/>
      <c r="KCB661" s="733"/>
      <c r="KCC661" s="734"/>
      <c r="KCD661" s="735"/>
      <c r="KCE661" s="734"/>
      <c r="KCF661" s="733"/>
      <c r="KCG661" s="734"/>
      <c r="KCH661" s="735"/>
      <c r="KCI661" s="734"/>
      <c r="KCJ661" s="733"/>
      <c r="KCK661" s="734"/>
      <c r="KCL661" s="735"/>
      <c r="KCM661" s="734"/>
      <c r="KCN661" s="733"/>
      <c r="KCO661" s="734"/>
      <c r="KCP661" s="735"/>
      <c r="KCQ661" s="734"/>
      <c r="KCR661" s="733"/>
      <c r="KCS661" s="734"/>
      <c r="KCT661" s="735"/>
      <c r="KCU661" s="734"/>
      <c r="KCV661" s="733"/>
      <c r="KCW661" s="734"/>
      <c r="KCX661" s="735"/>
      <c r="KCY661" s="734"/>
      <c r="KCZ661" s="733"/>
      <c r="KDA661" s="734"/>
      <c r="KDB661" s="735"/>
      <c r="KDC661" s="734"/>
      <c r="KDD661" s="733"/>
      <c r="KDE661" s="734"/>
      <c r="KDF661" s="735"/>
      <c r="KDG661" s="734"/>
      <c r="KDH661" s="733"/>
      <c r="KDI661" s="734"/>
      <c r="KDJ661" s="735"/>
      <c r="KDK661" s="734"/>
      <c r="KDL661" s="733"/>
      <c r="KDM661" s="734"/>
      <c r="KDN661" s="735"/>
      <c r="KDO661" s="734"/>
      <c r="KDP661" s="733"/>
      <c r="KDQ661" s="734"/>
      <c r="KDR661" s="735"/>
      <c r="KDS661" s="734"/>
      <c r="KDT661" s="733"/>
      <c r="KDU661" s="734"/>
      <c r="KDV661" s="735"/>
      <c r="KDW661" s="734"/>
      <c r="KDX661" s="733"/>
      <c r="KDY661" s="734"/>
      <c r="KDZ661" s="735"/>
      <c r="KEA661" s="734"/>
      <c r="KEB661" s="733"/>
      <c r="KEC661" s="734"/>
      <c r="KED661" s="735"/>
      <c r="KEE661" s="734"/>
      <c r="KEF661" s="733"/>
      <c r="KEG661" s="734"/>
      <c r="KEH661" s="735"/>
      <c r="KEI661" s="734"/>
      <c r="KEJ661" s="733"/>
      <c r="KEK661" s="734"/>
      <c r="KEL661" s="735"/>
      <c r="KEM661" s="734"/>
      <c r="KEN661" s="733"/>
      <c r="KEO661" s="734"/>
      <c r="KEP661" s="735"/>
      <c r="KEQ661" s="734"/>
      <c r="KER661" s="733"/>
      <c r="KES661" s="734"/>
      <c r="KET661" s="735"/>
      <c r="KEU661" s="734"/>
      <c r="KEV661" s="733"/>
      <c r="KEW661" s="734"/>
      <c r="KEX661" s="735"/>
      <c r="KEY661" s="734"/>
      <c r="KEZ661" s="733"/>
      <c r="KFA661" s="734"/>
      <c r="KFB661" s="735"/>
      <c r="KFC661" s="734"/>
      <c r="KFD661" s="733"/>
      <c r="KFE661" s="734"/>
      <c r="KFF661" s="735"/>
      <c r="KFG661" s="734"/>
      <c r="KFH661" s="733"/>
      <c r="KFI661" s="734"/>
      <c r="KFJ661" s="735"/>
      <c r="KFK661" s="734"/>
      <c r="KFL661" s="733"/>
      <c r="KFM661" s="734"/>
      <c r="KFN661" s="735"/>
      <c r="KFO661" s="734"/>
      <c r="KFP661" s="733"/>
      <c r="KFQ661" s="734"/>
      <c r="KFR661" s="735"/>
      <c r="KFS661" s="734"/>
      <c r="KFT661" s="733"/>
      <c r="KFU661" s="734"/>
      <c r="KFV661" s="735"/>
      <c r="KFW661" s="734"/>
      <c r="KFX661" s="733"/>
      <c r="KFY661" s="734"/>
      <c r="KFZ661" s="735"/>
      <c r="KGA661" s="734"/>
      <c r="KGB661" s="733"/>
      <c r="KGC661" s="734"/>
      <c r="KGD661" s="735"/>
      <c r="KGE661" s="734"/>
      <c r="KGF661" s="733"/>
      <c r="KGG661" s="734"/>
      <c r="KGH661" s="735"/>
      <c r="KGI661" s="734"/>
      <c r="KGJ661" s="733"/>
      <c r="KGK661" s="734"/>
      <c r="KGL661" s="735"/>
      <c r="KGM661" s="734"/>
      <c r="KGN661" s="733"/>
      <c r="KGO661" s="734"/>
      <c r="KGP661" s="735"/>
      <c r="KGQ661" s="734"/>
      <c r="KGR661" s="733"/>
      <c r="KGS661" s="734"/>
      <c r="KGT661" s="735"/>
      <c r="KGU661" s="734"/>
      <c r="KGV661" s="733"/>
      <c r="KGW661" s="734"/>
      <c r="KGX661" s="735"/>
      <c r="KGY661" s="734"/>
      <c r="KGZ661" s="733"/>
      <c r="KHA661" s="734"/>
      <c r="KHB661" s="735"/>
      <c r="KHC661" s="734"/>
      <c r="KHD661" s="733"/>
      <c r="KHE661" s="734"/>
      <c r="KHF661" s="735"/>
      <c r="KHG661" s="734"/>
      <c r="KHH661" s="733"/>
      <c r="KHI661" s="734"/>
      <c r="KHJ661" s="735"/>
      <c r="KHK661" s="734"/>
      <c r="KHL661" s="733"/>
      <c r="KHM661" s="734"/>
      <c r="KHN661" s="735"/>
      <c r="KHO661" s="734"/>
      <c r="KHP661" s="733"/>
      <c r="KHQ661" s="734"/>
      <c r="KHR661" s="735"/>
      <c r="KHS661" s="734"/>
      <c r="KHT661" s="733"/>
      <c r="KHU661" s="734"/>
      <c r="KHV661" s="735"/>
      <c r="KHW661" s="734"/>
      <c r="KHX661" s="733"/>
      <c r="KHY661" s="734"/>
      <c r="KHZ661" s="735"/>
      <c r="KIA661" s="734"/>
      <c r="KIB661" s="733"/>
      <c r="KIC661" s="734"/>
      <c r="KID661" s="735"/>
      <c r="KIE661" s="734"/>
      <c r="KIF661" s="733"/>
      <c r="KIG661" s="734"/>
      <c r="KIH661" s="735"/>
      <c r="KII661" s="734"/>
      <c r="KIJ661" s="733"/>
      <c r="KIK661" s="734"/>
      <c r="KIL661" s="735"/>
      <c r="KIM661" s="734"/>
      <c r="KIN661" s="733"/>
      <c r="KIO661" s="734"/>
      <c r="KIP661" s="735"/>
      <c r="KIQ661" s="734"/>
      <c r="KIR661" s="733"/>
      <c r="KIS661" s="734"/>
      <c r="KIT661" s="735"/>
      <c r="KIU661" s="734"/>
      <c r="KIV661" s="733"/>
      <c r="KIW661" s="734"/>
      <c r="KIX661" s="735"/>
      <c r="KIY661" s="734"/>
      <c r="KIZ661" s="733"/>
      <c r="KJA661" s="734"/>
      <c r="KJB661" s="735"/>
      <c r="KJC661" s="734"/>
      <c r="KJD661" s="733"/>
      <c r="KJE661" s="734"/>
      <c r="KJF661" s="735"/>
      <c r="KJG661" s="734"/>
      <c r="KJH661" s="733"/>
      <c r="KJI661" s="734"/>
      <c r="KJJ661" s="735"/>
      <c r="KJK661" s="734"/>
      <c r="KJL661" s="733"/>
      <c r="KJM661" s="734"/>
      <c r="KJN661" s="735"/>
      <c r="KJO661" s="734"/>
      <c r="KJP661" s="733"/>
      <c r="KJQ661" s="734"/>
      <c r="KJR661" s="735"/>
      <c r="KJS661" s="734"/>
      <c r="KJT661" s="733"/>
      <c r="KJU661" s="734"/>
      <c r="KJV661" s="735"/>
      <c r="KJW661" s="734"/>
      <c r="KJX661" s="733"/>
      <c r="KJY661" s="734"/>
      <c r="KJZ661" s="735"/>
      <c r="KKA661" s="734"/>
      <c r="KKB661" s="733"/>
      <c r="KKC661" s="734"/>
      <c r="KKD661" s="735"/>
      <c r="KKE661" s="734"/>
      <c r="KKF661" s="733"/>
      <c r="KKG661" s="734"/>
      <c r="KKH661" s="735"/>
      <c r="KKI661" s="734"/>
      <c r="KKJ661" s="733"/>
      <c r="KKK661" s="734"/>
      <c r="KKL661" s="735"/>
      <c r="KKM661" s="734"/>
      <c r="KKN661" s="733"/>
      <c r="KKO661" s="734"/>
      <c r="KKP661" s="735"/>
      <c r="KKQ661" s="734"/>
      <c r="KKR661" s="733"/>
      <c r="KKS661" s="734"/>
      <c r="KKT661" s="735"/>
      <c r="KKU661" s="734"/>
      <c r="KKV661" s="733"/>
      <c r="KKW661" s="734"/>
      <c r="KKX661" s="735"/>
      <c r="KKY661" s="734"/>
      <c r="KKZ661" s="733"/>
      <c r="KLA661" s="734"/>
      <c r="KLB661" s="735"/>
      <c r="KLC661" s="734"/>
      <c r="KLD661" s="733"/>
      <c r="KLE661" s="734"/>
      <c r="KLF661" s="735"/>
      <c r="KLG661" s="734"/>
      <c r="KLH661" s="733"/>
      <c r="KLI661" s="734"/>
      <c r="KLJ661" s="735"/>
      <c r="KLK661" s="734"/>
      <c r="KLL661" s="733"/>
      <c r="KLM661" s="734"/>
      <c r="KLN661" s="735"/>
      <c r="KLO661" s="734"/>
      <c r="KLP661" s="733"/>
      <c r="KLQ661" s="734"/>
      <c r="KLR661" s="735"/>
      <c r="KLS661" s="734"/>
      <c r="KLT661" s="733"/>
      <c r="KLU661" s="734"/>
      <c r="KLV661" s="735"/>
      <c r="KLW661" s="734"/>
      <c r="KLX661" s="733"/>
      <c r="KLY661" s="734"/>
      <c r="KLZ661" s="735"/>
      <c r="KMA661" s="734"/>
      <c r="KMB661" s="733"/>
      <c r="KMC661" s="734"/>
      <c r="KMD661" s="735"/>
      <c r="KME661" s="734"/>
      <c r="KMF661" s="733"/>
      <c r="KMG661" s="734"/>
      <c r="KMH661" s="735"/>
      <c r="KMI661" s="734"/>
      <c r="KMJ661" s="733"/>
      <c r="KMK661" s="734"/>
      <c r="KML661" s="735"/>
      <c r="KMM661" s="734"/>
      <c r="KMN661" s="733"/>
      <c r="KMO661" s="734"/>
      <c r="KMP661" s="735"/>
      <c r="KMQ661" s="734"/>
      <c r="KMR661" s="733"/>
      <c r="KMS661" s="734"/>
      <c r="KMT661" s="735"/>
      <c r="KMU661" s="734"/>
      <c r="KMV661" s="733"/>
      <c r="KMW661" s="734"/>
      <c r="KMX661" s="735"/>
      <c r="KMY661" s="734"/>
      <c r="KMZ661" s="733"/>
      <c r="KNA661" s="734"/>
      <c r="KNB661" s="735"/>
      <c r="KNC661" s="734"/>
      <c r="KND661" s="733"/>
      <c r="KNE661" s="734"/>
      <c r="KNF661" s="735"/>
      <c r="KNG661" s="734"/>
      <c r="KNH661" s="733"/>
      <c r="KNI661" s="734"/>
      <c r="KNJ661" s="735"/>
      <c r="KNK661" s="734"/>
      <c r="KNL661" s="733"/>
      <c r="KNM661" s="734"/>
      <c r="KNN661" s="735"/>
      <c r="KNO661" s="734"/>
      <c r="KNP661" s="733"/>
      <c r="KNQ661" s="734"/>
      <c r="KNR661" s="735"/>
      <c r="KNS661" s="734"/>
      <c r="KNT661" s="733"/>
      <c r="KNU661" s="734"/>
      <c r="KNV661" s="735"/>
      <c r="KNW661" s="734"/>
      <c r="KNX661" s="733"/>
      <c r="KNY661" s="734"/>
      <c r="KNZ661" s="735"/>
      <c r="KOA661" s="734"/>
      <c r="KOB661" s="733"/>
      <c r="KOC661" s="734"/>
      <c r="KOD661" s="735"/>
      <c r="KOE661" s="734"/>
      <c r="KOF661" s="733"/>
      <c r="KOG661" s="734"/>
      <c r="KOH661" s="735"/>
      <c r="KOI661" s="734"/>
      <c r="KOJ661" s="733"/>
      <c r="KOK661" s="734"/>
      <c r="KOL661" s="735"/>
      <c r="KOM661" s="734"/>
      <c r="KON661" s="733"/>
      <c r="KOO661" s="734"/>
      <c r="KOP661" s="735"/>
      <c r="KOQ661" s="734"/>
      <c r="KOR661" s="733"/>
      <c r="KOS661" s="734"/>
      <c r="KOT661" s="735"/>
      <c r="KOU661" s="734"/>
      <c r="KOV661" s="733"/>
      <c r="KOW661" s="734"/>
      <c r="KOX661" s="735"/>
      <c r="KOY661" s="734"/>
      <c r="KOZ661" s="733"/>
      <c r="KPA661" s="734"/>
      <c r="KPB661" s="735"/>
      <c r="KPC661" s="734"/>
      <c r="KPD661" s="733"/>
      <c r="KPE661" s="734"/>
      <c r="KPF661" s="735"/>
      <c r="KPG661" s="734"/>
      <c r="KPH661" s="733"/>
      <c r="KPI661" s="734"/>
      <c r="KPJ661" s="735"/>
      <c r="KPK661" s="734"/>
      <c r="KPL661" s="733"/>
      <c r="KPM661" s="734"/>
      <c r="KPN661" s="735"/>
      <c r="KPO661" s="734"/>
      <c r="KPP661" s="733"/>
      <c r="KPQ661" s="734"/>
      <c r="KPR661" s="735"/>
      <c r="KPS661" s="734"/>
      <c r="KPT661" s="733"/>
      <c r="KPU661" s="734"/>
      <c r="KPV661" s="735"/>
      <c r="KPW661" s="734"/>
      <c r="KPX661" s="733"/>
      <c r="KPY661" s="734"/>
      <c r="KPZ661" s="735"/>
      <c r="KQA661" s="734"/>
      <c r="KQB661" s="733"/>
      <c r="KQC661" s="734"/>
      <c r="KQD661" s="735"/>
      <c r="KQE661" s="734"/>
      <c r="KQF661" s="733"/>
      <c r="KQG661" s="734"/>
      <c r="KQH661" s="735"/>
      <c r="KQI661" s="734"/>
      <c r="KQJ661" s="733"/>
      <c r="KQK661" s="734"/>
      <c r="KQL661" s="735"/>
      <c r="KQM661" s="734"/>
      <c r="KQN661" s="733"/>
      <c r="KQO661" s="734"/>
      <c r="KQP661" s="735"/>
      <c r="KQQ661" s="734"/>
      <c r="KQR661" s="733"/>
      <c r="KQS661" s="734"/>
      <c r="KQT661" s="735"/>
      <c r="KQU661" s="734"/>
      <c r="KQV661" s="733"/>
      <c r="KQW661" s="734"/>
      <c r="KQX661" s="735"/>
      <c r="KQY661" s="734"/>
      <c r="KQZ661" s="733"/>
      <c r="KRA661" s="734"/>
      <c r="KRB661" s="735"/>
      <c r="KRC661" s="734"/>
      <c r="KRD661" s="733"/>
      <c r="KRE661" s="734"/>
      <c r="KRF661" s="735"/>
      <c r="KRG661" s="734"/>
      <c r="KRH661" s="733"/>
      <c r="KRI661" s="734"/>
      <c r="KRJ661" s="735"/>
      <c r="KRK661" s="734"/>
      <c r="KRL661" s="733"/>
      <c r="KRM661" s="734"/>
      <c r="KRN661" s="735"/>
      <c r="KRO661" s="734"/>
      <c r="KRP661" s="733"/>
      <c r="KRQ661" s="734"/>
      <c r="KRR661" s="735"/>
      <c r="KRS661" s="734"/>
      <c r="KRT661" s="733"/>
      <c r="KRU661" s="734"/>
      <c r="KRV661" s="735"/>
      <c r="KRW661" s="734"/>
      <c r="KRX661" s="733"/>
      <c r="KRY661" s="734"/>
      <c r="KRZ661" s="735"/>
      <c r="KSA661" s="734"/>
      <c r="KSB661" s="733"/>
      <c r="KSC661" s="734"/>
      <c r="KSD661" s="735"/>
      <c r="KSE661" s="734"/>
      <c r="KSF661" s="733"/>
      <c r="KSG661" s="734"/>
      <c r="KSH661" s="735"/>
      <c r="KSI661" s="734"/>
      <c r="KSJ661" s="733"/>
      <c r="KSK661" s="734"/>
      <c r="KSL661" s="735"/>
      <c r="KSM661" s="734"/>
      <c r="KSN661" s="733"/>
      <c r="KSO661" s="734"/>
      <c r="KSP661" s="735"/>
      <c r="KSQ661" s="734"/>
      <c r="KSR661" s="733"/>
      <c r="KSS661" s="734"/>
      <c r="KST661" s="735"/>
      <c r="KSU661" s="734"/>
      <c r="KSV661" s="733"/>
      <c r="KSW661" s="734"/>
      <c r="KSX661" s="735"/>
      <c r="KSY661" s="734"/>
      <c r="KSZ661" s="733"/>
      <c r="KTA661" s="734"/>
      <c r="KTB661" s="735"/>
      <c r="KTC661" s="734"/>
      <c r="KTD661" s="733"/>
      <c r="KTE661" s="734"/>
      <c r="KTF661" s="735"/>
      <c r="KTG661" s="734"/>
      <c r="KTH661" s="733"/>
      <c r="KTI661" s="734"/>
      <c r="KTJ661" s="735"/>
      <c r="KTK661" s="734"/>
      <c r="KTL661" s="733"/>
      <c r="KTM661" s="734"/>
      <c r="KTN661" s="735"/>
      <c r="KTO661" s="734"/>
      <c r="KTP661" s="733"/>
      <c r="KTQ661" s="734"/>
      <c r="KTR661" s="735"/>
      <c r="KTS661" s="734"/>
      <c r="KTT661" s="733"/>
      <c r="KTU661" s="734"/>
      <c r="KTV661" s="735"/>
      <c r="KTW661" s="734"/>
      <c r="KTX661" s="733"/>
      <c r="KTY661" s="734"/>
      <c r="KTZ661" s="735"/>
      <c r="KUA661" s="734"/>
      <c r="KUB661" s="733"/>
      <c r="KUC661" s="734"/>
      <c r="KUD661" s="735"/>
      <c r="KUE661" s="734"/>
      <c r="KUF661" s="733"/>
      <c r="KUG661" s="734"/>
      <c r="KUH661" s="735"/>
      <c r="KUI661" s="734"/>
      <c r="KUJ661" s="733"/>
      <c r="KUK661" s="734"/>
      <c r="KUL661" s="735"/>
      <c r="KUM661" s="734"/>
      <c r="KUN661" s="733"/>
      <c r="KUO661" s="734"/>
      <c r="KUP661" s="735"/>
      <c r="KUQ661" s="734"/>
      <c r="KUR661" s="733"/>
      <c r="KUS661" s="734"/>
      <c r="KUT661" s="735"/>
      <c r="KUU661" s="734"/>
      <c r="KUV661" s="733"/>
      <c r="KUW661" s="734"/>
      <c r="KUX661" s="735"/>
      <c r="KUY661" s="734"/>
      <c r="KUZ661" s="733"/>
      <c r="KVA661" s="734"/>
      <c r="KVB661" s="735"/>
      <c r="KVC661" s="734"/>
      <c r="KVD661" s="733"/>
      <c r="KVE661" s="734"/>
      <c r="KVF661" s="735"/>
      <c r="KVG661" s="734"/>
      <c r="KVH661" s="733"/>
      <c r="KVI661" s="734"/>
      <c r="KVJ661" s="735"/>
      <c r="KVK661" s="734"/>
      <c r="KVL661" s="733"/>
      <c r="KVM661" s="734"/>
      <c r="KVN661" s="735"/>
      <c r="KVO661" s="734"/>
      <c r="KVP661" s="733"/>
      <c r="KVQ661" s="734"/>
      <c r="KVR661" s="735"/>
      <c r="KVS661" s="734"/>
      <c r="KVT661" s="733"/>
      <c r="KVU661" s="734"/>
      <c r="KVV661" s="735"/>
      <c r="KVW661" s="734"/>
      <c r="KVX661" s="733"/>
      <c r="KVY661" s="734"/>
      <c r="KVZ661" s="735"/>
      <c r="KWA661" s="734"/>
      <c r="KWB661" s="733"/>
      <c r="KWC661" s="734"/>
      <c r="KWD661" s="735"/>
      <c r="KWE661" s="734"/>
      <c r="KWF661" s="733"/>
      <c r="KWG661" s="734"/>
      <c r="KWH661" s="735"/>
      <c r="KWI661" s="734"/>
      <c r="KWJ661" s="733"/>
      <c r="KWK661" s="734"/>
      <c r="KWL661" s="735"/>
      <c r="KWM661" s="734"/>
      <c r="KWN661" s="733"/>
      <c r="KWO661" s="734"/>
      <c r="KWP661" s="735"/>
      <c r="KWQ661" s="734"/>
      <c r="KWR661" s="733"/>
      <c r="KWS661" s="734"/>
      <c r="KWT661" s="735"/>
      <c r="KWU661" s="734"/>
      <c r="KWV661" s="733"/>
      <c r="KWW661" s="734"/>
      <c r="KWX661" s="735"/>
      <c r="KWY661" s="734"/>
      <c r="KWZ661" s="733"/>
      <c r="KXA661" s="734"/>
      <c r="KXB661" s="735"/>
      <c r="KXC661" s="734"/>
      <c r="KXD661" s="733"/>
      <c r="KXE661" s="734"/>
      <c r="KXF661" s="735"/>
      <c r="KXG661" s="734"/>
      <c r="KXH661" s="733"/>
      <c r="KXI661" s="734"/>
      <c r="KXJ661" s="735"/>
      <c r="KXK661" s="734"/>
      <c r="KXL661" s="733"/>
      <c r="KXM661" s="734"/>
      <c r="KXN661" s="735"/>
      <c r="KXO661" s="734"/>
      <c r="KXP661" s="733"/>
      <c r="KXQ661" s="734"/>
      <c r="KXR661" s="735"/>
      <c r="KXS661" s="734"/>
      <c r="KXT661" s="733"/>
      <c r="KXU661" s="734"/>
      <c r="KXV661" s="735"/>
      <c r="KXW661" s="734"/>
      <c r="KXX661" s="733"/>
      <c r="KXY661" s="734"/>
      <c r="KXZ661" s="735"/>
      <c r="KYA661" s="734"/>
      <c r="KYB661" s="733"/>
      <c r="KYC661" s="734"/>
      <c r="KYD661" s="735"/>
      <c r="KYE661" s="734"/>
      <c r="KYF661" s="733"/>
      <c r="KYG661" s="734"/>
      <c r="KYH661" s="735"/>
      <c r="KYI661" s="734"/>
      <c r="KYJ661" s="733"/>
      <c r="KYK661" s="734"/>
      <c r="KYL661" s="735"/>
      <c r="KYM661" s="734"/>
      <c r="KYN661" s="733"/>
      <c r="KYO661" s="734"/>
      <c r="KYP661" s="735"/>
      <c r="KYQ661" s="734"/>
      <c r="KYR661" s="733"/>
      <c r="KYS661" s="734"/>
      <c r="KYT661" s="735"/>
      <c r="KYU661" s="734"/>
      <c r="KYV661" s="733"/>
      <c r="KYW661" s="734"/>
      <c r="KYX661" s="735"/>
      <c r="KYY661" s="734"/>
      <c r="KYZ661" s="733"/>
      <c r="KZA661" s="734"/>
      <c r="KZB661" s="735"/>
      <c r="KZC661" s="734"/>
      <c r="KZD661" s="733"/>
      <c r="KZE661" s="734"/>
      <c r="KZF661" s="735"/>
      <c r="KZG661" s="734"/>
      <c r="KZH661" s="733"/>
      <c r="KZI661" s="734"/>
      <c r="KZJ661" s="735"/>
      <c r="KZK661" s="734"/>
      <c r="KZL661" s="733"/>
      <c r="KZM661" s="734"/>
      <c r="KZN661" s="735"/>
      <c r="KZO661" s="734"/>
      <c r="KZP661" s="733"/>
      <c r="KZQ661" s="734"/>
      <c r="KZR661" s="735"/>
      <c r="KZS661" s="734"/>
      <c r="KZT661" s="733"/>
      <c r="KZU661" s="734"/>
      <c r="KZV661" s="735"/>
      <c r="KZW661" s="734"/>
      <c r="KZX661" s="733"/>
      <c r="KZY661" s="734"/>
      <c r="KZZ661" s="735"/>
      <c r="LAA661" s="734"/>
      <c r="LAB661" s="733"/>
      <c r="LAC661" s="734"/>
      <c r="LAD661" s="735"/>
      <c r="LAE661" s="734"/>
      <c r="LAF661" s="733"/>
      <c r="LAG661" s="734"/>
      <c r="LAH661" s="735"/>
      <c r="LAI661" s="734"/>
      <c r="LAJ661" s="733"/>
      <c r="LAK661" s="734"/>
      <c r="LAL661" s="735"/>
      <c r="LAM661" s="734"/>
      <c r="LAN661" s="733"/>
      <c r="LAO661" s="734"/>
      <c r="LAP661" s="735"/>
      <c r="LAQ661" s="734"/>
      <c r="LAR661" s="733"/>
      <c r="LAS661" s="734"/>
      <c r="LAT661" s="735"/>
      <c r="LAU661" s="734"/>
      <c r="LAV661" s="733"/>
      <c r="LAW661" s="734"/>
      <c r="LAX661" s="735"/>
      <c r="LAY661" s="734"/>
      <c r="LAZ661" s="733"/>
      <c r="LBA661" s="734"/>
      <c r="LBB661" s="735"/>
      <c r="LBC661" s="734"/>
      <c r="LBD661" s="733"/>
      <c r="LBE661" s="734"/>
      <c r="LBF661" s="735"/>
      <c r="LBG661" s="734"/>
      <c r="LBH661" s="733"/>
      <c r="LBI661" s="734"/>
      <c r="LBJ661" s="735"/>
      <c r="LBK661" s="734"/>
      <c r="LBL661" s="733"/>
      <c r="LBM661" s="734"/>
      <c r="LBN661" s="735"/>
      <c r="LBO661" s="734"/>
      <c r="LBP661" s="733"/>
      <c r="LBQ661" s="734"/>
      <c r="LBR661" s="735"/>
      <c r="LBS661" s="734"/>
      <c r="LBT661" s="733"/>
      <c r="LBU661" s="734"/>
      <c r="LBV661" s="735"/>
      <c r="LBW661" s="734"/>
      <c r="LBX661" s="733"/>
      <c r="LBY661" s="734"/>
      <c r="LBZ661" s="735"/>
      <c r="LCA661" s="734"/>
      <c r="LCB661" s="733"/>
      <c r="LCC661" s="734"/>
      <c r="LCD661" s="735"/>
      <c r="LCE661" s="734"/>
      <c r="LCF661" s="733"/>
      <c r="LCG661" s="734"/>
      <c r="LCH661" s="735"/>
      <c r="LCI661" s="734"/>
      <c r="LCJ661" s="733"/>
      <c r="LCK661" s="734"/>
      <c r="LCL661" s="735"/>
      <c r="LCM661" s="734"/>
      <c r="LCN661" s="733"/>
      <c r="LCO661" s="734"/>
      <c r="LCP661" s="735"/>
      <c r="LCQ661" s="734"/>
      <c r="LCR661" s="733"/>
      <c r="LCS661" s="734"/>
      <c r="LCT661" s="735"/>
      <c r="LCU661" s="734"/>
      <c r="LCV661" s="733"/>
      <c r="LCW661" s="734"/>
      <c r="LCX661" s="735"/>
      <c r="LCY661" s="734"/>
      <c r="LCZ661" s="733"/>
      <c r="LDA661" s="734"/>
      <c r="LDB661" s="735"/>
      <c r="LDC661" s="734"/>
      <c r="LDD661" s="733"/>
      <c r="LDE661" s="734"/>
      <c r="LDF661" s="735"/>
      <c r="LDG661" s="734"/>
      <c r="LDH661" s="733"/>
      <c r="LDI661" s="734"/>
      <c r="LDJ661" s="735"/>
      <c r="LDK661" s="734"/>
      <c r="LDL661" s="733"/>
      <c r="LDM661" s="734"/>
      <c r="LDN661" s="735"/>
      <c r="LDO661" s="734"/>
      <c r="LDP661" s="733"/>
      <c r="LDQ661" s="734"/>
      <c r="LDR661" s="735"/>
      <c r="LDS661" s="734"/>
      <c r="LDT661" s="733"/>
      <c r="LDU661" s="734"/>
      <c r="LDV661" s="735"/>
      <c r="LDW661" s="734"/>
      <c r="LDX661" s="733"/>
      <c r="LDY661" s="734"/>
      <c r="LDZ661" s="735"/>
      <c r="LEA661" s="734"/>
      <c r="LEB661" s="733"/>
      <c r="LEC661" s="734"/>
      <c r="LED661" s="735"/>
      <c r="LEE661" s="734"/>
      <c r="LEF661" s="733"/>
      <c r="LEG661" s="734"/>
      <c r="LEH661" s="735"/>
      <c r="LEI661" s="734"/>
      <c r="LEJ661" s="733"/>
      <c r="LEK661" s="734"/>
      <c r="LEL661" s="735"/>
      <c r="LEM661" s="734"/>
      <c r="LEN661" s="733"/>
      <c r="LEO661" s="734"/>
      <c r="LEP661" s="735"/>
      <c r="LEQ661" s="734"/>
      <c r="LER661" s="733"/>
      <c r="LES661" s="734"/>
      <c r="LET661" s="735"/>
      <c r="LEU661" s="734"/>
      <c r="LEV661" s="733"/>
      <c r="LEW661" s="734"/>
      <c r="LEX661" s="735"/>
      <c r="LEY661" s="734"/>
      <c r="LEZ661" s="733"/>
      <c r="LFA661" s="734"/>
      <c r="LFB661" s="735"/>
      <c r="LFC661" s="734"/>
      <c r="LFD661" s="733"/>
      <c r="LFE661" s="734"/>
      <c r="LFF661" s="735"/>
      <c r="LFG661" s="734"/>
      <c r="LFH661" s="733"/>
      <c r="LFI661" s="734"/>
      <c r="LFJ661" s="735"/>
      <c r="LFK661" s="734"/>
      <c r="LFL661" s="733"/>
      <c r="LFM661" s="734"/>
      <c r="LFN661" s="735"/>
      <c r="LFO661" s="734"/>
      <c r="LFP661" s="733"/>
      <c r="LFQ661" s="734"/>
      <c r="LFR661" s="735"/>
      <c r="LFS661" s="734"/>
      <c r="LFT661" s="733"/>
      <c r="LFU661" s="734"/>
      <c r="LFV661" s="735"/>
      <c r="LFW661" s="734"/>
      <c r="LFX661" s="733"/>
      <c r="LFY661" s="734"/>
      <c r="LFZ661" s="735"/>
      <c r="LGA661" s="734"/>
      <c r="LGB661" s="733"/>
      <c r="LGC661" s="734"/>
      <c r="LGD661" s="735"/>
      <c r="LGE661" s="734"/>
      <c r="LGF661" s="733"/>
      <c r="LGG661" s="734"/>
      <c r="LGH661" s="735"/>
      <c r="LGI661" s="734"/>
      <c r="LGJ661" s="733"/>
      <c r="LGK661" s="734"/>
      <c r="LGL661" s="735"/>
      <c r="LGM661" s="734"/>
      <c r="LGN661" s="733"/>
      <c r="LGO661" s="734"/>
      <c r="LGP661" s="735"/>
      <c r="LGQ661" s="734"/>
      <c r="LGR661" s="733"/>
      <c r="LGS661" s="734"/>
      <c r="LGT661" s="735"/>
      <c r="LGU661" s="734"/>
      <c r="LGV661" s="733"/>
      <c r="LGW661" s="734"/>
      <c r="LGX661" s="735"/>
      <c r="LGY661" s="734"/>
      <c r="LGZ661" s="733"/>
      <c r="LHA661" s="734"/>
      <c r="LHB661" s="735"/>
      <c r="LHC661" s="734"/>
      <c r="LHD661" s="733"/>
      <c r="LHE661" s="734"/>
      <c r="LHF661" s="735"/>
      <c r="LHG661" s="734"/>
      <c r="LHH661" s="733"/>
      <c r="LHI661" s="734"/>
      <c r="LHJ661" s="735"/>
      <c r="LHK661" s="734"/>
      <c r="LHL661" s="733"/>
      <c r="LHM661" s="734"/>
      <c r="LHN661" s="735"/>
      <c r="LHO661" s="734"/>
      <c r="LHP661" s="733"/>
      <c r="LHQ661" s="734"/>
      <c r="LHR661" s="735"/>
      <c r="LHS661" s="734"/>
      <c r="LHT661" s="733"/>
      <c r="LHU661" s="734"/>
      <c r="LHV661" s="735"/>
      <c r="LHW661" s="734"/>
      <c r="LHX661" s="733"/>
      <c r="LHY661" s="734"/>
      <c r="LHZ661" s="735"/>
      <c r="LIA661" s="734"/>
      <c r="LIB661" s="733"/>
      <c r="LIC661" s="734"/>
      <c r="LID661" s="735"/>
      <c r="LIE661" s="734"/>
      <c r="LIF661" s="733"/>
      <c r="LIG661" s="734"/>
      <c r="LIH661" s="735"/>
      <c r="LII661" s="734"/>
      <c r="LIJ661" s="733"/>
      <c r="LIK661" s="734"/>
      <c r="LIL661" s="735"/>
      <c r="LIM661" s="734"/>
      <c r="LIN661" s="733"/>
      <c r="LIO661" s="734"/>
      <c r="LIP661" s="735"/>
      <c r="LIQ661" s="734"/>
      <c r="LIR661" s="733"/>
      <c r="LIS661" s="734"/>
      <c r="LIT661" s="735"/>
      <c r="LIU661" s="734"/>
      <c r="LIV661" s="733"/>
      <c r="LIW661" s="734"/>
      <c r="LIX661" s="735"/>
      <c r="LIY661" s="734"/>
      <c r="LIZ661" s="733"/>
      <c r="LJA661" s="734"/>
      <c r="LJB661" s="735"/>
      <c r="LJC661" s="734"/>
      <c r="LJD661" s="733"/>
      <c r="LJE661" s="734"/>
      <c r="LJF661" s="735"/>
      <c r="LJG661" s="734"/>
      <c r="LJH661" s="733"/>
      <c r="LJI661" s="734"/>
      <c r="LJJ661" s="735"/>
      <c r="LJK661" s="734"/>
      <c r="LJL661" s="733"/>
      <c r="LJM661" s="734"/>
      <c r="LJN661" s="735"/>
      <c r="LJO661" s="734"/>
      <c r="LJP661" s="733"/>
      <c r="LJQ661" s="734"/>
      <c r="LJR661" s="735"/>
      <c r="LJS661" s="734"/>
      <c r="LJT661" s="733"/>
      <c r="LJU661" s="734"/>
      <c r="LJV661" s="735"/>
      <c r="LJW661" s="734"/>
      <c r="LJX661" s="733"/>
      <c r="LJY661" s="734"/>
      <c r="LJZ661" s="735"/>
      <c r="LKA661" s="734"/>
      <c r="LKB661" s="733"/>
      <c r="LKC661" s="734"/>
      <c r="LKD661" s="735"/>
      <c r="LKE661" s="734"/>
      <c r="LKF661" s="733"/>
      <c r="LKG661" s="734"/>
      <c r="LKH661" s="735"/>
      <c r="LKI661" s="734"/>
      <c r="LKJ661" s="733"/>
      <c r="LKK661" s="734"/>
      <c r="LKL661" s="735"/>
      <c r="LKM661" s="734"/>
      <c r="LKN661" s="733"/>
      <c r="LKO661" s="734"/>
      <c r="LKP661" s="735"/>
      <c r="LKQ661" s="734"/>
      <c r="LKR661" s="733"/>
      <c r="LKS661" s="734"/>
      <c r="LKT661" s="735"/>
      <c r="LKU661" s="734"/>
      <c r="LKV661" s="733"/>
      <c r="LKW661" s="734"/>
      <c r="LKX661" s="735"/>
      <c r="LKY661" s="734"/>
      <c r="LKZ661" s="733"/>
      <c r="LLA661" s="734"/>
      <c r="LLB661" s="735"/>
      <c r="LLC661" s="734"/>
      <c r="LLD661" s="733"/>
      <c r="LLE661" s="734"/>
      <c r="LLF661" s="735"/>
      <c r="LLG661" s="734"/>
      <c r="LLH661" s="733"/>
      <c r="LLI661" s="734"/>
      <c r="LLJ661" s="735"/>
      <c r="LLK661" s="734"/>
      <c r="LLL661" s="733"/>
      <c r="LLM661" s="734"/>
      <c r="LLN661" s="735"/>
      <c r="LLO661" s="734"/>
      <c r="LLP661" s="733"/>
      <c r="LLQ661" s="734"/>
      <c r="LLR661" s="735"/>
      <c r="LLS661" s="734"/>
      <c r="LLT661" s="733"/>
      <c r="LLU661" s="734"/>
      <c r="LLV661" s="735"/>
      <c r="LLW661" s="734"/>
      <c r="LLX661" s="733"/>
      <c r="LLY661" s="734"/>
      <c r="LLZ661" s="735"/>
      <c r="LMA661" s="734"/>
      <c r="LMB661" s="733"/>
      <c r="LMC661" s="734"/>
      <c r="LMD661" s="735"/>
      <c r="LME661" s="734"/>
      <c r="LMF661" s="733"/>
      <c r="LMG661" s="734"/>
      <c r="LMH661" s="735"/>
      <c r="LMI661" s="734"/>
      <c r="LMJ661" s="733"/>
      <c r="LMK661" s="734"/>
      <c r="LML661" s="735"/>
      <c r="LMM661" s="734"/>
      <c r="LMN661" s="733"/>
      <c r="LMO661" s="734"/>
      <c r="LMP661" s="735"/>
      <c r="LMQ661" s="734"/>
      <c r="LMR661" s="733"/>
      <c r="LMS661" s="734"/>
      <c r="LMT661" s="735"/>
      <c r="LMU661" s="734"/>
      <c r="LMV661" s="733"/>
      <c r="LMW661" s="734"/>
      <c r="LMX661" s="735"/>
      <c r="LMY661" s="734"/>
      <c r="LMZ661" s="733"/>
      <c r="LNA661" s="734"/>
      <c r="LNB661" s="735"/>
      <c r="LNC661" s="734"/>
      <c r="LND661" s="733"/>
      <c r="LNE661" s="734"/>
      <c r="LNF661" s="735"/>
      <c r="LNG661" s="734"/>
      <c r="LNH661" s="733"/>
      <c r="LNI661" s="734"/>
      <c r="LNJ661" s="735"/>
      <c r="LNK661" s="734"/>
      <c r="LNL661" s="733"/>
      <c r="LNM661" s="734"/>
      <c r="LNN661" s="735"/>
      <c r="LNO661" s="734"/>
      <c r="LNP661" s="733"/>
      <c r="LNQ661" s="734"/>
      <c r="LNR661" s="735"/>
      <c r="LNS661" s="734"/>
      <c r="LNT661" s="733"/>
      <c r="LNU661" s="734"/>
      <c r="LNV661" s="735"/>
      <c r="LNW661" s="734"/>
      <c r="LNX661" s="733"/>
      <c r="LNY661" s="734"/>
      <c r="LNZ661" s="735"/>
      <c r="LOA661" s="734"/>
      <c r="LOB661" s="733"/>
      <c r="LOC661" s="734"/>
      <c r="LOD661" s="735"/>
      <c r="LOE661" s="734"/>
      <c r="LOF661" s="733"/>
      <c r="LOG661" s="734"/>
      <c r="LOH661" s="735"/>
      <c r="LOI661" s="734"/>
      <c r="LOJ661" s="733"/>
      <c r="LOK661" s="734"/>
      <c r="LOL661" s="735"/>
      <c r="LOM661" s="734"/>
      <c r="LON661" s="733"/>
      <c r="LOO661" s="734"/>
      <c r="LOP661" s="735"/>
      <c r="LOQ661" s="734"/>
      <c r="LOR661" s="733"/>
      <c r="LOS661" s="734"/>
      <c r="LOT661" s="735"/>
      <c r="LOU661" s="734"/>
      <c r="LOV661" s="733"/>
      <c r="LOW661" s="734"/>
      <c r="LOX661" s="735"/>
      <c r="LOY661" s="734"/>
      <c r="LOZ661" s="733"/>
      <c r="LPA661" s="734"/>
      <c r="LPB661" s="735"/>
      <c r="LPC661" s="734"/>
      <c r="LPD661" s="733"/>
      <c r="LPE661" s="734"/>
      <c r="LPF661" s="735"/>
      <c r="LPG661" s="734"/>
      <c r="LPH661" s="733"/>
      <c r="LPI661" s="734"/>
      <c r="LPJ661" s="735"/>
      <c r="LPK661" s="734"/>
      <c r="LPL661" s="733"/>
      <c r="LPM661" s="734"/>
      <c r="LPN661" s="735"/>
      <c r="LPO661" s="734"/>
      <c r="LPP661" s="733"/>
      <c r="LPQ661" s="734"/>
      <c r="LPR661" s="735"/>
      <c r="LPS661" s="734"/>
      <c r="LPT661" s="733"/>
      <c r="LPU661" s="734"/>
      <c r="LPV661" s="735"/>
      <c r="LPW661" s="734"/>
      <c r="LPX661" s="733"/>
      <c r="LPY661" s="734"/>
      <c r="LPZ661" s="735"/>
      <c r="LQA661" s="734"/>
      <c r="LQB661" s="733"/>
      <c r="LQC661" s="734"/>
      <c r="LQD661" s="735"/>
      <c r="LQE661" s="734"/>
      <c r="LQF661" s="733"/>
      <c r="LQG661" s="734"/>
      <c r="LQH661" s="735"/>
      <c r="LQI661" s="734"/>
      <c r="LQJ661" s="733"/>
      <c r="LQK661" s="734"/>
      <c r="LQL661" s="735"/>
      <c r="LQM661" s="734"/>
      <c r="LQN661" s="733"/>
      <c r="LQO661" s="734"/>
      <c r="LQP661" s="735"/>
      <c r="LQQ661" s="734"/>
      <c r="LQR661" s="733"/>
      <c r="LQS661" s="734"/>
      <c r="LQT661" s="735"/>
      <c r="LQU661" s="734"/>
      <c r="LQV661" s="733"/>
      <c r="LQW661" s="734"/>
      <c r="LQX661" s="735"/>
      <c r="LQY661" s="734"/>
      <c r="LQZ661" s="733"/>
      <c r="LRA661" s="734"/>
      <c r="LRB661" s="735"/>
      <c r="LRC661" s="734"/>
      <c r="LRD661" s="733"/>
      <c r="LRE661" s="734"/>
      <c r="LRF661" s="735"/>
      <c r="LRG661" s="734"/>
      <c r="LRH661" s="733"/>
      <c r="LRI661" s="734"/>
      <c r="LRJ661" s="735"/>
      <c r="LRK661" s="734"/>
      <c r="LRL661" s="733"/>
      <c r="LRM661" s="734"/>
      <c r="LRN661" s="735"/>
      <c r="LRO661" s="734"/>
      <c r="LRP661" s="733"/>
      <c r="LRQ661" s="734"/>
      <c r="LRR661" s="735"/>
      <c r="LRS661" s="734"/>
      <c r="LRT661" s="733"/>
      <c r="LRU661" s="734"/>
      <c r="LRV661" s="735"/>
      <c r="LRW661" s="734"/>
      <c r="LRX661" s="733"/>
      <c r="LRY661" s="734"/>
      <c r="LRZ661" s="735"/>
      <c r="LSA661" s="734"/>
      <c r="LSB661" s="733"/>
      <c r="LSC661" s="734"/>
      <c r="LSD661" s="735"/>
      <c r="LSE661" s="734"/>
      <c r="LSF661" s="733"/>
      <c r="LSG661" s="734"/>
      <c r="LSH661" s="735"/>
      <c r="LSI661" s="734"/>
      <c r="LSJ661" s="733"/>
      <c r="LSK661" s="734"/>
      <c r="LSL661" s="735"/>
      <c r="LSM661" s="734"/>
      <c r="LSN661" s="733"/>
      <c r="LSO661" s="734"/>
      <c r="LSP661" s="735"/>
      <c r="LSQ661" s="734"/>
      <c r="LSR661" s="733"/>
      <c r="LSS661" s="734"/>
      <c r="LST661" s="735"/>
      <c r="LSU661" s="734"/>
      <c r="LSV661" s="733"/>
      <c r="LSW661" s="734"/>
      <c r="LSX661" s="735"/>
      <c r="LSY661" s="734"/>
      <c r="LSZ661" s="733"/>
      <c r="LTA661" s="734"/>
      <c r="LTB661" s="735"/>
      <c r="LTC661" s="734"/>
      <c r="LTD661" s="733"/>
      <c r="LTE661" s="734"/>
      <c r="LTF661" s="735"/>
      <c r="LTG661" s="734"/>
      <c r="LTH661" s="733"/>
      <c r="LTI661" s="734"/>
      <c r="LTJ661" s="735"/>
      <c r="LTK661" s="734"/>
      <c r="LTL661" s="733"/>
      <c r="LTM661" s="734"/>
      <c r="LTN661" s="735"/>
      <c r="LTO661" s="734"/>
      <c r="LTP661" s="733"/>
      <c r="LTQ661" s="734"/>
      <c r="LTR661" s="735"/>
      <c r="LTS661" s="734"/>
      <c r="LTT661" s="733"/>
      <c r="LTU661" s="734"/>
      <c r="LTV661" s="735"/>
      <c r="LTW661" s="734"/>
      <c r="LTX661" s="733"/>
      <c r="LTY661" s="734"/>
      <c r="LTZ661" s="735"/>
      <c r="LUA661" s="734"/>
      <c r="LUB661" s="733"/>
      <c r="LUC661" s="734"/>
      <c r="LUD661" s="735"/>
      <c r="LUE661" s="734"/>
      <c r="LUF661" s="733"/>
      <c r="LUG661" s="734"/>
      <c r="LUH661" s="735"/>
      <c r="LUI661" s="734"/>
      <c r="LUJ661" s="733"/>
      <c r="LUK661" s="734"/>
      <c r="LUL661" s="735"/>
      <c r="LUM661" s="734"/>
      <c r="LUN661" s="733"/>
      <c r="LUO661" s="734"/>
      <c r="LUP661" s="735"/>
      <c r="LUQ661" s="734"/>
      <c r="LUR661" s="733"/>
      <c r="LUS661" s="734"/>
      <c r="LUT661" s="735"/>
      <c r="LUU661" s="734"/>
      <c r="LUV661" s="733"/>
      <c r="LUW661" s="734"/>
      <c r="LUX661" s="735"/>
      <c r="LUY661" s="734"/>
      <c r="LUZ661" s="733"/>
      <c r="LVA661" s="734"/>
      <c r="LVB661" s="735"/>
      <c r="LVC661" s="734"/>
      <c r="LVD661" s="733"/>
      <c r="LVE661" s="734"/>
      <c r="LVF661" s="735"/>
      <c r="LVG661" s="734"/>
      <c r="LVH661" s="733"/>
      <c r="LVI661" s="734"/>
      <c r="LVJ661" s="735"/>
      <c r="LVK661" s="734"/>
      <c r="LVL661" s="733"/>
      <c r="LVM661" s="734"/>
      <c r="LVN661" s="735"/>
      <c r="LVO661" s="734"/>
      <c r="LVP661" s="733"/>
      <c r="LVQ661" s="734"/>
      <c r="LVR661" s="735"/>
      <c r="LVS661" s="734"/>
      <c r="LVT661" s="733"/>
      <c r="LVU661" s="734"/>
      <c r="LVV661" s="735"/>
      <c r="LVW661" s="734"/>
      <c r="LVX661" s="733"/>
      <c r="LVY661" s="734"/>
      <c r="LVZ661" s="735"/>
      <c r="LWA661" s="734"/>
      <c r="LWB661" s="733"/>
      <c r="LWC661" s="734"/>
      <c r="LWD661" s="735"/>
      <c r="LWE661" s="734"/>
      <c r="LWF661" s="733"/>
      <c r="LWG661" s="734"/>
      <c r="LWH661" s="735"/>
      <c r="LWI661" s="734"/>
      <c r="LWJ661" s="733"/>
      <c r="LWK661" s="734"/>
      <c r="LWL661" s="735"/>
      <c r="LWM661" s="734"/>
      <c r="LWN661" s="733"/>
      <c r="LWO661" s="734"/>
      <c r="LWP661" s="735"/>
      <c r="LWQ661" s="734"/>
      <c r="LWR661" s="733"/>
      <c r="LWS661" s="734"/>
      <c r="LWT661" s="735"/>
      <c r="LWU661" s="734"/>
      <c r="LWV661" s="733"/>
      <c r="LWW661" s="734"/>
      <c r="LWX661" s="735"/>
      <c r="LWY661" s="734"/>
      <c r="LWZ661" s="733"/>
      <c r="LXA661" s="734"/>
      <c r="LXB661" s="735"/>
      <c r="LXC661" s="734"/>
      <c r="LXD661" s="733"/>
      <c r="LXE661" s="734"/>
      <c r="LXF661" s="735"/>
      <c r="LXG661" s="734"/>
      <c r="LXH661" s="733"/>
      <c r="LXI661" s="734"/>
      <c r="LXJ661" s="735"/>
      <c r="LXK661" s="734"/>
      <c r="LXL661" s="733"/>
      <c r="LXM661" s="734"/>
      <c r="LXN661" s="735"/>
      <c r="LXO661" s="734"/>
      <c r="LXP661" s="733"/>
      <c r="LXQ661" s="734"/>
      <c r="LXR661" s="735"/>
      <c r="LXS661" s="734"/>
      <c r="LXT661" s="733"/>
      <c r="LXU661" s="734"/>
      <c r="LXV661" s="735"/>
      <c r="LXW661" s="734"/>
      <c r="LXX661" s="733"/>
      <c r="LXY661" s="734"/>
      <c r="LXZ661" s="735"/>
      <c r="LYA661" s="734"/>
      <c r="LYB661" s="733"/>
      <c r="LYC661" s="734"/>
      <c r="LYD661" s="735"/>
      <c r="LYE661" s="734"/>
      <c r="LYF661" s="733"/>
      <c r="LYG661" s="734"/>
      <c r="LYH661" s="735"/>
      <c r="LYI661" s="734"/>
      <c r="LYJ661" s="733"/>
      <c r="LYK661" s="734"/>
      <c r="LYL661" s="735"/>
      <c r="LYM661" s="734"/>
      <c r="LYN661" s="733"/>
      <c r="LYO661" s="734"/>
      <c r="LYP661" s="735"/>
      <c r="LYQ661" s="734"/>
      <c r="LYR661" s="733"/>
      <c r="LYS661" s="734"/>
      <c r="LYT661" s="735"/>
      <c r="LYU661" s="734"/>
      <c r="LYV661" s="733"/>
      <c r="LYW661" s="734"/>
      <c r="LYX661" s="735"/>
      <c r="LYY661" s="734"/>
      <c r="LYZ661" s="733"/>
      <c r="LZA661" s="734"/>
      <c r="LZB661" s="735"/>
      <c r="LZC661" s="734"/>
      <c r="LZD661" s="733"/>
      <c r="LZE661" s="734"/>
      <c r="LZF661" s="735"/>
      <c r="LZG661" s="734"/>
      <c r="LZH661" s="733"/>
      <c r="LZI661" s="734"/>
      <c r="LZJ661" s="735"/>
      <c r="LZK661" s="734"/>
      <c r="LZL661" s="733"/>
      <c r="LZM661" s="734"/>
      <c r="LZN661" s="735"/>
      <c r="LZO661" s="734"/>
      <c r="LZP661" s="733"/>
      <c r="LZQ661" s="734"/>
      <c r="LZR661" s="735"/>
      <c r="LZS661" s="734"/>
      <c r="LZT661" s="733"/>
      <c r="LZU661" s="734"/>
      <c r="LZV661" s="735"/>
      <c r="LZW661" s="734"/>
      <c r="LZX661" s="733"/>
      <c r="LZY661" s="734"/>
      <c r="LZZ661" s="735"/>
      <c r="MAA661" s="734"/>
      <c r="MAB661" s="733"/>
      <c r="MAC661" s="734"/>
      <c r="MAD661" s="735"/>
      <c r="MAE661" s="734"/>
      <c r="MAF661" s="733"/>
      <c r="MAG661" s="734"/>
      <c r="MAH661" s="735"/>
      <c r="MAI661" s="734"/>
      <c r="MAJ661" s="733"/>
      <c r="MAK661" s="734"/>
      <c r="MAL661" s="735"/>
      <c r="MAM661" s="734"/>
      <c r="MAN661" s="733"/>
      <c r="MAO661" s="734"/>
      <c r="MAP661" s="735"/>
      <c r="MAQ661" s="734"/>
      <c r="MAR661" s="733"/>
      <c r="MAS661" s="734"/>
      <c r="MAT661" s="735"/>
      <c r="MAU661" s="734"/>
      <c r="MAV661" s="733"/>
      <c r="MAW661" s="734"/>
      <c r="MAX661" s="735"/>
      <c r="MAY661" s="734"/>
      <c r="MAZ661" s="733"/>
      <c r="MBA661" s="734"/>
      <c r="MBB661" s="735"/>
      <c r="MBC661" s="734"/>
      <c r="MBD661" s="733"/>
      <c r="MBE661" s="734"/>
      <c r="MBF661" s="735"/>
      <c r="MBG661" s="734"/>
      <c r="MBH661" s="733"/>
      <c r="MBI661" s="734"/>
      <c r="MBJ661" s="735"/>
      <c r="MBK661" s="734"/>
      <c r="MBL661" s="733"/>
      <c r="MBM661" s="734"/>
      <c r="MBN661" s="735"/>
      <c r="MBO661" s="734"/>
      <c r="MBP661" s="733"/>
      <c r="MBQ661" s="734"/>
      <c r="MBR661" s="735"/>
      <c r="MBS661" s="734"/>
      <c r="MBT661" s="733"/>
      <c r="MBU661" s="734"/>
      <c r="MBV661" s="735"/>
      <c r="MBW661" s="734"/>
      <c r="MBX661" s="733"/>
      <c r="MBY661" s="734"/>
      <c r="MBZ661" s="735"/>
      <c r="MCA661" s="734"/>
      <c r="MCB661" s="733"/>
      <c r="MCC661" s="734"/>
      <c r="MCD661" s="735"/>
      <c r="MCE661" s="734"/>
      <c r="MCF661" s="733"/>
      <c r="MCG661" s="734"/>
      <c r="MCH661" s="735"/>
      <c r="MCI661" s="734"/>
      <c r="MCJ661" s="733"/>
      <c r="MCK661" s="734"/>
      <c r="MCL661" s="735"/>
      <c r="MCM661" s="734"/>
      <c r="MCN661" s="733"/>
      <c r="MCO661" s="734"/>
      <c r="MCP661" s="735"/>
      <c r="MCQ661" s="734"/>
      <c r="MCR661" s="733"/>
      <c r="MCS661" s="734"/>
      <c r="MCT661" s="735"/>
      <c r="MCU661" s="734"/>
      <c r="MCV661" s="733"/>
      <c r="MCW661" s="734"/>
      <c r="MCX661" s="735"/>
      <c r="MCY661" s="734"/>
      <c r="MCZ661" s="733"/>
      <c r="MDA661" s="734"/>
      <c r="MDB661" s="735"/>
      <c r="MDC661" s="734"/>
      <c r="MDD661" s="733"/>
      <c r="MDE661" s="734"/>
      <c r="MDF661" s="735"/>
      <c r="MDG661" s="734"/>
      <c r="MDH661" s="733"/>
      <c r="MDI661" s="734"/>
      <c r="MDJ661" s="735"/>
      <c r="MDK661" s="734"/>
      <c r="MDL661" s="733"/>
      <c r="MDM661" s="734"/>
      <c r="MDN661" s="735"/>
      <c r="MDO661" s="734"/>
      <c r="MDP661" s="733"/>
      <c r="MDQ661" s="734"/>
      <c r="MDR661" s="735"/>
      <c r="MDS661" s="734"/>
      <c r="MDT661" s="733"/>
      <c r="MDU661" s="734"/>
      <c r="MDV661" s="735"/>
      <c r="MDW661" s="734"/>
      <c r="MDX661" s="733"/>
      <c r="MDY661" s="734"/>
      <c r="MDZ661" s="735"/>
      <c r="MEA661" s="734"/>
      <c r="MEB661" s="733"/>
      <c r="MEC661" s="734"/>
      <c r="MED661" s="735"/>
      <c r="MEE661" s="734"/>
      <c r="MEF661" s="733"/>
      <c r="MEG661" s="734"/>
      <c r="MEH661" s="735"/>
      <c r="MEI661" s="734"/>
      <c r="MEJ661" s="733"/>
      <c r="MEK661" s="734"/>
      <c r="MEL661" s="735"/>
      <c r="MEM661" s="734"/>
      <c r="MEN661" s="733"/>
      <c r="MEO661" s="734"/>
      <c r="MEP661" s="735"/>
      <c r="MEQ661" s="734"/>
      <c r="MER661" s="733"/>
      <c r="MES661" s="734"/>
      <c r="MET661" s="735"/>
      <c r="MEU661" s="734"/>
      <c r="MEV661" s="733"/>
      <c r="MEW661" s="734"/>
      <c r="MEX661" s="735"/>
      <c r="MEY661" s="734"/>
      <c r="MEZ661" s="733"/>
      <c r="MFA661" s="734"/>
      <c r="MFB661" s="735"/>
      <c r="MFC661" s="734"/>
      <c r="MFD661" s="733"/>
      <c r="MFE661" s="734"/>
      <c r="MFF661" s="735"/>
      <c r="MFG661" s="734"/>
      <c r="MFH661" s="733"/>
      <c r="MFI661" s="734"/>
      <c r="MFJ661" s="735"/>
      <c r="MFK661" s="734"/>
      <c r="MFL661" s="733"/>
      <c r="MFM661" s="734"/>
      <c r="MFN661" s="735"/>
      <c r="MFO661" s="734"/>
      <c r="MFP661" s="733"/>
      <c r="MFQ661" s="734"/>
      <c r="MFR661" s="735"/>
      <c r="MFS661" s="734"/>
      <c r="MFT661" s="733"/>
      <c r="MFU661" s="734"/>
      <c r="MFV661" s="735"/>
      <c r="MFW661" s="734"/>
      <c r="MFX661" s="733"/>
      <c r="MFY661" s="734"/>
      <c r="MFZ661" s="735"/>
      <c r="MGA661" s="734"/>
      <c r="MGB661" s="733"/>
      <c r="MGC661" s="734"/>
      <c r="MGD661" s="735"/>
      <c r="MGE661" s="734"/>
      <c r="MGF661" s="733"/>
      <c r="MGG661" s="734"/>
      <c r="MGH661" s="735"/>
      <c r="MGI661" s="734"/>
      <c r="MGJ661" s="733"/>
      <c r="MGK661" s="734"/>
      <c r="MGL661" s="735"/>
      <c r="MGM661" s="734"/>
      <c r="MGN661" s="733"/>
      <c r="MGO661" s="734"/>
      <c r="MGP661" s="735"/>
      <c r="MGQ661" s="734"/>
      <c r="MGR661" s="733"/>
      <c r="MGS661" s="734"/>
      <c r="MGT661" s="735"/>
      <c r="MGU661" s="734"/>
      <c r="MGV661" s="733"/>
      <c r="MGW661" s="734"/>
      <c r="MGX661" s="735"/>
      <c r="MGY661" s="734"/>
      <c r="MGZ661" s="733"/>
      <c r="MHA661" s="734"/>
      <c r="MHB661" s="735"/>
      <c r="MHC661" s="734"/>
      <c r="MHD661" s="733"/>
      <c r="MHE661" s="734"/>
      <c r="MHF661" s="735"/>
      <c r="MHG661" s="734"/>
      <c r="MHH661" s="733"/>
      <c r="MHI661" s="734"/>
      <c r="MHJ661" s="735"/>
      <c r="MHK661" s="734"/>
      <c r="MHL661" s="733"/>
      <c r="MHM661" s="734"/>
      <c r="MHN661" s="735"/>
      <c r="MHO661" s="734"/>
      <c r="MHP661" s="733"/>
      <c r="MHQ661" s="734"/>
      <c r="MHR661" s="735"/>
      <c r="MHS661" s="734"/>
      <c r="MHT661" s="733"/>
      <c r="MHU661" s="734"/>
      <c r="MHV661" s="735"/>
      <c r="MHW661" s="734"/>
      <c r="MHX661" s="733"/>
      <c r="MHY661" s="734"/>
      <c r="MHZ661" s="735"/>
      <c r="MIA661" s="734"/>
      <c r="MIB661" s="733"/>
      <c r="MIC661" s="734"/>
      <c r="MID661" s="735"/>
      <c r="MIE661" s="734"/>
      <c r="MIF661" s="733"/>
      <c r="MIG661" s="734"/>
      <c r="MIH661" s="735"/>
      <c r="MII661" s="734"/>
      <c r="MIJ661" s="733"/>
      <c r="MIK661" s="734"/>
      <c r="MIL661" s="735"/>
      <c r="MIM661" s="734"/>
      <c r="MIN661" s="733"/>
      <c r="MIO661" s="734"/>
      <c r="MIP661" s="735"/>
      <c r="MIQ661" s="734"/>
      <c r="MIR661" s="733"/>
      <c r="MIS661" s="734"/>
      <c r="MIT661" s="735"/>
      <c r="MIU661" s="734"/>
      <c r="MIV661" s="733"/>
      <c r="MIW661" s="734"/>
      <c r="MIX661" s="735"/>
      <c r="MIY661" s="734"/>
      <c r="MIZ661" s="733"/>
      <c r="MJA661" s="734"/>
      <c r="MJB661" s="735"/>
      <c r="MJC661" s="734"/>
      <c r="MJD661" s="733"/>
      <c r="MJE661" s="734"/>
      <c r="MJF661" s="735"/>
      <c r="MJG661" s="734"/>
      <c r="MJH661" s="733"/>
      <c r="MJI661" s="734"/>
      <c r="MJJ661" s="735"/>
      <c r="MJK661" s="734"/>
      <c r="MJL661" s="733"/>
      <c r="MJM661" s="734"/>
      <c r="MJN661" s="735"/>
      <c r="MJO661" s="734"/>
      <c r="MJP661" s="733"/>
      <c r="MJQ661" s="734"/>
      <c r="MJR661" s="735"/>
      <c r="MJS661" s="734"/>
      <c r="MJT661" s="733"/>
      <c r="MJU661" s="734"/>
      <c r="MJV661" s="735"/>
      <c r="MJW661" s="734"/>
      <c r="MJX661" s="733"/>
      <c r="MJY661" s="734"/>
      <c r="MJZ661" s="735"/>
      <c r="MKA661" s="734"/>
      <c r="MKB661" s="733"/>
      <c r="MKC661" s="734"/>
      <c r="MKD661" s="735"/>
      <c r="MKE661" s="734"/>
      <c r="MKF661" s="733"/>
      <c r="MKG661" s="734"/>
      <c r="MKH661" s="735"/>
      <c r="MKI661" s="734"/>
      <c r="MKJ661" s="733"/>
      <c r="MKK661" s="734"/>
      <c r="MKL661" s="735"/>
      <c r="MKM661" s="734"/>
      <c r="MKN661" s="733"/>
      <c r="MKO661" s="734"/>
      <c r="MKP661" s="735"/>
      <c r="MKQ661" s="734"/>
      <c r="MKR661" s="733"/>
      <c r="MKS661" s="734"/>
      <c r="MKT661" s="735"/>
      <c r="MKU661" s="734"/>
      <c r="MKV661" s="733"/>
      <c r="MKW661" s="734"/>
      <c r="MKX661" s="735"/>
      <c r="MKY661" s="734"/>
      <c r="MKZ661" s="733"/>
      <c r="MLA661" s="734"/>
      <c r="MLB661" s="735"/>
      <c r="MLC661" s="734"/>
      <c r="MLD661" s="733"/>
      <c r="MLE661" s="734"/>
      <c r="MLF661" s="735"/>
      <c r="MLG661" s="734"/>
      <c r="MLH661" s="733"/>
      <c r="MLI661" s="734"/>
      <c r="MLJ661" s="735"/>
      <c r="MLK661" s="734"/>
      <c r="MLL661" s="733"/>
      <c r="MLM661" s="734"/>
      <c r="MLN661" s="735"/>
      <c r="MLO661" s="734"/>
      <c r="MLP661" s="733"/>
      <c r="MLQ661" s="734"/>
      <c r="MLR661" s="735"/>
      <c r="MLS661" s="734"/>
      <c r="MLT661" s="733"/>
      <c r="MLU661" s="734"/>
      <c r="MLV661" s="735"/>
      <c r="MLW661" s="734"/>
      <c r="MLX661" s="733"/>
      <c r="MLY661" s="734"/>
      <c r="MLZ661" s="735"/>
      <c r="MMA661" s="734"/>
      <c r="MMB661" s="733"/>
      <c r="MMC661" s="734"/>
      <c r="MMD661" s="735"/>
      <c r="MME661" s="734"/>
      <c r="MMF661" s="733"/>
      <c r="MMG661" s="734"/>
      <c r="MMH661" s="735"/>
      <c r="MMI661" s="734"/>
      <c r="MMJ661" s="733"/>
      <c r="MMK661" s="734"/>
      <c r="MML661" s="735"/>
      <c r="MMM661" s="734"/>
      <c r="MMN661" s="733"/>
      <c r="MMO661" s="734"/>
      <c r="MMP661" s="735"/>
      <c r="MMQ661" s="734"/>
      <c r="MMR661" s="733"/>
      <c r="MMS661" s="734"/>
      <c r="MMT661" s="735"/>
      <c r="MMU661" s="734"/>
      <c r="MMV661" s="733"/>
      <c r="MMW661" s="734"/>
      <c r="MMX661" s="735"/>
      <c r="MMY661" s="734"/>
      <c r="MMZ661" s="733"/>
      <c r="MNA661" s="734"/>
      <c r="MNB661" s="735"/>
      <c r="MNC661" s="734"/>
      <c r="MND661" s="733"/>
      <c r="MNE661" s="734"/>
      <c r="MNF661" s="735"/>
      <c r="MNG661" s="734"/>
      <c r="MNH661" s="733"/>
      <c r="MNI661" s="734"/>
      <c r="MNJ661" s="735"/>
      <c r="MNK661" s="734"/>
      <c r="MNL661" s="733"/>
      <c r="MNM661" s="734"/>
      <c r="MNN661" s="735"/>
      <c r="MNO661" s="734"/>
      <c r="MNP661" s="733"/>
      <c r="MNQ661" s="734"/>
      <c r="MNR661" s="735"/>
      <c r="MNS661" s="734"/>
      <c r="MNT661" s="733"/>
      <c r="MNU661" s="734"/>
      <c r="MNV661" s="735"/>
      <c r="MNW661" s="734"/>
      <c r="MNX661" s="733"/>
      <c r="MNY661" s="734"/>
      <c r="MNZ661" s="735"/>
      <c r="MOA661" s="734"/>
      <c r="MOB661" s="733"/>
      <c r="MOC661" s="734"/>
      <c r="MOD661" s="735"/>
      <c r="MOE661" s="734"/>
      <c r="MOF661" s="733"/>
      <c r="MOG661" s="734"/>
      <c r="MOH661" s="735"/>
      <c r="MOI661" s="734"/>
      <c r="MOJ661" s="733"/>
      <c r="MOK661" s="734"/>
      <c r="MOL661" s="735"/>
      <c r="MOM661" s="734"/>
      <c r="MON661" s="733"/>
      <c r="MOO661" s="734"/>
      <c r="MOP661" s="735"/>
      <c r="MOQ661" s="734"/>
      <c r="MOR661" s="733"/>
      <c r="MOS661" s="734"/>
      <c r="MOT661" s="735"/>
      <c r="MOU661" s="734"/>
      <c r="MOV661" s="733"/>
      <c r="MOW661" s="734"/>
      <c r="MOX661" s="735"/>
      <c r="MOY661" s="734"/>
      <c r="MOZ661" s="733"/>
      <c r="MPA661" s="734"/>
      <c r="MPB661" s="735"/>
      <c r="MPC661" s="734"/>
      <c r="MPD661" s="733"/>
      <c r="MPE661" s="734"/>
      <c r="MPF661" s="735"/>
      <c r="MPG661" s="734"/>
      <c r="MPH661" s="733"/>
      <c r="MPI661" s="734"/>
      <c r="MPJ661" s="735"/>
      <c r="MPK661" s="734"/>
      <c r="MPL661" s="733"/>
      <c r="MPM661" s="734"/>
      <c r="MPN661" s="735"/>
      <c r="MPO661" s="734"/>
      <c r="MPP661" s="733"/>
      <c r="MPQ661" s="734"/>
      <c r="MPR661" s="735"/>
      <c r="MPS661" s="734"/>
      <c r="MPT661" s="733"/>
      <c r="MPU661" s="734"/>
      <c r="MPV661" s="735"/>
      <c r="MPW661" s="734"/>
      <c r="MPX661" s="733"/>
      <c r="MPY661" s="734"/>
      <c r="MPZ661" s="735"/>
      <c r="MQA661" s="734"/>
      <c r="MQB661" s="733"/>
      <c r="MQC661" s="734"/>
      <c r="MQD661" s="735"/>
      <c r="MQE661" s="734"/>
      <c r="MQF661" s="733"/>
      <c r="MQG661" s="734"/>
      <c r="MQH661" s="735"/>
      <c r="MQI661" s="734"/>
      <c r="MQJ661" s="733"/>
      <c r="MQK661" s="734"/>
      <c r="MQL661" s="735"/>
      <c r="MQM661" s="734"/>
      <c r="MQN661" s="733"/>
      <c r="MQO661" s="734"/>
      <c r="MQP661" s="735"/>
      <c r="MQQ661" s="734"/>
      <c r="MQR661" s="733"/>
      <c r="MQS661" s="734"/>
      <c r="MQT661" s="735"/>
      <c r="MQU661" s="734"/>
      <c r="MQV661" s="733"/>
      <c r="MQW661" s="734"/>
      <c r="MQX661" s="735"/>
      <c r="MQY661" s="734"/>
      <c r="MQZ661" s="733"/>
      <c r="MRA661" s="734"/>
      <c r="MRB661" s="735"/>
      <c r="MRC661" s="734"/>
      <c r="MRD661" s="733"/>
      <c r="MRE661" s="734"/>
      <c r="MRF661" s="735"/>
      <c r="MRG661" s="734"/>
      <c r="MRH661" s="733"/>
      <c r="MRI661" s="734"/>
      <c r="MRJ661" s="735"/>
      <c r="MRK661" s="734"/>
      <c r="MRL661" s="733"/>
      <c r="MRM661" s="734"/>
      <c r="MRN661" s="735"/>
      <c r="MRO661" s="734"/>
      <c r="MRP661" s="733"/>
      <c r="MRQ661" s="734"/>
      <c r="MRR661" s="735"/>
      <c r="MRS661" s="734"/>
      <c r="MRT661" s="733"/>
      <c r="MRU661" s="734"/>
      <c r="MRV661" s="735"/>
      <c r="MRW661" s="734"/>
      <c r="MRX661" s="733"/>
      <c r="MRY661" s="734"/>
      <c r="MRZ661" s="735"/>
      <c r="MSA661" s="734"/>
      <c r="MSB661" s="733"/>
      <c r="MSC661" s="734"/>
      <c r="MSD661" s="735"/>
      <c r="MSE661" s="734"/>
      <c r="MSF661" s="733"/>
      <c r="MSG661" s="734"/>
      <c r="MSH661" s="735"/>
      <c r="MSI661" s="734"/>
      <c r="MSJ661" s="733"/>
      <c r="MSK661" s="734"/>
      <c r="MSL661" s="735"/>
      <c r="MSM661" s="734"/>
      <c r="MSN661" s="733"/>
      <c r="MSO661" s="734"/>
      <c r="MSP661" s="735"/>
      <c r="MSQ661" s="734"/>
      <c r="MSR661" s="733"/>
      <c r="MSS661" s="734"/>
      <c r="MST661" s="735"/>
      <c r="MSU661" s="734"/>
      <c r="MSV661" s="733"/>
      <c r="MSW661" s="734"/>
      <c r="MSX661" s="735"/>
      <c r="MSY661" s="734"/>
      <c r="MSZ661" s="733"/>
      <c r="MTA661" s="734"/>
      <c r="MTB661" s="735"/>
      <c r="MTC661" s="734"/>
      <c r="MTD661" s="733"/>
      <c r="MTE661" s="734"/>
      <c r="MTF661" s="735"/>
      <c r="MTG661" s="734"/>
      <c r="MTH661" s="733"/>
      <c r="MTI661" s="734"/>
      <c r="MTJ661" s="735"/>
      <c r="MTK661" s="734"/>
      <c r="MTL661" s="733"/>
      <c r="MTM661" s="734"/>
      <c r="MTN661" s="735"/>
      <c r="MTO661" s="734"/>
      <c r="MTP661" s="733"/>
      <c r="MTQ661" s="734"/>
      <c r="MTR661" s="735"/>
      <c r="MTS661" s="734"/>
      <c r="MTT661" s="733"/>
      <c r="MTU661" s="734"/>
      <c r="MTV661" s="735"/>
      <c r="MTW661" s="734"/>
      <c r="MTX661" s="733"/>
      <c r="MTY661" s="734"/>
      <c r="MTZ661" s="735"/>
      <c r="MUA661" s="734"/>
      <c r="MUB661" s="733"/>
      <c r="MUC661" s="734"/>
      <c r="MUD661" s="735"/>
      <c r="MUE661" s="734"/>
      <c r="MUF661" s="733"/>
      <c r="MUG661" s="734"/>
      <c r="MUH661" s="735"/>
      <c r="MUI661" s="734"/>
      <c r="MUJ661" s="733"/>
      <c r="MUK661" s="734"/>
      <c r="MUL661" s="735"/>
      <c r="MUM661" s="734"/>
      <c r="MUN661" s="733"/>
      <c r="MUO661" s="734"/>
      <c r="MUP661" s="735"/>
      <c r="MUQ661" s="734"/>
      <c r="MUR661" s="733"/>
      <c r="MUS661" s="734"/>
      <c r="MUT661" s="735"/>
      <c r="MUU661" s="734"/>
      <c r="MUV661" s="733"/>
      <c r="MUW661" s="734"/>
      <c r="MUX661" s="735"/>
      <c r="MUY661" s="734"/>
      <c r="MUZ661" s="733"/>
      <c r="MVA661" s="734"/>
      <c r="MVB661" s="735"/>
      <c r="MVC661" s="734"/>
      <c r="MVD661" s="733"/>
      <c r="MVE661" s="734"/>
      <c r="MVF661" s="735"/>
      <c r="MVG661" s="734"/>
      <c r="MVH661" s="733"/>
      <c r="MVI661" s="734"/>
      <c r="MVJ661" s="735"/>
      <c r="MVK661" s="734"/>
      <c r="MVL661" s="733"/>
      <c r="MVM661" s="734"/>
      <c r="MVN661" s="735"/>
      <c r="MVO661" s="734"/>
      <c r="MVP661" s="733"/>
      <c r="MVQ661" s="734"/>
      <c r="MVR661" s="735"/>
      <c r="MVS661" s="734"/>
      <c r="MVT661" s="733"/>
      <c r="MVU661" s="734"/>
      <c r="MVV661" s="735"/>
      <c r="MVW661" s="734"/>
      <c r="MVX661" s="733"/>
      <c r="MVY661" s="734"/>
      <c r="MVZ661" s="735"/>
      <c r="MWA661" s="734"/>
      <c r="MWB661" s="733"/>
      <c r="MWC661" s="734"/>
      <c r="MWD661" s="735"/>
      <c r="MWE661" s="734"/>
      <c r="MWF661" s="733"/>
      <c r="MWG661" s="734"/>
      <c r="MWH661" s="735"/>
      <c r="MWI661" s="734"/>
      <c r="MWJ661" s="733"/>
      <c r="MWK661" s="734"/>
      <c r="MWL661" s="735"/>
      <c r="MWM661" s="734"/>
      <c r="MWN661" s="733"/>
      <c r="MWO661" s="734"/>
      <c r="MWP661" s="735"/>
      <c r="MWQ661" s="734"/>
      <c r="MWR661" s="733"/>
      <c r="MWS661" s="734"/>
      <c r="MWT661" s="735"/>
      <c r="MWU661" s="734"/>
      <c r="MWV661" s="733"/>
      <c r="MWW661" s="734"/>
      <c r="MWX661" s="735"/>
      <c r="MWY661" s="734"/>
      <c r="MWZ661" s="733"/>
      <c r="MXA661" s="734"/>
      <c r="MXB661" s="735"/>
      <c r="MXC661" s="734"/>
      <c r="MXD661" s="733"/>
      <c r="MXE661" s="734"/>
      <c r="MXF661" s="735"/>
      <c r="MXG661" s="734"/>
      <c r="MXH661" s="733"/>
      <c r="MXI661" s="734"/>
      <c r="MXJ661" s="735"/>
      <c r="MXK661" s="734"/>
      <c r="MXL661" s="733"/>
      <c r="MXM661" s="734"/>
      <c r="MXN661" s="735"/>
      <c r="MXO661" s="734"/>
      <c r="MXP661" s="733"/>
      <c r="MXQ661" s="734"/>
      <c r="MXR661" s="735"/>
      <c r="MXS661" s="734"/>
      <c r="MXT661" s="733"/>
      <c r="MXU661" s="734"/>
      <c r="MXV661" s="735"/>
      <c r="MXW661" s="734"/>
      <c r="MXX661" s="733"/>
      <c r="MXY661" s="734"/>
      <c r="MXZ661" s="735"/>
      <c r="MYA661" s="734"/>
      <c r="MYB661" s="733"/>
      <c r="MYC661" s="734"/>
      <c r="MYD661" s="735"/>
      <c r="MYE661" s="734"/>
      <c r="MYF661" s="733"/>
      <c r="MYG661" s="734"/>
      <c r="MYH661" s="735"/>
      <c r="MYI661" s="734"/>
      <c r="MYJ661" s="733"/>
      <c r="MYK661" s="734"/>
      <c r="MYL661" s="735"/>
      <c r="MYM661" s="734"/>
      <c r="MYN661" s="733"/>
      <c r="MYO661" s="734"/>
      <c r="MYP661" s="735"/>
      <c r="MYQ661" s="734"/>
      <c r="MYR661" s="733"/>
      <c r="MYS661" s="734"/>
      <c r="MYT661" s="735"/>
      <c r="MYU661" s="734"/>
      <c r="MYV661" s="733"/>
      <c r="MYW661" s="734"/>
      <c r="MYX661" s="735"/>
      <c r="MYY661" s="734"/>
      <c r="MYZ661" s="733"/>
      <c r="MZA661" s="734"/>
      <c r="MZB661" s="735"/>
      <c r="MZC661" s="734"/>
      <c r="MZD661" s="733"/>
      <c r="MZE661" s="734"/>
      <c r="MZF661" s="735"/>
      <c r="MZG661" s="734"/>
      <c r="MZH661" s="733"/>
      <c r="MZI661" s="734"/>
      <c r="MZJ661" s="735"/>
      <c r="MZK661" s="734"/>
      <c r="MZL661" s="733"/>
      <c r="MZM661" s="734"/>
      <c r="MZN661" s="735"/>
      <c r="MZO661" s="734"/>
      <c r="MZP661" s="733"/>
      <c r="MZQ661" s="734"/>
      <c r="MZR661" s="735"/>
      <c r="MZS661" s="734"/>
      <c r="MZT661" s="733"/>
      <c r="MZU661" s="734"/>
      <c r="MZV661" s="735"/>
      <c r="MZW661" s="734"/>
      <c r="MZX661" s="733"/>
      <c r="MZY661" s="734"/>
      <c r="MZZ661" s="735"/>
      <c r="NAA661" s="734"/>
      <c r="NAB661" s="733"/>
      <c r="NAC661" s="734"/>
      <c r="NAD661" s="735"/>
      <c r="NAE661" s="734"/>
      <c r="NAF661" s="733"/>
      <c r="NAG661" s="734"/>
      <c r="NAH661" s="735"/>
      <c r="NAI661" s="734"/>
      <c r="NAJ661" s="733"/>
      <c r="NAK661" s="734"/>
      <c r="NAL661" s="735"/>
      <c r="NAM661" s="734"/>
      <c r="NAN661" s="733"/>
      <c r="NAO661" s="734"/>
      <c r="NAP661" s="735"/>
      <c r="NAQ661" s="734"/>
      <c r="NAR661" s="733"/>
      <c r="NAS661" s="734"/>
      <c r="NAT661" s="735"/>
      <c r="NAU661" s="734"/>
      <c r="NAV661" s="733"/>
      <c r="NAW661" s="734"/>
      <c r="NAX661" s="735"/>
      <c r="NAY661" s="734"/>
      <c r="NAZ661" s="733"/>
      <c r="NBA661" s="734"/>
      <c r="NBB661" s="735"/>
      <c r="NBC661" s="734"/>
      <c r="NBD661" s="733"/>
      <c r="NBE661" s="734"/>
      <c r="NBF661" s="735"/>
      <c r="NBG661" s="734"/>
      <c r="NBH661" s="733"/>
      <c r="NBI661" s="734"/>
      <c r="NBJ661" s="735"/>
      <c r="NBK661" s="734"/>
      <c r="NBL661" s="733"/>
      <c r="NBM661" s="734"/>
      <c r="NBN661" s="735"/>
      <c r="NBO661" s="734"/>
      <c r="NBP661" s="733"/>
      <c r="NBQ661" s="734"/>
      <c r="NBR661" s="735"/>
      <c r="NBS661" s="734"/>
      <c r="NBT661" s="733"/>
      <c r="NBU661" s="734"/>
      <c r="NBV661" s="735"/>
      <c r="NBW661" s="734"/>
      <c r="NBX661" s="733"/>
      <c r="NBY661" s="734"/>
      <c r="NBZ661" s="735"/>
      <c r="NCA661" s="734"/>
      <c r="NCB661" s="733"/>
      <c r="NCC661" s="734"/>
      <c r="NCD661" s="735"/>
      <c r="NCE661" s="734"/>
      <c r="NCF661" s="733"/>
      <c r="NCG661" s="734"/>
      <c r="NCH661" s="735"/>
      <c r="NCI661" s="734"/>
      <c r="NCJ661" s="733"/>
      <c r="NCK661" s="734"/>
      <c r="NCL661" s="735"/>
      <c r="NCM661" s="734"/>
      <c r="NCN661" s="733"/>
      <c r="NCO661" s="734"/>
      <c r="NCP661" s="735"/>
      <c r="NCQ661" s="734"/>
      <c r="NCR661" s="733"/>
      <c r="NCS661" s="734"/>
      <c r="NCT661" s="735"/>
      <c r="NCU661" s="734"/>
      <c r="NCV661" s="733"/>
      <c r="NCW661" s="734"/>
      <c r="NCX661" s="735"/>
      <c r="NCY661" s="734"/>
      <c r="NCZ661" s="733"/>
      <c r="NDA661" s="734"/>
      <c r="NDB661" s="735"/>
      <c r="NDC661" s="734"/>
      <c r="NDD661" s="733"/>
      <c r="NDE661" s="734"/>
      <c r="NDF661" s="735"/>
      <c r="NDG661" s="734"/>
      <c r="NDH661" s="733"/>
      <c r="NDI661" s="734"/>
      <c r="NDJ661" s="735"/>
      <c r="NDK661" s="734"/>
      <c r="NDL661" s="733"/>
      <c r="NDM661" s="734"/>
      <c r="NDN661" s="735"/>
      <c r="NDO661" s="734"/>
      <c r="NDP661" s="733"/>
      <c r="NDQ661" s="734"/>
      <c r="NDR661" s="735"/>
      <c r="NDS661" s="734"/>
      <c r="NDT661" s="733"/>
      <c r="NDU661" s="734"/>
      <c r="NDV661" s="735"/>
      <c r="NDW661" s="734"/>
      <c r="NDX661" s="733"/>
      <c r="NDY661" s="734"/>
      <c r="NDZ661" s="735"/>
      <c r="NEA661" s="734"/>
      <c r="NEB661" s="733"/>
      <c r="NEC661" s="734"/>
      <c r="NED661" s="735"/>
      <c r="NEE661" s="734"/>
      <c r="NEF661" s="733"/>
      <c r="NEG661" s="734"/>
      <c r="NEH661" s="735"/>
      <c r="NEI661" s="734"/>
      <c r="NEJ661" s="733"/>
      <c r="NEK661" s="734"/>
      <c r="NEL661" s="735"/>
      <c r="NEM661" s="734"/>
      <c r="NEN661" s="733"/>
      <c r="NEO661" s="734"/>
      <c r="NEP661" s="735"/>
      <c r="NEQ661" s="734"/>
      <c r="NER661" s="733"/>
      <c r="NES661" s="734"/>
      <c r="NET661" s="735"/>
      <c r="NEU661" s="734"/>
      <c r="NEV661" s="733"/>
      <c r="NEW661" s="734"/>
      <c r="NEX661" s="735"/>
      <c r="NEY661" s="734"/>
      <c r="NEZ661" s="733"/>
      <c r="NFA661" s="734"/>
      <c r="NFB661" s="735"/>
      <c r="NFC661" s="734"/>
      <c r="NFD661" s="733"/>
      <c r="NFE661" s="734"/>
      <c r="NFF661" s="735"/>
      <c r="NFG661" s="734"/>
      <c r="NFH661" s="733"/>
      <c r="NFI661" s="734"/>
      <c r="NFJ661" s="735"/>
      <c r="NFK661" s="734"/>
      <c r="NFL661" s="733"/>
      <c r="NFM661" s="734"/>
      <c r="NFN661" s="735"/>
      <c r="NFO661" s="734"/>
      <c r="NFP661" s="733"/>
      <c r="NFQ661" s="734"/>
      <c r="NFR661" s="735"/>
      <c r="NFS661" s="734"/>
      <c r="NFT661" s="733"/>
      <c r="NFU661" s="734"/>
      <c r="NFV661" s="735"/>
      <c r="NFW661" s="734"/>
      <c r="NFX661" s="733"/>
      <c r="NFY661" s="734"/>
      <c r="NFZ661" s="735"/>
      <c r="NGA661" s="734"/>
      <c r="NGB661" s="733"/>
      <c r="NGC661" s="734"/>
      <c r="NGD661" s="735"/>
      <c r="NGE661" s="734"/>
      <c r="NGF661" s="733"/>
      <c r="NGG661" s="734"/>
      <c r="NGH661" s="735"/>
      <c r="NGI661" s="734"/>
      <c r="NGJ661" s="733"/>
      <c r="NGK661" s="734"/>
      <c r="NGL661" s="735"/>
      <c r="NGM661" s="734"/>
      <c r="NGN661" s="733"/>
      <c r="NGO661" s="734"/>
      <c r="NGP661" s="735"/>
      <c r="NGQ661" s="734"/>
      <c r="NGR661" s="733"/>
      <c r="NGS661" s="734"/>
      <c r="NGT661" s="735"/>
      <c r="NGU661" s="734"/>
      <c r="NGV661" s="733"/>
      <c r="NGW661" s="734"/>
      <c r="NGX661" s="735"/>
      <c r="NGY661" s="734"/>
      <c r="NGZ661" s="733"/>
      <c r="NHA661" s="734"/>
      <c r="NHB661" s="735"/>
      <c r="NHC661" s="734"/>
      <c r="NHD661" s="733"/>
      <c r="NHE661" s="734"/>
      <c r="NHF661" s="735"/>
      <c r="NHG661" s="734"/>
      <c r="NHH661" s="733"/>
      <c r="NHI661" s="734"/>
      <c r="NHJ661" s="735"/>
      <c r="NHK661" s="734"/>
      <c r="NHL661" s="733"/>
      <c r="NHM661" s="734"/>
      <c r="NHN661" s="735"/>
      <c r="NHO661" s="734"/>
      <c r="NHP661" s="733"/>
      <c r="NHQ661" s="734"/>
      <c r="NHR661" s="735"/>
      <c r="NHS661" s="734"/>
      <c r="NHT661" s="733"/>
      <c r="NHU661" s="734"/>
      <c r="NHV661" s="735"/>
      <c r="NHW661" s="734"/>
      <c r="NHX661" s="733"/>
      <c r="NHY661" s="734"/>
      <c r="NHZ661" s="735"/>
      <c r="NIA661" s="734"/>
      <c r="NIB661" s="733"/>
      <c r="NIC661" s="734"/>
      <c r="NID661" s="735"/>
      <c r="NIE661" s="734"/>
      <c r="NIF661" s="733"/>
      <c r="NIG661" s="734"/>
      <c r="NIH661" s="735"/>
      <c r="NII661" s="734"/>
      <c r="NIJ661" s="733"/>
      <c r="NIK661" s="734"/>
      <c r="NIL661" s="735"/>
      <c r="NIM661" s="734"/>
      <c r="NIN661" s="733"/>
      <c r="NIO661" s="734"/>
      <c r="NIP661" s="735"/>
      <c r="NIQ661" s="734"/>
      <c r="NIR661" s="733"/>
      <c r="NIS661" s="734"/>
      <c r="NIT661" s="735"/>
      <c r="NIU661" s="734"/>
      <c r="NIV661" s="733"/>
      <c r="NIW661" s="734"/>
      <c r="NIX661" s="735"/>
      <c r="NIY661" s="734"/>
      <c r="NIZ661" s="733"/>
      <c r="NJA661" s="734"/>
      <c r="NJB661" s="735"/>
      <c r="NJC661" s="734"/>
      <c r="NJD661" s="733"/>
      <c r="NJE661" s="734"/>
      <c r="NJF661" s="735"/>
      <c r="NJG661" s="734"/>
      <c r="NJH661" s="733"/>
      <c r="NJI661" s="734"/>
      <c r="NJJ661" s="735"/>
      <c r="NJK661" s="734"/>
      <c r="NJL661" s="733"/>
      <c r="NJM661" s="734"/>
      <c r="NJN661" s="735"/>
      <c r="NJO661" s="734"/>
      <c r="NJP661" s="733"/>
      <c r="NJQ661" s="734"/>
      <c r="NJR661" s="735"/>
      <c r="NJS661" s="734"/>
      <c r="NJT661" s="733"/>
      <c r="NJU661" s="734"/>
      <c r="NJV661" s="735"/>
      <c r="NJW661" s="734"/>
      <c r="NJX661" s="733"/>
      <c r="NJY661" s="734"/>
      <c r="NJZ661" s="735"/>
      <c r="NKA661" s="734"/>
      <c r="NKB661" s="733"/>
      <c r="NKC661" s="734"/>
      <c r="NKD661" s="735"/>
      <c r="NKE661" s="734"/>
      <c r="NKF661" s="733"/>
      <c r="NKG661" s="734"/>
      <c r="NKH661" s="735"/>
      <c r="NKI661" s="734"/>
      <c r="NKJ661" s="733"/>
      <c r="NKK661" s="734"/>
      <c r="NKL661" s="735"/>
      <c r="NKM661" s="734"/>
      <c r="NKN661" s="733"/>
      <c r="NKO661" s="734"/>
      <c r="NKP661" s="735"/>
      <c r="NKQ661" s="734"/>
      <c r="NKR661" s="733"/>
      <c r="NKS661" s="734"/>
      <c r="NKT661" s="735"/>
      <c r="NKU661" s="734"/>
      <c r="NKV661" s="733"/>
      <c r="NKW661" s="734"/>
      <c r="NKX661" s="735"/>
      <c r="NKY661" s="734"/>
      <c r="NKZ661" s="733"/>
      <c r="NLA661" s="734"/>
      <c r="NLB661" s="735"/>
      <c r="NLC661" s="734"/>
      <c r="NLD661" s="733"/>
      <c r="NLE661" s="734"/>
      <c r="NLF661" s="735"/>
      <c r="NLG661" s="734"/>
      <c r="NLH661" s="733"/>
      <c r="NLI661" s="734"/>
      <c r="NLJ661" s="735"/>
      <c r="NLK661" s="734"/>
      <c r="NLL661" s="733"/>
      <c r="NLM661" s="734"/>
      <c r="NLN661" s="735"/>
      <c r="NLO661" s="734"/>
      <c r="NLP661" s="733"/>
      <c r="NLQ661" s="734"/>
      <c r="NLR661" s="735"/>
      <c r="NLS661" s="734"/>
      <c r="NLT661" s="733"/>
      <c r="NLU661" s="734"/>
      <c r="NLV661" s="735"/>
      <c r="NLW661" s="734"/>
      <c r="NLX661" s="733"/>
      <c r="NLY661" s="734"/>
      <c r="NLZ661" s="735"/>
      <c r="NMA661" s="734"/>
      <c r="NMB661" s="733"/>
      <c r="NMC661" s="734"/>
      <c r="NMD661" s="735"/>
      <c r="NME661" s="734"/>
      <c r="NMF661" s="733"/>
      <c r="NMG661" s="734"/>
      <c r="NMH661" s="735"/>
      <c r="NMI661" s="734"/>
      <c r="NMJ661" s="733"/>
      <c r="NMK661" s="734"/>
      <c r="NML661" s="735"/>
      <c r="NMM661" s="734"/>
      <c r="NMN661" s="733"/>
      <c r="NMO661" s="734"/>
      <c r="NMP661" s="735"/>
      <c r="NMQ661" s="734"/>
      <c r="NMR661" s="733"/>
      <c r="NMS661" s="734"/>
      <c r="NMT661" s="735"/>
      <c r="NMU661" s="734"/>
      <c r="NMV661" s="733"/>
      <c r="NMW661" s="734"/>
      <c r="NMX661" s="735"/>
      <c r="NMY661" s="734"/>
      <c r="NMZ661" s="733"/>
      <c r="NNA661" s="734"/>
      <c r="NNB661" s="735"/>
      <c r="NNC661" s="734"/>
      <c r="NND661" s="733"/>
      <c r="NNE661" s="734"/>
      <c r="NNF661" s="735"/>
      <c r="NNG661" s="734"/>
      <c r="NNH661" s="733"/>
      <c r="NNI661" s="734"/>
      <c r="NNJ661" s="735"/>
      <c r="NNK661" s="734"/>
      <c r="NNL661" s="733"/>
      <c r="NNM661" s="734"/>
      <c r="NNN661" s="735"/>
      <c r="NNO661" s="734"/>
      <c r="NNP661" s="733"/>
      <c r="NNQ661" s="734"/>
      <c r="NNR661" s="735"/>
      <c r="NNS661" s="734"/>
      <c r="NNT661" s="733"/>
      <c r="NNU661" s="734"/>
      <c r="NNV661" s="735"/>
      <c r="NNW661" s="734"/>
      <c r="NNX661" s="733"/>
      <c r="NNY661" s="734"/>
      <c r="NNZ661" s="735"/>
      <c r="NOA661" s="734"/>
      <c r="NOB661" s="733"/>
      <c r="NOC661" s="734"/>
      <c r="NOD661" s="735"/>
      <c r="NOE661" s="734"/>
      <c r="NOF661" s="733"/>
      <c r="NOG661" s="734"/>
      <c r="NOH661" s="735"/>
      <c r="NOI661" s="734"/>
      <c r="NOJ661" s="733"/>
      <c r="NOK661" s="734"/>
      <c r="NOL661" s="735"/>
      <c r="NOM661" s="734"/>
      <c r="NON661" s="733"/>
      <c r="NOO661" s="734"/>
      <c r="NOP661" s="735"/>
      <c r="NOQ661" s="734"/>
      <c r="NOR661" s="733"/>
      <c r="NOS661" s="734"/>
      <c r="NOT661" s="735"/>
      <c r="NOU661" s="734"/>
      <c r="NOV661" s="733"/>
      <c r="NOW661" s="734"/>
      <c r="NOX661" s="735"/>
      <c r="NOY661" s="734"/>
      <c r="NOZ661" s="733"/>
      <c r="NPA661" s="734"/>
      <c r="NPB661" s="735"/>
      <c r="NPC661" s="734"/>
      <c r="NPD661" s="733"/>
      <c r="NPE661" s="734"/>
      <c r="NPF661" s="735"/>
      <c r="NPG661" s="734"/>
      <c r="NPH661" s="733"/>
      <c r="NPI661" s="734"/>
      <c r="NPJ661" s="735"/>
      <c r="NPK661" s="734"/>
      <c r="NPL661" s="733"/>
      <c r="NPM661" s="734"/>
      <c r="NPN661" s="735"/>
      <c r="NPO661" s="734"/>
      <c r="NPP661" s="733"/>
      <c r="NPQ661" s="734"/>
      <c r="NPR661" s="735"/>
      <c r="NPS661" s="734"/>
      <c r="NPT661" s="733"/>
      <c r="NPU661" s="734"/>
      <c r="NPV661" s="735"/>
      <c r="NPW661" s="734"/>
      <c r="NPX661" s="733"/>
      <c r="NPY661" s="734"/>
      <c r="NPZ661" s="735"/>
      <c r="NQA661" s="734"/>
      <c r="NQB661" s="733"/>
      <c r="NQC661" s="734"/>
      <c r="NQD661" s="735"/>
      <c r="NQE661" s="734"/>
      <c r="NQF661" s="733"/>
      <c r="NQG661" s="734"/>
      <c r="NQH661" s="735"/>
      <c r="NQI661" s="734"/>
      <c r="NQJ661" s="733"/>
      <c r="NQK661" s="734"/>
      <c r="NQL661" s="735"/>
      <c r="NQM661" s="734"/>
      <c r="NQN661" s="733"/>
      <c r="NQO661" s="734"/>
      <c r="NQP661" s="735"/>
      <c r="NQQ661" s="734"/>
      <c r="NQR661" s="733"/>
      <c r="NQS661" s="734"/>
      <c r="NQT661" s="735"/>
      <c r="NQU661" s="734"/>
      <c r="NQV661" s="733"/>
      <c r="NQW661" s="734"/>
      <c r="NQX661" s="735"/>
      <c r="NQY661" s="734"/>
      <c r="NQZ661" s="733"/>
      <c r="NRA661" s="734"/>
      <c r="NRB661" s="735"/>
      <c r="NRC661" s="734"/>
      <c r="NRD661" s="733"/>
      <c r="NRE661" s="734"/>
      <c r="NRF661" s="735"/>
      <c r="NRG661" s="734"/>
      <c r="NRH661" s="733"/>
      <c r="NRI661" s="734"/>
      <c r="NRJ661" s="735"/>
      <c r="NRK661" s="734"/>
      <c r="NRL661" s="733"/>
      <c r="NRM661" s="734"/>
      <c r="NRN661" s="735"/>
      <c r="NRO661" s="734"/>
      <c r="NRP661" s="733"/>
      <c r="NRQ661" s="734"/>
      <c r="NRR661" s="735"/>
      <c r="NRS661" s="734"/>
      <c r="NRT661" s="733"/>
      <c r="NRU661" s="734"/>
      <c r="NRV661" s="735"/>
      <c r="NRW661" s="734"/>
      <c r="NRX661" s="733"/>
      <c r="NRY661" s="734"/>
      <c r="NRZ661" s="735"/>
      <c r="NSA661" s="734"/>
      <c r="NSB661" s="733"/>
      <c r="NSC661" s="734"/>
      <c r="NSD661" s="735"/>
      <c r="NSE661" s="734"/>
      <c r="NSF661" s="733"/>
      <c r="NSG661" s="734"/>
      <c r="NSH661" s="735"/>
      <c r="NSI661" s="734"/>
      <c r="NSJ661" s="733"/>
      <c r="NSK661" s="734"/>
      <c r="NSL661" s="735"/>
      <c r="NSM661" s="734"/>
      <c r="NSN661" s="733"/>
      <c r="NSO661" s="734"/>
      <c r="NSP661" s="735"/>
      <c r="NSQ661" s="734"/>
      <c r="NSR661" s="733"/>
      <c r="NSS661" s="734"/>
      <c r="NST661" s="735"/>
      <c r="NSU661" s="734"/>
      <c r="NSV661" s="733"/>
      <c r="NSW661" s="734"/>
      <c r="NSX661" s="735"/>
      <c r="NSY661" s="734"/>
      <c r="NSZ661" s="733"/>
      <c r="NTA661" s="734"/>
      <c r="NTB661" s="735"/>
      <c r="NTC661" s="734"/>
      <c r="NTD661" s="733"/>
      <c r="NTE661" s="734"/>
      <c r="NTF661" s="735"/>
      <c r="NTG661" s="734"/>
      <c r="NTH661" s="733"/>
      <c r="NTI661" s="734"/>
      <c r="NTJ661" s="735"/>
      <c r="NTK661" s="734"/>
      <c r="NTL661" s="733"/>
      <c r="NTM661" s="734"/>
      <c r="NTN661" s="735"/>
      <c r="NTO661" s="734"/>
      <c r="NTP661" s="733"/>
      <c r="NTQ661" s="734"/>
      <c r="NTR661" s="735"/>
      <c r="NTS661" s="734"/>
      <c r="NTT661" s="733"/>
      <c r="NTU661" s="734"/>
      <c r="NTV661" s="735"/>
      <c r="NTW661" s="734"/>
      <c r="NTX661" s="733"/>
      <c r="NTY661" s="734"/>
      <c r="NTZ661" s="735"/>
      <c r="NUA661" s="734"/>
      <c r="NUB661" s="733"/>
      <c r="NUC661" s="734"/>
      <c r="NUD661" s="735"/>
      <c r="NUE661" s="734"/>
      <c r="NUF661" s="733"/>
      <c r="NUG661" s="734"/>
      <c r="NUH661" s="735"/>
      <c r="NUI661" s="734"/>
      <c r="NUJ661" s="733"/>
      <c r="NUK661" s="734"/>
      <c r="NUL661" s="735"/>
      <c r="NUM661" s="734"/>
      <c r="NUN661" s="733"/>
      <c r="NUO661" s="734"/>
      <c r="NUP661" s="735"/>
      <c r="NUQ661" s="734"/>
      <c r="NUR661" s="733"/>
      <c r="NUS661" s="734"/>
      <c r="NUT661" s="735"/>
      <c r="NUU661" s="734"/>
      <c r="NUV661" s="733"/>
      <c r="NUW661" s="734"/>
      <c r="NUX661" s="735"/>
      <c r="NUY661" s="734"/>
      <c r="NUZ661" s="733"/>
      <c r="NVA661" s="734"/>
      <c r="NVB661" s="735"/>
      <c r="NVC661" s="734"/>
      <c r="NVD661" s="733"/>
      <c r="NVE661" s="734"/>
      <c r="NVF661" s="735"/>
      <c r="NVG661" s="734"/>
      <c r="NVH661" s="733"/>
      <c r="NVI661" s="734"/>
      <c r="NVJ661" s="735"/>
      <c r="NVK661" s="734"/>
      <c r="NVL661" s="733"/>
      <c r="NVM661" s="734"/>
      <c r="NVN661" s="735"/>
      <c r="NVO661" s="734"/>
      <c r="NVP661" s="733"/>
      <c r="NVQ661" s="734"/>
      <c r="NVR661" s="735"/>
      <c r="NVS661" s="734"/>
      <c r="NVT661" s="733"/>
      <c r="NVU661" s="734"/>
      <c r="NVV661" s="735"/>
      <c r="NVW661" s="734"/>
      <c r="NVX661" s="733"/>
      <c r="NVY661" s="734"/>
      <c r="NVZ661" s="735"/>
      <c r="NWA661" s="734"/>
      <c r="NWB661" s="733"/>
      <c r="NWC661" s="734"/>
      <c r="NWD661" s="735"/>
      <c r="NWE661" s="734"/>
      <c r="NWF661" s="733"/>
      <c r="NWG661" s="734"/>
      <c r="NWH661" s="735"/>
      <c r="NWI661" s="734"/>
      <c r="NWJ661" s="733"/>
      <c r="NWK661" s="734"/>
      <c r="NWL661" s="735"/>
      <c r="NWM661" s="734"/>
      <c r="NWN661" s="733"/>
      <c r="NWO661" s="734"/>
      <c r="NWP661" s="735"/>
      <c r="NWQ661" s="734"/>
      <c r="NWR661" s="733"/>
      <c r="NWS661" s="734"/>
      <c r="NWT661" s="735"/>
      <c r="NWU661" s="734"/>
      <c r="NWV661" s="733"/>
      <c r="NWW661" s="734"/>
      <c r="NWX661" s="735"/>
      <c r="NWY661" s="734"/>
      <c r="NWZ661" s="733"/>
      <c r="NXA661" s="734"/>
      <c r="NXB661" s="735"/>
      <c r="NXC661" s="734"/>
      <c r="NXD661" s="733"/>
      <c r="NXE661" s="734"/>
      <c r="NXF661" s="735"/>
      <c r="NXG661" s="734"/>
      <c r="NXH661" s="733"/>
      <c r="NXI661" s="734"/>
      <c r="NXJ661" s="735"/>
      <c r="NXK661" s="734"/>
      <c r="NXL661" s="733"/>
      <c r="NXM661" s="734"/>
      <c r="NXN661" s="735"/>
      <c r="NXO661" s="734"/>
      <c r="NXP661" s="733"/>
      <c r="NXQ661" s="734"/>
      <c r="NXR661" s="735"/>
      <c r="NXS661" s="734"/>
      <c r="NXT661" s="733"/>
      <c r="NXU661" s="734"/>
      <c r="NXV661" s="735"/>
      <c r="NXW661" s="734"/>
      <c r="NXX661" s="733"/>
      <c r="NXY661" s="734"/>
      <c r="NXZ661" s="735"/>
      <c r="NYA661" s="734"/>
      <c r="NYB661" s="733"/>
      <c r="NYC661" s="734"/>
      <c r="NYD661" s="735"/>
      <c r="NYE661" s="734"/>
      <c r="NYF661" s="733"/>
      <c r="NYG661" s="734"/>
      <c r="NYH661" s="735"/>
      <c r="NYI661" s="734"/>
      <c r="NYJ661" s="733"/>
      <c r="NYK661" s="734"/>
      <c r="NYL661" s="735"/>
      <c r="NYM661" s="734"/>
      <c r="NYN661" s="733"/>
      <c r="NYO661" s="734"/>
      <c r="NYP661" s="735"/>
      <c r="NYQ661" s="734"/>
      <c r="NYR661" s="733"/>
      <c r="NYS661" s="734"/>
      <c r="NYT661" s="735"/>
      <c r="NYU661" s="734"/>
      <c r="NYV661" s="733"/>
      <c r="NYW661" s="734"/>
      <c r="NYX661" s="735"/>
      <c r="NYY661" s="734"/>
      <c r="NYZ661" s="733"/>
      <c r="NZA661" s="734"/>
      <c r="NZB661" s="735"/>
      <c r="NZC661" s="734"/>
      <c r="NZD661" s="733"/>
      <c r="NZE661" s="734"/>
      <c r="NZF661" s="735"/>
      <c r="NZG661" s="734"/>
      <c r="NZH661" s="733"/>
      <c r="NZI661" s="734"/>
      <c r="NZJ661" s="735"/>
      <c r="NZK661" s="734"/>
      <c r="NZL661" s="733"/>
      <c r="NZM661" s="734"/>
      <c r="NZN661" s="735"/>
      <c r="NZO661" s="734"/>
      <c r="NZP661" s="733"/>
      <c r="NZQ661" s="734"/>
      <c r="NZR661" s="735"/>
      <c r="NZS661" s="734"/>
      <c r="NZT661" s="733"/>
      <c r="NZU661" s="734"/>
      <c r="NZV661" s="735"/>
      <c r="NZW661" s="734"/>
      <c r="NZX661" s="733"/>
      <c r="NZY661" s="734"/>
      <c r="NZZ661" s="735"/>
      <c r="OAA661" s="734"/>
      <c r="OAB661" s="733"/>
      <c r="OAC661" s="734"/>
      <c r="OAD661" s="735"/>
      <c r="OAE661" s="734"/>
      <c r="OAF661" s="733"/>
      <c r="OAG661" s="734"/>
      <c r="OAH661" s="735"/>
      <c r="OAI661" s="734"/>
      <c r="OAJ661" s="733"/>
      <c r="OAK661" s="734"/>
      <c r="OAL661" s="735"/>
      <c r="OAM661" s="734"/>
      <c r="OAN661" s="733"/>
      <c r="OAO661" s="734"/>
      <c r="OAP661" s="735"/>
      <c r="OAQ661" s="734"/>
      <c r="OAR661" s="733"/>
      <c r="OAS661" s="734"/>
      <c r="OAT661" s="735"/>
      <c r="OAU661" s="734"/>
      <c r="OAV661" s="733"/>
      <c r="OAW661" s="734"/>
      <c r="OAX661" s="735"/>
      <c r="OAY661" s="734"/>
      <c r="OAZ661" s="733"/>
      <c r="OBA661" s="734"/>
      <c r="OBB661" s="735"/>
      <c r="OBC661" s="734"/>
      <c r="OBD661" s="733"/>
      <c r="OBE661" s="734"/>
      <c r="OBF661" s="735"/>
      <c r="OBG661" s="734"/>
      <c r="OBH661" s="733"/>
      <c r="OBI661" s="734"/>
      <c r="OBJ661" s="735"/>
      <c r="OBK661" s="734"/>
      <c r="OBL661" s="733"/>
      <c r="OBM661" s="734"/>
      <c r="OBN661" s="735"/>
      <c r="OBO661" s="734"/>
      <c r="OBP661" s="733"/>
      <c r="OBQ661" s="734"/>
      <c r="OBR661" s="735"/>
      <c r="OBS661" s="734"/>
      <c r="OBT661" s="733"/>
      <c r="OBU661" s="734"/>
      <c r="OBV661" s="735"/>
      <c r="OBW661" s="734"/>
      <c r="OBX661" s="733"/>
      <c r="OBY661" s="734"/>
      <c r="OBZ661" s="735"/>
      <c r="OCA661" s="734"/>
      <c r="OCB661" s="733"/>
      <c r="OCC661" s="734"/>
      <c r="OCD661" s="735"/>
      <c r="OCE661" s="734"/>
      <c r="OCF661" s="733"/>
      <c r="OCG661" s="734"/>
      <c r="OCH661" s="735"/>
      <c r="OCI661" s="734"/>
      <c r="OCJ661" s="733"/>
      <c r="OCK661" s="734"/>
      <c r="OCL661" s="735"/>
      <c r="OCM661" s="734"/>
      <c r="OCN661" s="733"/>
      <c r="OCO661" s="734"/>
      <c r="OCP661" s="735"/>
      <c r="OCQ661" s="734"/>
      <c r="OCR661" s="733"/>
      <c r="OCS661" s="734"/>
      <c r="OCT661" s="735"/>
      <c r="OCU661" s="734"/>
      <c r="OCV661" s="733"/>
      <c r="OCW661" s="734"/>
      <c r="OCX661" s="735"/>
      <c r="OCY661" s="734"/>
      <c r="OCZ661" s="733"/>
      <c r="ODA661" s="734"/>
      <c r="ODB661" s="735"/>
      <c r="ODC661" s="734"/>
      <c r="ODD661" s="733"/>
      <c r="ODE661" s="734"/>
      <c r="ODF661" s="735"/>
      <c r="ODG661" s="734"/>
      <c r="ODH661" s="733"/>
      <c r="ODI661" s="734"/>
      <c r="ODJ661" s="735"/>
      <c r="ODK661" s="734"/>
      <c r="ODL661" s="733"/>
      <c r="ODM661" s="734"/>
      <c r="ODN661" s="735"/>
      <c r="ODO661" s="734"/>
      <c r="ODP661" s="733"/>
      <c r="ODQ661" s="734"/>
      <c r="ODR661" s="735"/>
      <c r="ODS661" s="734"/>
      <c r="ODT661" s="733"/>
      <c r="ODU661" s="734"/>
      <c r="ODV661" s="735"/>
      <c r="ODW661" s="734"/>
      <c r="ODX661" s="733"/>
      <c r="ODY661" s="734"/>
      <c r="ODZ661" s="735"/>
      <c r="OEA661" s="734"/>
      <c r="OEB661" s="733"/>
      <c r="OEC661" s="734"/>
      <c r="OED661" s="735"/>
      <c r="OEE661" s="734"/>
      <c r="OEF661" s="733"/>
      <c r="OEG661" s="734"/>
      <c r="OEH661" s="735"/>
      <c r="OEI661" s="734"/>
      <c r="OEJ661" s="733"/>
      <c r="OEK661" s="734"/>
      <c r="OEL661" s="735"/>
      <c r="OEM661" s="734"/>
      <c r="OEN661" s="733"/>
      <c r="OEO661" s="734"/>
      <c r="OEP661" s="735"/>
      <c r="OEQ661" s="734"/>
      <c r="OER661" s="733"/>
      <c r="OES661" s="734"/>
      <c r="OET661" s="735"/>
      <c r="OEU661" s="734"/>
      <c r="OEV661" s="733"/>
      <c r="OEW661" s="734"/>
      <c r="OEX661" s="735"/>
      <c r="OEY661" s="734"/>
      <c r="OEZ661" s="733"/>
      <c r="OFA661" s="734"/>
      <c r="OFB661" s="735"/>
      <c r="OFC661" s="734"/>
      <c r="OFD661" s="733"/>
      <c r="OFE661" s="734"/>
      <c r="OFF661" s="735"/>
      <c r="OFG661" s="734"/>
      <c r="OFH661" s="733"/>
      <c r="OFI661" s="734"/>
      <c r="OFJ661" s="735"/>
      <c r="OFK661" s="734"/>
      <c r="OFL661" s="733"/>
      <c r="OFM661" s="734"/>
      <c r="OFN661" s="735"/>
      <c r="OFO661" s="734"/>
      <c r="OFP661" s="733"/>
      <c r="OFQ661" s="734"/>
      <c r="OFR661" s="735"/>
      <c r="OFS661" s="734"/>
      <c r="OFT661" s="733"/>
      <c r="OFU661" s="734"/>
      <c r="OFV661" s="735"/>
      <c r="OFW661" s="734"/>
      <c r="OFX661" s="733"/>
      <c r="OFY661" s="734"/>
      <c r="OFZ661" s="735"/>
      <c r="OGA661" s="734"/>
      <c r="OGB661" s="733"/>
      <c r="OGC661" s="734"/>
      <c r="OGD661" s="735"/>
      <c r="OGE661" s="734"/>
      <c r="OGF661" s="733"/>
      <c r="OGG661" s="734"/>
      <c r="OGH661" s="735"/>
      <c r="OGI661" s="734"/>
      <c r="OGJ661" s="733"/>
      <c r="OGK661" s="734"/>
      <c r="OGL661" s="735"/>
      <c r="OGM661" s="734"/>
      <c r="OGN661" s="733"/>
      <c r="OGO661" s="734"/>
      <c r="OGP661" s="735"/>
      <c r="OGQ661" s="734"/>
      <c r="OGR661" s="733"/>
      <c r="OGS661" s="734"/>
      <c r="OGT661" s="735"/>
      <c r="OGU661" s="734"/>
      <c r="OGV661" s="733"/>
      <c r="OGW661" s="734"/>
      <c r="OGX661" s="735"/>
      <c r="OGY661" s="734"/>
      <c r="OGZ661" s="733"/>
      <c r="OHA661" s="734"/>
      <c r="OHB661" s="735"/>
      <c r="OHC661" s="734"/>
      <c r="OHD661" s="733"/>
      <c r="OHE661" s="734"/>
      <c r="OHF661" s="735"/>
      <c r="OHG661" s="734"/>
      <c r="OHH661" s="733"/>
      <c r="OHI661" s="734"/>
      <c r="OHJ661" s="735"/>
      <c r="OHK661" s="734"/>
      <c r="OHL661" s="733"/>
      <c r="OHM661" s="734"/>
      <c r="OHN661" s="735"/>
      <c r="OHO661" s="734"/>
      <c r="OHP661" s="733"/>
      <c r="OHQ661" s="734"/>
      <c r="OHR661" s="735"/>
      <c r="OHS661" s="734"/>
      <c r="OHT661" s="733"/>
      <c r="OHU661" s="734"/>
      <c r="OHV661" s="735"/>
      <c r="OHW661" s="734"/>
      <c r="OHX661" s="733"/>
      <c r="OHY661" s="734"/>
      <c r="OHZ661" s="735"/>
      <c r="OIA661" s="734"/>
      <c r="OIB661" s="733"/>
      <c r="OIC661" s="734"/>
      <c r="OID661" s="735"/>
      <c r="OIE661" s="734"/>
      <c r="OIF661" s="733"/>
      <c r="OIG661" s="734"/>
      <c r="OIH661" s="735"/>
      <c r="OII661" s="734"/>
      <c r="OIJ661" s="733"/>
      <c r="OIK661" s="734"/>
      <c r="OIL661" s="735"/>
      <c r="OIM661" s="734"/>
      <c r="OIN661" s="733"/>
      <c r="OIO661" s="734"/>
      <c r="OIP661" s="735"/>
      <c r="OIQ661" s="734"/>
      <c r="OIR661" s="733"/>
      <c r="OIS661" s="734"/>
      <c r="OIT661" s="735"/>
      <c r="OIU661" s="734"/>
      <c r="OIV661" s="733"/>
      <c r="OIW661" s="734"/>
      <c r="OIX661" s="735"/>
      <c r="OIY661" s="734"/>
      <c r="OIZ661" s="733"/>
      <c r="OJA661" s="734"/>
      <c r="OJB661" s="735"/>
      <c r="OJC661" s="734"/>
      <c r="OJD661" s="733"/>
      <c r="OJE661" s="734"/>
      <c r="OJF661" s="735"/>
      <c r="OJG661" s="734"/>
      <c r="OJH661" s="733"/>
      <c r="OJI661" s="734"/>
      <c r="OJJ661" s="735"/>
      <c r="OJK661" s="734"/>
      <c r="OJL661" s="733"/>
      <c r="OJM661" s="734"/>
      <c r="OJN661" s="735"/>
      <c r="OJO661" s="734"/>
      <c r="OJP661" s="733"/>
      <c r="OJQ661" s="734"/>
      <c r="OJR661" s="735"/>
      <c r="OJS661" s="734"/>
      <c r="OJT661" s="733"/>
      <c r="OJU661" s="734"/>
      <c r="OJV661" s="735"/>
      <c r="OJW661" s="734"/>
      <c r="OJX661" s="733"/>
      <c r="OJY661" s="734"/>
      <c r="OJZ661" s="735"/>
      <c r="OKA661" s="734"/>
      <c r="OKB661" s="733"/>
      <c r="OKC661" s="734"/>
      <c r="OKD661" s="735"/>
      <c r="OKE661" s="734"/>
      <c r="OKF661" s="733"/>
      <c r="OKG661" s="734"/>
      <c r="OKH661" s="735"/>
      <c r="OKI661" s="734"/>
      <c r="OKJ661" s="733"/>
      <c r="OKK661" s="734"/>
      <c r="OKL661" s="735"/>
      <c r="OKM661" s="734"/>
      <c r="OKN661" s="733"/>
      <c r="OKO661" s="734"/>
      <c r="OKP661" s="735"/>
      <c r="OKQ661" s="734"/>
      <c r="OKR661" s="733"/>
      <c r="OKS661" s="734"/>
      <c r="OKT661" s="735"/>
      <c r="OKU661" s="734"/>
      <c r="OKV661" s="733"/>
      <c r="OKW661" s="734"/>
      <c r="OKX661" s="735"/>
      <c r="OKY661" s="734"/>
      <c r="OKZ661" s="733"/>
      <c r="OLA661" s="734"/>
      <c r="OLB661" s="735"/>
      <c r="OLC661" s="734"/>
      <c r="OLD661" s="733"/>
      <c r="OLE661" s="734"/>
      <c r="OLF661" s="735"/>
      <c r="OLG661" s="734"/>
      <c r="OLH661" s="733"/>
      <c r="OLI661" s="734"/>
      <c r="OLJ661" s="735"/>
      <c r="OLK661" s="734"/>
      <c r="OLL661" s="733"/>
      <c r="OLM661" s="734"/>
      <c r="OLN661" s="735"/>
      <c r="OLO661" s="734"/>
      <c r="OLP661" s="733"/>
      <c r="OLQ661" s="734"/>
      <c r="OLR661" s="735"/>
      <c r="OLS661" s="734"/>
      <c r="OLT661" s="733"/>
      <c r="OLU661" s="734"/>
      <c r="OLV661" s="735"/>
      <c r="OLW661" s="734"/>
      <c r="OLX661" s="733"/>
      <c r="OLY661" s="734"/>
      <c r="OLZ661" s="735"/>
      <c r="OMA661" s="734"/>
      <c r="OMB661" s="733"/>
      <c r="OMC661" s="734"/>
      <c r="OMD661" s="735"/>
      <c r="OME661" s="734"/>
      <c r="OMF661" s="733"/>
      <c r="OMG661" s="734"/>
      <c r="OMH661" s="735"/>
      <c r="OMI661" s="734"/>
      <c r="OMJ661" s="733"/>
      <c r="OMK661" s="734"/>
      <c r="OML661" s="735"/>
      <c r="OMM661" s="734"/>
      <c r="OMN661" s="733"/>
      <c r="OMO661" s="734"/>
      <c r="OMP661" s="735"/>
      <c r="OMQ661" s="734"/>
      <c r="OMR661" s="733"/>
      <c r="OMS661" s="734"/>
      <c r="OMT661" s="735"/>
      <c r="OMU661" s="734"/>
      <c r="OMV661" s="733"/>
      <c r="OMW661" s="734"/>
      <c r="OMX661" s="735"/>
      <c r="OMY661" s="734"/>
      <c r="OMZ661" s="733"/>
      <c r="ONA661" s="734"/>
      <c r="ONB661" s="735"/>
      <c r="ONC661" s="734"/>
      <c r="OND661" s="733"/>
      <c r="ONE661" s="734"/>
      <c r="ONF661" s="735"/>
      <c r="ONG661" s="734"/>
      <c r="ONH661" s="733"/>
      <c r="ONI661" s="734"/>
      <c r="ONJ661" s="735"/>
      <c r="ONK661" s="734"/>
      <c r="ONL661" s="733"/>
      <c r="ONM661" s="734"/>
      <c r="ONN661" s="735"/>
      <c r="ONO661" s="734"/>
      <c r="ONP661" s="733"/>
      <c r="ONQ661" s="734"/>
      <c r="ONR661" s="735"/>
      <c r="ONS661" s="734"/>
      <c r="ONT661" s="733"/>
      <c r="ONU661" s="734"/>
      <c r="ONV661" s="735"/>
      <c r="ONW661" s="734"/>
      <c r="ONX661" s="733"/>
      <c r="ONY661" s="734"/>
      <c r="ONZ661" s="735"/>
      <c r="OOA661" s="734"/>
      <c r="OOB661" s="733"/>
      <c r="OOC661" s="734"/>
      <c r="OOD661" s="735"/>
      <c r="OOE661" s="734"/>
      <c r="OOF661" s="733"/>
      <c r="OOG661" s="734"/>
      <c r="OOH661" s="735"/>
      <c r="OOI661" s="734"/>
      <c r="OOJ661" s="733"/>
      <c r="OOK661" s="734"/>
      <c r="OOL661" s="735"/>
      <c r="OOM661" s="734"/>
      <c r="OON661" s="733"/>
      <c r="OOO661" s="734"/>
      <c r="OOP661" s="735"/>
      <c r="OOQ661" s="734"/>
      <c r="OOR661" s="733"/>
      <c r="OOS661" s="734"/>
      <c r="OOT661" s="735"/>
      <c r="OOU661" s="734"/>
      <c r="OOV661" s="733"/>
      <c r="OOW661" s="734"/>
      <c r="OOX661" s="735"/>
      <c r="OOY661" s="734"/>
      <c r="OOZ661" s="733"/>
      <c r="OPA661" s="734"/>
      <c r="OPB661" s="735"/>
      <c r="OPC661" s="734"/>
      <c r="OPD661" s="733"/>
      <c r="OPE661" s="734"/>
      <c r="OPF661" s="735"/>
      <c r="OPG661" s="734"/>
      <c r="OPH661" s="733"/>
      <c r="OPI661" s="734"/>
      <c r="OPJ661" s="735"/>
      <c r="OPK661" s="734"/>
      <c r="OPL661" s="733"/>
      <c r="OPM661" s="734"/>
      <c r="OPN661" s="735"/>
      <c r="OPO661" s="734"/>
      <c r="OPP661" s="733"/>
      <c r="OPQ661" s="734"/>
      <c r="OPR661" s="735"/>
      <c r="OPS661" s="734"/>
      <c r="OPT661" s="733"/>
      <c r="OPU661" s="734"/>
      <c r="OPV661" s="735"/>
      <c r="OPW661" s="734"/>
      <c r="OPX661" s="733"/>
      <c r="OPY661" s="734"/>
      <c r="OPZ661" s="735"/>
      <c r="OQA661" s="734"/>
      <c r="OQB661" s="733"/>
      <c r="OQC661" s="734"/>
      <c r="OQD661" s="735"/>
      <c r="OQE661" s="734"/>
      <c r="OQF661" s="733"/>
      <c r="OQG661" s="734"/>
      <c r="OQH661" s="735"/>
      <c r="OQI661" s="734"/>
      <c r="OQJ661" s="733"/>
      <c r="OQK661" s="734"/>
      <c r="OQL661" s="735"/>
      <c r="OQM661" s="734"/>
      <c r="OQN661" s="733"/>
      <c r="OQO661" s="734"/>
      <c r="OQP661" s="735"/>
      <c r="OQQ661" s="734"/>
      <c r="OQR661" s="733"/>
      <c r="OQS661" s="734"/>
      <c r="OQT661" s="735"/>
      <c r="OQU661" s="734"/>
      <c r="OQV661" s="733"/>
      <c r="OQW661" s="734"/>
      <c r="OQX661" s="735"/>
      <c r="OQY661" s="734"/>
      <c r="OQZ661" s="733"/>
      <c r="ORA661" s="734"/>
      <c r="ORB661" s="735"/>
      <c r="ORC661" s="734"/>
      <c r="ORD661" s="733"/>
      <c r="ORE661" s="734"/>
      <c r="ORF661" s="735"/>
      <c r="ORG661" s="734"/>
      <c r="ORH661" s="733"/>
      <c r="ORI661" s="734"/>
      <c r="ORJ661" s="735"/>
      <c r="ORK661" s="734"/>
      <c r="ORL661" s="733"/>
      <c r="ORM661" s="734"/>
      <c r="ORN661" s="735"/>
      <c r="ORO661" s="734"/>
      <c r="ORP661" s="733"/>
      <c r="ORQ661" s="734"/>
      <c r="ORR661" s="735"/>
      <c r="ORS661" s="734"/>
      <c r="ORT661" s="733"/>
      <c r="ORU661" s="734"/>
      <c r="ORV661" s="735"/>
      <c r="ORW661" s="734"/>
      <c r="ORX661" s="733"/>
      <c r="ORY661" s="734"/>
      <c r="ORZ661" s="735"/>
      <c r="OSA661" s="734"/>
      <c r="OSB661" s="733"/>
      <c r="OSC661" s="734"/>
      <c r="OSD661" s="735"/>
      <c r="OSE661" s="734"/>
      <c r="OSF661" s="733"/>
      <c r="OSG661" s="734"/>
      <c r="OSH661" s="735"/>
      <c r="OSI661" s="734"/>
      <c r="OSJ661" s="733"/>
      <c r="OSK661" s="734"/>
      <c r="OSL661" s="735"/>
      <c r="OSM661" s="734"/>
      <c r="OSN661" s="733"/>
      <c r="OSO661" s="734"/>
      <c r="OSP661" s="735"/>
      <c r="OSQ661" s="734"/>
      <c r="OSR661" s="733"/>
      <c r="OSS661" s="734"/>
      <c r="OST661" s="735"/>
      <c r="OSU661" s="734"/>
      <c r="OSV661" s="733"/>
      <c r="OSW661" s="734"/>
      <c r="OSX661" s="735"/>
      <c r="OSY661" s="734"/>
      <c r="OSZ661" s="733"/>
      <c r="OTA661" s="734"/>
      <c r="OTB661" s="735"/>
      <c r="OTC661" s="734"/>
      <c r="OTD661" s="733"/>
      <c r="OTE661" s="734"/>
      <c r="OTF661" s="735"/>
      <c r="OTG661" s="734"/>
      <c r="OTH661" s="733"/>
      <c r="OTI661" s="734"/>
      <c r="OTJ661" s="735"/>
      <c r="OTK661" s="734"/>
      <c r="OTL661" s="733"/>
      <c r="OTM661" s="734"/>
      <c r="OTN661" s="735"/>
      <c r="OTO661" s="734"/>
      <c r="OTP661" s="733"/>
      <c r="OTQ661" s="734"/>
      <c r="OTR661" s="735"/>
      <c r="OTS661" s="734"/>
      <c r="OTT661" s="733"/>
      <c r="OTU661" s="734"/>
      <c r="OTV661" s="735"/>
      <c r="OTW661" s="734"/>
      <c r="OTX661" s="733"/>
      <c r="OTY661" s="734"/>
      <c r="OTZ661" s="735"/>
      <c r="OUA661" s="734"/>
      <c r="OUB661" s="733"/>
      <c r="OUC661" s="734"/>
      <c r="OUD661" s="735"/>
      <c r="OUE661" s="734"/>
      <c r="OUF661" s="733"/>
      <c r="OUG661" s="734"/>
      <c r="OUH661" s="735"/>
      <c r="OUI661" s="734"/>
      <c r="OUJ661" s="733"/>
      <c r="OUK661" s="734"/>
      <c r="OUL661" s="735"/>
      <c r="OUM661" s="734"/>
      <c r="OUN661" s="733"/>
      <c r="OUO661" s="734"/>
      <c r="OUP661" s="735"/>
      <c r="OUQ661" s="734"/>
      <c r="OUR661" s="733"/>
      <c r="OUS661" s="734"/>
      <c r="OUT661" s="735"/>
      <c r="OUU661" s="734"/>
      <c r="OUV661" s="733"/>
      <c r="OUW661" s="734"/>
      <c r="OUX661" s="735"/>
      <c r="OUY661" s="734"/>
      <c r="OUZ661" s="733"/>
      <c r="OVA661" s="734"/>
      <c r="OVB661" s="735"/>
      <c r="OVC661" s="734"/>
      <c r="OVD661" s="733"/>
      <c r="OVE661" s="734"/>
      <c r="OVF661" s="735"/>
      <c r="OVG661" s="734"/>
      <c r="OVH661" s="733"/>
      <c r="OVI661" s="734"/>
      <c r="OVJ661" s="735"/>
      <c r="OVK661" s="734"/>
      <c r="OVL661" s="733"/>
      <c r="OVM661" s="734"/>
      <c r="OVN661" s="735"/>
      <c r="OVO661" s="734"/>
      <c r="OVP661" s="733"/>
      <c r="OVQ661" s="734"/>
      <c r="OVR661" s="735"/>
      <c r="OVS661" s="734"/>
      <c r="OVT661" s="733"/>
      <c r="OVU661" s="734"/>
      <c r="OVV661" s="735"/>
      <c r="OVW661" s="734"/>
      <c r="OVX661" s="733"/>
      <c r="OVY661" s="734"/>
      <c r="OVZ661" s="735"/>
      <c r="OWA661" s="734"/>
      <c r="OWB661" s="733"/>
      <c r="OWC661" s="734"/>
      <c r="OWD661" s="735"/>
      <c r="OWE661" s="734"/>
      <c r="OWF661" s="733"/>
      <c r="OWG661" s="734"/>
      <c r="OWH661" s="735"/>
      <c r="OWI661" s="734"/>
      <c r="OWJ661" s="733"/>
      <c r="OWK661" s="734"/>
      <c r="OWL661" s="735"/>
      <c r="OWM661" s="734"/>
      <c r="OWN661" s="733"/>
      <c r="OWO661" s="734"/>
      <c r="OWP661" s="735"/>
      <c r="OWQ661" s="734"/>
      <c r="OWR661" s="733"/>
      <c r="OWS661" s="734"/>
      <c r="OWT661" s="735"/>
      <c r="OWU661" s="734"/>
      <c r="OWV661" s="733"/>
      <c r="OWW661" s="734"/>
      <c r="OWX661" s="735"/>
      <c r="OWY661" s="734"/>
      <c r="OWZ661" s="733"/>
      <c r="OXA661" s="734"/>
      <c r="OXB661" s="735"/>
      <c r="OXC661" s="734"/>
      <c r="OXD661" s="733"/>
      <c r="OXE661" s="734"/>
      <c r="OXF661" s="735"/>
      <c r="OXG661" s="734"/>
      <c r="OXH661" s="733"/>
      <c r="OXI661" s="734"/>
      <c r="OXJ661" s="735"/>
      <c r="OXK661" s="734"/>
      <c r="OXL661" s="733"/>
      <c r="OXM661" s="734"/>
      <c r="OXN661" s="735"/>
      <c r="OXO661" s="734"/>
      <c r="OXP661" s="733"/>
      <c r="OXQ661" s="734"/>
      <c r="OXR661" s="735"/>
      <c r="OXS661" s="734"/>
      <c r="OXT661" s="733"/>
      <c r="OXU661" s="734"/>
      <c r="OXV661" s="735"/>
      <c r="OXW661" s="734"/>
      <c r="OXX661" s="733"/>
      <c r="OXY661" s="734"/>
      <c r="OXZ661" s="735"/>
      <c r="OYA661" s="734"/>
      <c r="OYB661" s="733"/>
      <c r="OYC661" s="734"/>
      <c r="OYD661" s="735"/>
      <c r="OYE661" s="734"/>
      <c r="OYF661" s="733"/>
      <c r="OYG661" s="734"/>
      <c r="OYH661" s="735"/>
      <c r="OYI661" s="734"/>
      <c r="OYJ661" s="733"/>
      <c r="OYK661" s="734"/>
      <c r="OYL661" s="735"/>
      <c r="OYM661" s="734"/>
      <c r="OYN661" s="733"/>
      <c r="OYO661" s="734"/>
      <c r="OYP661" s="735"/>
      <c r="OYQ661" s="734"/>
      <c r="OYR661" s="733"/>
      <c r="OYS661" s="734"/>
      <c r="OYT661" s="735"/>
      <c r="OYU661" s="734"/>
      <c r="OYV661" s="733"/>
      <c r="OYW661" s="734"/>
      <c r="OYX661" s="735"/>
      <c r="OYY661" s="734"/>
      <c r="OYZ661" s="733"/>
      <c r="OZA661" s="734"/>
      <c r="OZB661" s="735"/>
      <c r="OZC661" s="734"/>
      <c r="OZD661" s="733"/>
      <c r="OZE661" s="734"/>
      <c r="OZF661" s="735"/>
      <c r="OZG661" s="734"/>
      <c r="OZH661" s="733"/>
      <c r="OZI661" s="734"/>
      <c r="OZJ661" s="735"/>
      <c r="OZK661" s="734"/>
      <c r="OZL661" s="733"/>
      <c r="OZM661" s="734"/>
      <c r="OZN661" s="735"/>
      <c r="OZO661" s="734"/>
      <c r="OZP661" s="733"/>
      <c r="OZQ661" s="734"/>
      <c r="OZR661" s="735"/>
      <c r="OZS661" s="734"/>
      <c r="OZT661" s="733"/>
      <c r="OZU661" s="734"/>
      <c r="OZV661" s="735"/>
      <c r="OZW661" s="734"/>
      <c r="OZX661" s="733"/>
      <c r="OZY661" s="734"/>
      <c r="OZZ661" s="735"/>
      <c r="PAA661" s="734"/>
      <c r="PAB661" s="733"/>
      <c r="PAC661" s="734"/>
      <c r="PAD661" s="735"/>
      <c r="PAE661" s="734"/>
      <c r="PAF661" s="733"/>
      <c r="PAG661" s="734"/>
      <c r="PAH661" s="735"/>
      <c r="PAI661" s="734"/>
      <c r="PAJ661" s="733"/>
      <c r="PAK661" s="734"/>
      <c r="PAL661" s="735"/>
      <c r="PAM661" s="734"/>
      <c r="PAN661" s="733"/>
      <c r="PAO661" s="734"/>
      <c r="PAP661" s="735"/>
      <c r="PAQ661" s="734"/>
      <c r="PAR661" s="733"/>
      <c r="PAS661" s="734"/>
      <c r="PAT661" s="735"/>
      <c r="PAU661" s="734"/>
      <c r="PAV661" s="733"/>
      <c r="PAW661" s="734"/>
      <c r="PAX661" s="735"/>
      <c r="PAY661" s="734"/>
      <c r="PAZ661" s="733"/>
      <c r="PBA661" s="734"/>
      <c r="PBB661" s="735"/>
      <c r="PBC661" s="734"/>
      <c r="PBD661" s="733"/>
      <c r="PBE661" s="734"/>
      <c r="PBF661" s="735"/>
      <c r="PBG661" s="734"/>
      <c r="PBH661" s="733"/>
      <c r="PBI661" s="734"/>
      <c r="PBJ661" s="735"/>
      <c r="PBK661" s="734"/>
      <c r="PBL661" s="733"/>
      <c r="PBM661" s="734"/>
      <c r="PBN661" s="735"/>
      <c r="PBO661" s="734"/>
      <c r="PBP661" s="733"/>
      <c r="PBQ661" s="734"/>
      <c r="PBR661" s="735"/>
      <c r="PBS661" s="734"/>
      <c r="PBT661" s="733"/>
      <c r="PBU661" s="734"/>
      <c r="PBV661" s="735"/>
      <c r="PBW661" s="734"/>
      <c r="PBX661" s="733"/>
      <c r="PBY661" s="734"/>
      <c r="PBZ661" s="735"/>
      <c r="PCA661" s="734"/>
      <c r="PCB661" s="733"/>
      <c r="PCC661" s="734"/>
      <c r="PCD661" s="735"/>
      <c r="PCE661" s="734"/>
      <c r="PCF661" s="733"/>
      <c r="PCG661" s="734"/>
      <c r="PCH661" s="735"/>
      <c r="PCI661" s="734"/>
      <c r="PCJ661" s="733"/>
      <c r="PCK661" s="734"/>
      <c r="PCL661" s="735"/>
      <c r="PCM661" s="734"/>
      <c r="PCN661" s="733"/>
      <c r="PCO661" s="734"/>
      <c r="PCP661" s="735"/>
      <c r="PCQ661" s="734"/>
      <c r="PCR661" s="733"/>
      <c r="PCS661" s="734"/>
      <c r="PCT661" s="735"/>
      <c r="PCU661" s="734"/>
      <c r="PCV661" s="733"/>
      <c r="PCW661" s="734"/>
      <c r="PCX661" s="735"/>
      <c r="PCY661" s="734"/>
      <c r="PCZ661" s="733"/>
      <c r="PDA661" s="734"/>
      <c r="PDB661" s="735"/>
      <c r="PDC661" s="734"/>
      <c r="PDD661" s="733"/>
      <c r="PDE661" s="734"/>
      <c r="PDF661" s="735"/>
      <c r="PDG661" s="734"/>
      <c r="PDH661" s="733"/>
      <c r="PDI661" s="734"/>
      <c r="PDJ661" s="735"/>
      <c r="PDK661" s="734"/>
      <c r="PDL661" s="733"/>
      <c r="PDM661" s="734"/>
      <c r="PDN661" s="735"/>
      <c r="PDO661" s="734"/>
      <c r="PDP661" s="733"/>
      <c r="PDQ661" s="734"/>
      <c r="PDR661" s="735"/>
      <c r="PDS661" s="734"/>
      <c r="PDT661" s="733"/>
      <c r="PDU661" s="734"/>
      <c r="PDV661" s="735"/>
      <c r="PDW661" s="734"/>
      <c r="PDX661" s="733"/>
      <c r="PDY661" s="734"/>
      <c r="PDZ661" s="735"/>
      <c r="PEA661" s="734"/>
      <c r="PEB661" s="733"/>
      <c r="PEC661" s="734"/>
      <c r="PED661" s="735"/>
      <c r="PEE661" s="734"/>
      <c r="PEF661" s="733"/>
      <c r="PEG661" s="734"/>
      <c r="PEH661" s="735"/>
      <c r="PEI661" s="734"/>
      <c r="PEJ661" s="733"/>
      <c r="PEK661" s="734"/>
      <c r="PEL661" s="735"/>
      <c r="PEM661" s="734"/>
      <c r="PEN661" s="733"/>
      <c r="PEO661" s="734"/>
      <c r="PEP661" s="735"/>
      <c r="PEQ661" s="734"/>
      <c r="PER661" s="733"/>
      <c r="PES661" s="734"/>
      <c r="PET661" s="735"/>
      <c r="PEU661" s="734"/>
      <c r="PEV661" s="733"/>
      <c r="PEW661" s="734"/>
      <c r="PEX661" s="735"/>
      <c r="PEY661" s="734"/>
      <c r="PEZ661" s="733"/>
      <c r="PFA661" s="734"/>
      <c r="PFB661" s="735"/>
      <c r="PFC661" s="734"/>
      <c r="PFD661" s="733"/>
      <c r="PFE661" s="734"/>
      <c r="PFF661" s="735"/>
      <c r="PFG661" s="734"/>
      <c r="PFH661" s="733"/>
      <c r="PFI661" s="734"/>
      <c r="PFJ661" s="735"/>
      <c r="PFK661" s="734"/>
      <c r="PFL661" s="733"/>
      <c r="PFM661" s="734"/>
      <c r="PFN661" s="735"/>
      <c r="PFO661" s="734"/>
      <c r="PFP661" s="733"/>
      <c r="PFQ661" s="734"/>
      <c r="PFR661" s="735"/>
      <c r="PFS661" s="734"/>
      <c r="PFT661" s="733"/>
      <c r="PFU661" s="734"/>
      <c r="PFV661" s="735"/>
      <c r="PFW661" s="734"/>
      <c r="PFX661" s="733"/>
      <c r="PFY661" s="734"/>
      <c r="PFZ661" s="735"/>
      <c r="PGA661" s="734"/>
      <c r="PGB661" s="733"/>
      <c r="PGC661" s="734"/>
      <c r="PGD661" s="735"/>
      <c r="PGE661" s="734"/>
      <c r="PGF661" s="733"/>
      <c r="PGG661" s="734"/>
      <c r="PGH661" s="735"/>
      <c r="PGI661" s="734"/>
      <c r="PGJ661" s="733"/>
      <c r="PGK661" s="734"/>
      <c r="PGL661" s="735"/>
      <c r="PGM661" s="734"/>
      <c r="PGN661" s="733"/>
      <c r="PGO661" s="734"/>
      <c r="PGP661" s="735"/>
      <c r="PGQ661" s="734"/>
      <c r="PGR661" s="733"/>
      <c r="PGS661" s="734"/>
      <c r="PGT661" s="735"/>
      <c r="PGU661" s="734"/>
      <c r="PGV661" s="733"/>
      <c r="PGW661" s="734"/>
      <c r="PGX661" s="735"/>
      <c r="PGY661" s="734"/>
      <c r="PGZ661" s="733"/>
      <c r="PHA661" s="734"/>
      <c r="PHB661" s="735"/>
      <c r="PHC661" s="734"/>
      <c r="PHD661" s="733"/>
      <c r="PHE661" s="734"/>
      <c r="PHF661" s="735"/>
      <c r="PHG661" s="734"/>
      <c r="PHH661" s="733"/>
      <c r="PHI661" s="734"/>
      <c r="PHJ661" s="735"/>
      <c r="PHK661" s="734"/>
      <c r="PHL661" s="733"/>
      <c r="PHM661" s="734"/>
      <c r="PHN661" s="735"/>
      <c r="PHO661" s="734"/>
      <c r="PHP661" s="733"/>
      <c r="PHQ661" s="734"/>
      <c r="PHR661" s="735"/>
      <c r="PHS661" s="734"/>
      <c r="PHT661" s="733"/>
      <c r="PHU661" s="734"/>
      <c r="PHV661" s="735"/>
      <c r="PHW661" s="734"/>
      <c r="PHX661" s="733"/>
      <c r="PHY661" s="734"/>
      <c r="PHZ661" s="735"/>
      <c r="PIA661" s="734"/>
      <c r="PIB661" s="733"/>
      <c r="PIC661" s="734"/>
      <c r="PID661" s="735"/>
      <c r="PIE661" s="734"/>
      <c r="PIF661" s="733"/>
      <c r="PIG661" s="734"/>
      <c r="PIH661" s="735"/>
      <c r="PII661" s="734"/>
      <c r="PIJ661" s="733"/>
      <c r="PIK661" s="734"/>
      <c r="PIL661" s="735"/>
      <c r="PIM661" s="734"/>
      <c r="PIN661" s="733"/>
      <c r="PIO661" s="734"/>
      <c r="PIP661" s="735"/>
      <c r="PIQ661" s="734"/>
      <c r="PIR661" s="733"/>
      <c r="PIS661" s="734"/>
      <c r="PIT661" s="735"/>
      <c r="PIU661" s="734"/>
      <c r="PIV661" s="733"/>
      <c r="PIW661" s="734"/>
      <c r="PIX661" s="735"/>
      <c r="PIY661" s="734"/>
      <c r="PIZ661" s="733"/>
      <c r="PJA661" s="734"/>
      <c r="PJB661" s="735"/>
      <c r="PJC661" s="734"/>
      <c r="PJD661" s="733"/>
      <c r="PJE661" s="734"/>
      <c r="PJF661" s="735"/>
      <c r="PJG661" s="734"/>
      <c r="PJH661" s="733"/>
      <c r="PJI661" s="734"/>
      <c r="PJJ661" s="735"/>
      <c r="PJK661" s="734"/>
      <c r="PJL661" s="733"/>
      <c r="PJM661" s="734"/>
      <c r="PJN661" s="735"/>
      <c r="PJO661" s="734"/>
      <c r="PJP661" s="733"/>
      <c r="PJQ661" s="734"/>
      <c r="PJR661" s="735"/>
      <c r="PJS661" s="734"/>
      <c r="PJT661" s="733"/>
      <c r="PJU661" s="734"/>
      <c r="PJV661" s="735"/>
      <c r="PJW661" s="734"/>
      <c r="PJX661" s="733"/>
      <c r="PJY661" s="734"/>
      <c r="PJZ661" s="735"/>
      <c r="PKA661" s="734"/>
      <c r="PKB661" s="733"/>
      <c r="PKC661" s="734"/>
      <c r="PKD661" s="735"/>
      <c r="PKE661" s="734"/>
      <c r="PKF661" s="733"/>
      <c r="PKG661" s="734"/>
      <c r="PKH661" s="735"/>
      <c r="PKI661" s="734"/>
      <c r="PKJ661" s="733"/>
      <c r="PKK661" s="734"/>
      <c r="PKL661" s="735"/>
      <c r="PKM661" s="734"/>
      <c r="PKN661" s="733"/>
      <c r="PKO661" s="734"/>
      <c r="PKP661" s="735"/>
      <c r="PKQ661" s="734"/>
      <c r="PKR661" s="733"/>
      <c r="PKS661" s="734"/>
      <c r="PKT661" s="735"/>
      <c r="PKU661" s="734"/>
      <c r="PKV661" s="733"/>
      <c r="PKW661" s="734"/>
      <c r="PKX661" s="735"/>
      <c r="PKY661" s="734"/>
      <c r="PKZ661" s="733"/>
      <c r="PLA661" s="734"/>
      <c r="PLB661" s="735"/>
      <c r="PLC661" s="734"/>
      <c r="PLD661" s="733"/>
      <c r="PLE661" s="734"/>
      <c r="PLF661" s="735"/>
      <c r="PLG661" s="734"/>
      <c r="PLH661" s="733"/>
      <c r="PLI661" s="734"/>
      <c r="PLJ661" s="735"/>
      <c r="PLK661" s="734"/>
      <c r="PLL661" s="733"/>
      <c r="PLM661" s="734"/>
      <c r="PLN661" s="735"/>
      <c r="PLO661" s="734"/>
      <c r="PLP661" s="733"/>
      <c r="PLQ661" s="734"/>
      <c r="PLR661" s="735"/>
      <c r="PLS661" s="734"/>
      <c r="PLT661" s="733"/>
      <c r="PLU661" s="734"/>
      <c r="PLV661" s="735"/>
      <c r="PLW661" s="734"/>
      <c r="PLX661" s="733"/>
      <c r="PLY661" s="734"/>
      <c r="PLZ661" s="735"/>
      <c r="PMA661" s="734"/>
      <c r="PMB661" s="733"/>
      <c r="PMC661" s="734"/>
      <c r="PMD661" s="735"/>
      <c r="PME661" s="734"/>
      <c r="PMF661" s="733"/>
      <c r="PMG661" s="734"/>
      <c r="PMH661" s="735"/>
      <c r="PMI661" s="734"/>
      <c r="PMJ661" s="733"/>
      <c r="PMK661" s="734"/>
      <c r="PML661" s="735"/>
      <c r="PMM661" s="734"/>
      <c r="PMN661" s="733"/>
      <c r="PMO661" s="734"/>
      <c r="PMP661" s="735"/>
      <c r="PMQ661" s="734"/>
      <c r="PMR661" s="733"/>
      <c r="PMS661" s="734"/>
      <c r="PMT661" s="735"/>
      <c r="PMU661" s="734"/>
      <c r="PMV661" s="733"/>
      <c r="PMW661" s="734"/>
      <c r="PMX661" s="735"/>
      <c r="PMY661" s="734"/>
      <c r="PMZ661" s="733"/>
      <c r="PNA661" s="734"/>
      <c r="PNB661" s="735"/>
      <c r="PNC661" s="734"/>
      <c r="PND661" s="733"/>
      <c r="PNE661" s="734"/>
      <c r="PNF661" s="735"/>
      <c r="PNG661" s="734"/>
      <c r="PNH661" s="733"/>
      <c r="PNI661" s="734"/>
      <c r="PNJ661" s="735"/>
      <c r="PNK661" s="734"/>
      <c r="PNL661" s="733"/>
      <c r="PNM661" s="734"/>
      <c r="PNN661" s="735"/>
      <c r="PNO661" s="734"/>
      <c r="PNP661" s="733"/>
      <c r="PNQ661" s="734"/>
      <c r="PNR661" s="735"/>
      <c r="PNS661" s="734"/>
      <c r="PNT661" s="733"/>
      <c r="PNU661" s="734"/>
      <c r="PNV661" s="735"/>
      <c r="PNW661" s="734"/>
      <c r="PNX661" s="733"/>
      <c r="PNY661" s="734"/>
      <c r="PNZ661" s="735"/>
      <c r="POA661" s="734"/>
      <c r="POB661" s="733"/>
      <c r="POC661" s="734"/>
      <c r="POD661" s="735"/>
      <c r="POE661" s="734"/>
      <c r="POF661" s="733"/>
      <c r="POG661" s="734"/>
      <c r="POH661" s="735"/>
      <c r="POI661" s="734"/>
      <c r="POJ661" s="733"/>
      <c r="POK661" s="734"/>
      <c r="POL661" s="735"/>
      <c r="POM661" s="734"/>
      <c r="PON661" s="733"/>
      <c r="POO661" s="734"/>
      <c r="POP661" s="735"/>
      <c r="POQ661" s="734"/>
      <c r="POR661" s="733"/>
      <c r="POS661" s="734"/>
      <c r="POT661" s="735"/>
      <c r="POU661" s="734"/>
      <c r="POV661" s="733"/>
      <c r="POW661" s="734"/>
      <c r="POX661" s="735"/>
      <c r="POY661" s="734"/>
      <c r="POZ661" s="733"/>
      <c r="PPA661" s="734"/>
      <c r="PPB661" s="735"/>
      <c r="PPC661" s="734"/>
      <c r="PPD661" s="733"/>
      <c r="PPE661" s="734"/>
      <c r="PPF661" s="735"/>
      <c r="PPG661" s="734"/>
      <c r="PPH661" s="733"/>
      <c r="PPI661" s="734"/>
      <c r="PPJ661" s="735"/>
      <c r="PPK661" s="734"/>
      <c r="PPL661" s="733"/>
      <c r="PPM661" s="734"/>
      <c r="PPN661" s="735"/>
      <c r="PPO661" s="734"/>
      <c r="PPP661" s="733"/>
      <c r="PPQ661" s="734"/>
      <c r="PPR661" s="735"/>
      <c r="PPS661" s="734"/>
      <c r="PPT661" s="733"/>
      <c r="PPU661" s="734"/>
      <c r="PPV661" s="735"/>
      <c r="PPW661" s="734"/>
      <c r="PPX661" s="733"/>
      <c r="PPY661" s="734"/>
      <c r="PPZ661" s="735"/>
      <c r="PQA661" s="734"/>
      <c r="PQB661" s="733"/>
      <c r="PQC661" s="734"/>
      <c r="PQD661" s="735"/>
      <c r="PQE661" s="734"/>
      <c r="PQF661" s="733"/>
      <c r="PQG661" s="734"/>
      <c r="PQH661" s="735"/>
      <c r="PQI661" s="734"/>
      <c r="PQJ661" s="733"/>
      <c r="PQK661" s="734"/>
      <c r="PQL661" s="735"/>
      <c r="PQM661" s="734"/>
      <c r="PQN661" s="733"/>
      <c r="PQO661" s="734"/>
      <c r="PQP661" s="735"/>
      <c r="PQQ661" s="734"/>
      <c r="PQR661" s="733"/>
      <c r="PQS661" s="734"/>
      <c r="PQT661" s="735"/>
      <c r="PQU661" s="734"/>
      <c r="PQV661" s="733"/>
      <c r="PQW661" s="734"/>
      <c r="PQX661" s="735"/>
      <c r="PQY661" s="734"/>
      <c r="PQZ661" s="733"/>
      <c r="PRA661" s="734"/>
      <c r="PRB661" s="735"/>
      <c r="PRC661" s="734"/>
      <c r="PRD661" s="733"/>
      <c r="PRE661" s="734"/>
      <c r="PRF661" s="735"/>
      <c r="PRG661" s="734"/>
      <c r="PRH661" s="733"/>
      <c r="PRI661" s="734"/>
      <c r="PRJ661" s="735"/>
      <c r="PRK661" s="734"/>
      <c r="PRL661" s="733"/>
      <c r="PRM661" s="734"/>
      <c r="PRN661" s="735"/>
      <c r="PRO661" s="734"/>
      <c r="PRP661" s="733"/>
      <c r="PRQ661" s="734"/>
      <c r="PRR661" s="735"/>
      <c r="PRS661" s="734"/>
      <c r="PRT661" s="733"/>
      <c r="PRU661" s="734"/>
      <c r="PRV661" s="735"/>
      <c r="PRW661" s="734"/>
      <c r="PRX661" s="733"/>
      <c r="PRY661" s="734"/>
      <c r="PRZ661" s="735"/>
      <c r="PSA661" s="734"/>
      <c r="PSB661" s="733"/>
      <c r="PSC661" s="734"/>
      <c r="PSD661" s="735"/>
      <c r="PSE661" s="734"/>
      <c r="PSF661" s="733"/>
      <c r="PSG661" s="734"/>
      <c r="PSH661" s="735"/>
      <c r="PSI661" s="734"/>
      <c r="PSJ661" s="733"/>
      <c r="PSK661" s="734"/>
      <c r="PSL661" s="735"/>
      <c r="PSM661" s="734"/>
      <c r="PSN661" s="733"/>
      <c r="PSO661" s="734"/>
      <c r="PSP661" s="735"/>
      <c r="PSQ661" s="734"/>
      <c r="PSR661" s="733"/>
      <c r="PSS661" s="734"/>
      <c r="PST661" s="735"/>
      <c r="PSU661" s="734"/>
      <c r="PSV661" s="733"/>
      <c r="PSW661" s="734"/>
      <c r="PSX661" s="735"/>
      <c r="PSY661" s="734"/>
      <c r="PSZ661" s="733"/>
      <c r="PTA661" s="734"/>
      <c r="PTB661" s="735"/>
      <c r="PTC661" s="734"/>
      <c r="PTD661" s="733"/>
      <c r="PTE661" s="734"/>
      <c r="PTF661" s="735"/>
      <c r="PTG661" s="734"/>
      <c r="PTH661" s="733"/>
      <c r="PTI661" s="734"/>
      <c r="PTJ661" s="735"/>
      <c r="PTK661" s="734"/>
      <c r="PTL661" s="733"/>
      <c r="PTM661" s="734"/>
      <c r="PTN661" s="735"/>
      <c r="PTO661" s="734"/>
      <c r="PTP661" s="733"/>
      <c r="PTQ661" s="734"/>
      <c r="PTR661" s="735"/>
      <c r="PTS661" s="734"/>
      <c r="PTT661" s="733"/>
      <c r="PTU661" s="734"/>
      <c r="PTV661" s="735"/>
      <c r="PTW661" s="734"/>
      <c r="PTX661" s="733"/>
      <c r="PTY661" s="734"/>
      <c r="PTZ661" s="735"/>
      <c r="PUA661" s="734"/>
      <c r="PUB661" s="733"/>
      <c r="PUC661" s="734"/>
      <c r="PUD661" s="735"/>
      <c r="PUE661" s="734"/>
      <c r="PUF661" s="733"/>
      <c r="PUG661" s="734"/>
      <c r="PUH661" s="735"/>
      <c r="PUI661" s="734"/>
      <c r="PUJ661" s="733"/>
      <c r="PUK661" s="734"/>
      <c r="PUL661" s="735"/>
      <c r="PUM661" s="734"/>
      <c r="PUN661" s="733"/>
      <c r="PUO661" s="734"/>
      <c r="PUP661" s="735"/>
      <c r="PUQ661" s="734"/>
      <c r="PUR661" s="733"/>
      <c r="PUS661" s="734"/>
      <c r="PUT661" s="735"/>
      <c r="PUU661" s="734"/>
      <c r="PUV661" s="733"/>
      <c r="PUW661" s="734"/>
      <c r="PUX661" s="735"/>
      <c r="PUY661" s="734"/>
      <c r="PUZ661" s="733"/>
      <c r="PVA661" s="734"/>
      <c r="PVB661" s="735"/>
      <c r="PVC661" s="734"/>
      <c r="PVD661" s="733"/>
      <c r="PVE661" s="734"/>
      <c r="PVF661" s="735"/>
      <c r="PVG661" s="734"/>
      <c r="PVH661" s="733"/>
      <c r="PVI661" s="734"/>
      <c r="PVJ661" s="735"/>
      <c r="PVK661" s="734"/>
      <c r="PVL661" s="733"/>
      <c r="PVM661" s="734"/>
      <c r="PVN661" s="735"/>
      <c r="PVO661" s="734"/>
      <c r="PVP661" s="733"/>
      <c r="PVQ661" s="734"/>
      <c r="PVR661" s="735"/>
      <c r="PVS661" s="734"/>
      <c r="PVT661" s="733"/>
      <c r="PVU661" s="734"/>
      <c r="PVV661" s="735"/>
      <c r="PVW661" s="734"/>
      <c r="PVX661" s="733"/>
      <c r="PVY661" s="734"/>
      <c r="PVZ661" s="735"/>
      <c r="PWA661" s="734"/>
      <c r="PWB661" s="733"/>
      <c r="PWC661" s="734"/>
      <c r="PWD661" s="735"/>
      <c r="PWE661" s="734"/>
      <c r="PWF661" s="733"/>
      <c r="PWG661" s="734"/>
      <c r="PWH661" s="735"/>
      <c r="PWI661" s="734"/>
      <c r="PWJ661" s="733"/>
      <c r="PWK661" s="734"/>
      <c r="PWL661" s="735"/>
      <c r="PWM661" s="734"/>
      <c r="PWN661" s="733"/>
      <c r="PWO661" s="734"/>
      <c r="PWP661" s="735"/>
      <c r="PWQ661" s="734"/>
      <c r="PWR661" s="733"/>
      <c r="PWS661" s="734"/>
      <c r="PWT661" s="735"/>
      <c r="PWU661" s="734"/>
      <c r="PWV661" s="733"/>
      <c r="PWW661" s="734"/>
      <c r="PWX661" s="735"/>
      <c r="PWY661" s="734"/>
      <c r="PWZ661" s="733"/>
      <c r="PXA661" s="734"/>
      <c r="PXB661" s="735"/>
      <c r="PXC661" s="734"/>
      <c r="PXD661" s="733"/>
      <c r="PXE661" s="734"/>
      <c r="PXF661" s="735"/>
      <c r="PXG661" s="734"/>
      <c r="PXH661" s="733"/>
      <c r="PXI661" s="734"/>
      <c r="PXJ661" s="735"/>
      <c r="PXK661" s="734"/>
      <c r="PXL661" s="733"/>
      <c r="PXM661" s="734"/>
      <c r="PXN661" s="735"/>
      <c r="PXO661" s="734"/>
      <c r="PXP661" s="733"/>
      <c r="PXQ661" s="734"/>
      <c r="PXR661" s="735"/>
      <c r="PXS661" s="734"/>
      <c r="PXT661" s="733"/>
      <c r="PXU661" s="734"/>
      <c r="PXV661" s="735"/>
      <c r="PXW661" s="734"/>
      <c r="PXX661" s="733"/>
      <c r="PXY661" s="734"/>
      <c r="PXZ661" s="735"/>
      <c r="PYA661" s="734"/>
      <c r="PYB661" s="733"/>
      <c r="PYC661" s="734"/>
      <c r="PYD661" s="735"/>
      <c r="PYE661" s="734"/>
      <c r="PYF661" s="733"/>
      <c r="PYG661" s="734"/>
      <c r="PYH661" s="735"/>
      <c r="PYI661" s="734"/>
      <c r="PYJ661" s="733"/>
      <c r="PYK661" s="734"/>
      <c r="PYL661" s="735"/>
      <c r="PYM661" s="734"/>
      <c r="PYN661" s="733"/>
      <c r="PYO661" s="734"/>
      <c r="PYP661" s="735"/>
      <c r="PYQ661" s="734"/>
      <c r="PYR661" s="733"/>
      <c r="PYS661" s="734"/>
      <c r="PYT661" s="735"/>
      <c r="PYU661" s="734"/>
      <c r="PYV661" s="733"/>
      <c r="PYW661" s="734"/>
      <c r="PYX661" s="735"/>
      <c r="PYY661" s="734"/>
      <c r="PYZ661" s="733"/>
      <c r="PZA661" s="734"/>
      <c r="PZB661" s="735"/>
      <c r="PZC661" s="734"/>
      <c r="PZD661" s="733"/>
      <c r="PZE661" s="734"/>
      <c r="PZF661" s="735"/>
      <c r="PZG661" s="734"/>
      <c r="PZH661" s="733"/>
      <c r="PZI661" s="734"/>
      <c r="PZJ661" s="735"/>
      <c r="PZK661" s="734"/>
      <c r="PZL661" s="733"/>
      <c r="PZM661" s="734"/>
      <c r="PZN661" s="735"/>
      <c r="PZO661" s="734"/>
      <c r="PZP661" s="733"/>
      <c r="PZQ661" s="734"/>
      <c r="PZR661" s="735"/>
      <c r="PZS661" s="734"/>
      <c r="PZT661" s="733"/>
      <c r="PZU661" s="734"/>
      <c r="PZV661" s="735"/>
      <c r="PZW661" s="734"/>
      <c r="PZX661" s="733"/>
      <c r="PZY661" s="734"/>
      <c r="PZZ661" s="735"/>
      <c r="QAA661" s="734"/>
      <c r="QAB661" s="733"/>
      <c r="QAC661" s="734"/>
      <c r="QAD661" s="735"/>
      <c r="QAE661" s="734"/>
      <c r="QAF661" s="733"/>
      <c r="QAG661" s="734"/>
      <c r="QAH661" s="735"/>
      <c r="QAI661" s="734"/>
      <c r="QAJ661" s="733"/>
      <c r="QAK661" s="734"/>
      <c r="QAL661" s="735"/>
      <c r="QAM661" s="734"/>
      <c r="QAN661" s="733"/>
      <c r="QAO661" s="734"/>
      <c r="QAP661" s="735"/>
      <c r="QAQ661" s="734"/>
      <c r="QAR661" s="733"/>
      <c r="QAS661" s="734"/>
      <c r="QAT661" s="735"/>
      <c r="QAU661" s="734"/>
      <c r="QAV661" s="733"/>
      <c r="QAW661" s="734"/>
      <c r="QAX661" s="735"/>
      <c r="QAY661" s="734"/>
      <c r="QAZ661" s="733"/>
      <c r="QBA661" s="734"/>
      <c r="QBB661" s="735"/>
      <c r="QBC661" s="734"/>
      <c r="QBD661" s="733"/>
      <c r="QBE661" s="734"/>
      <c r="QBF661" s="735"/>
      <c r="QBG661" s="734"/>
      <c r="QBH661" s="733"/>
      <c r="QBI661" s="734"/>
      <c r="QBJ661" s="735"/>
      <c r="QBK661" s="734"/>
      <c r="QBL661" s="733"/>
      <c r="QBM661" s="734"/>
      <c r="QBN661" s="735"/>
      <c r="QBO661" s="734"/>
      <c r="QBP661" s="733"/>
      <c r="QBQ661" s="734"/>
      <c r="QBR661" s="735"/>
      <c r="QBS661" s="734"/>
      <c r="QBT661" s="733"/>
      <c r="QBU661" s="734"/>
      <c r="QBV661" s="735"/>
      <c r="QBW661" s="734"/>
      <c r="QBX661" s="733"/>
      <c r="QBY661" s="734"/>
      <c r="QBZ661" s="735"/>
      <c r="QCA661" s="734"/>
      <c r="QCB661" s="733"/>
      <c r="QCC661" s="734"/>
      <c r="QCD661" s="735"/>
      <c r="QCE661" s="734"/>
      <c r="QCF661" s="733"/>
      <c r="QCG661" s="734"/>
      <c r="QCH661" s="735"/>
      <c r="QCI661" s="734"/>
      <c r="QCJ661" s="733"/>
      <c r="QCK661" s="734"/>
      <c r="QCL661" s="735"/>
      <c r="QCM661" s="734"/>
      <c r="QCN661" s="733"/>
      <c r="QCO661" s="734"/>
      <c r="QCP661" s="735"/>
      <c r="QCQ661" s="734"/>
      <c r="QCR661" s="733"/>
      <c r="QCS661" s="734"/>
      <c r="QCT661" s="735"/>
      <c r="QCU661" s="734"/>
      <c r="QCV661" s="733"/>
      <c r="QCW661" s="734"/>
      <c r="QCX661" s="735"/>
      <c r="QCY661" s="734"/>
      <c r="QCZ661" s="733"/>
      <c r="QDA661" s="734"/>
      <c r="QDB661" s="735"/>
      <c r="QDC661" s="734"/>
      <c r="QDD661" s="733"/>
      <c r="QDE661" s="734"/>
      <c r="QDF661" s="735"/>
      <c r="QDG661" s="734"/>
      <c r="QDH661" s="733"/>
      <c r="QDI661" s="734"/>
      <c r="QDJ661" s="735"/>
      <c r="QDK661" s="734"/>
      <c r="QDL661" s="733"/>
      <c r="QDM661" s="734"/>
      <c r="QDN661" s="735"/>
      <c r="QDO661" s="734"/>
      <c r="QDP661" s="733"/>
      <c r="QDQ661" s="734"/>
      <c r="QDR661" s="735"/>
      <c r="QDS661" s="734"/>
      <c r="QDT661" s="733"/>
      <c r="QDU661" s="734"/>
      <c r="QDV661" s="735"/>
      <c r="QDW661" s="734"/>
      <c r="QDX661" s="733"/>
      <c r="QDY661" s="734"/>
      <c r="QDZ661" s="735"/>
      <c r="QEA661" s="734"/>
      <c r="QEB661" s="733"/>
      <c r="QEC661" s="734"/>
      <c r="QED661" s="735"/>
      <c r="QEE661" s="734"/>
      <c r="QEF661" s="733"/>
      <c r="QEG661" s="734"/>
      <c r="QEH661" s="735"/>
      <c r="QEI661" s="734"/>
      <c r="QEJ661" s="733"/>
      <c r="QEK661" s="734"/>
      <c r="QEL661" s="735"/>
      <c r="QEM661" s="734"/>
      <c r="QEN661" s="733"/>
      <c r="QEO661" s="734"/>
      <c r="QEP661" s="735"/>
      <c r="QEQ661" s="734"/>
      <c r="QER661" s="733"/>
      <c r="QES661" s="734"/>
      <c r="QET661" s="735"/>
      <c r="QEU661" s="734"/>
      <c r="QEV661" s="733"/>
      <c r="QEW661" s="734"/>
      <c r="QEX661" s="735"/>
      <c r="QEY661" s="734"/>
      <c r="QEZ661" s="733"/>
      <c r="QFA661" s="734"/>
      <c r="QFB661" s="735"/>
      <c r="QFC661" s="734"/>
      <c r="QFD661" s="733"/>
      <c r="QFE661" s="734"/>
      <c r="QFF661" s="735"/>
      <c r="QFG661" s="734"/>
      <c r="QFH661" s="733"/>
      <c r="QFI661" s="734"/>
      <c r="QFJ661" s="735"/>
      <c r="QFK661" s="734"/>
      <c r="QFL661" s="733"/>
      <c r="QFM661" s="734"/>
      <c r="QFN661" s="735"/>
      <c r="QFO661" s="734"/>
      <c r="QFP661" s="733"/>
      <c r="QFQ661" s="734"/>
      <c r="QFR661" s="735"/>
      <c r="QFS661" s="734"/>
      <c r="QFT661" s="733"/>
      <c r="QFU661" s="734"/>
      <c r="QFV661" s="735"/>
      <c r="QFW661" s="734"/>
      <c r="QFX661" s="733"/>
      <c r="QFY661" s="734"/>
      <c r="QFZ661" s="735"/>
      <c r="QGA661" s="734"/>
      <c r="QGB661" s="733"/>
      <c r="QGC661" s="734"/>
      <c r="QGD661" s="735"/>
      <c r="QGE661" s="734"/>
      <c r="QGF661" s="733"/>
      <c r="QGG661" s="734"/>
      <c r="QGH661" s="735"/>
      <c r="QGI661" s="734"/>
      <c r="QGJ661" s="733"/>
      <c r="QGK661" s="734"/>
      <c r="QGL661" s="735"/>
      <c r="QGM661" s="734"/>
      <c r="QGN661" s="733"/>
      <c r="QGO661" s="734"/>
      <c r="QGP661" s="735"/>
      <c r="QGQ661" s="734"/>
      <c r="QGR661" s="733"/>
      <c r="QGS661" s="734"/>
      <c r="QGT661" s="735"/>
      <c r="QGU661" s="734"/>
      <c r="QGV661" s="733"/>
      <c r="QGW661" s="734"/>
      <c r="QGX661" s="735"/>
      <c r="QGY661" s="734"/>
      <c r="QGZ661" s="733"/>
      <c r="QHA661" s="734"/>
      <c r="QHB661" s="735"/>
      <c r="QHC661" s="734"/>
      <c r="QHD661" s="733"/>
      <c r="QHE661" s="734"/>
      <c r="QHF661" s="735"/>
      <c r="QHG661" s="734"/>
      <c r="QHH661" s="733"/>
      <c r="QHI661" s="734"/>
      <c r="QHJ661" s="735"/>
      <c r="QHK661" s="734"/>
      <c r="QHL661" s="733"/>
      <c r="QHM661" s="734"/>
      <c r="QHN661" s="735"/>
      <c r="QHO661" s="734"/>
      <c r="QHP661" s="733"/>
      <c r="QHQ661" s="734"/>
      <c r="QHR661" s="735"/>
      <c r="QHS661" s="734"/>
      <c r="QHT661" s="733"/>
      <c r="QHU661" s="734"/>
      <c r="QHV661" s="735"/>
      <c r="QHW661" s="734"/>
      <c r="QHX661" s="733"/>
      <c r="QHY661" s="734"/>
      <c r="QHZ661" s="735"/>
      <c r="QIA661" s="734"/>
      <c r="QIB661" s="733"/>
      <c r="QIC661" s="734"/>
      <c r="QID661" s="735"/>
      <c r="QIE661" s="734"/>
      <c r="QIF661" s="733"/>
      <c r="QIG661" s="734"/>
      <c r="QIH661" s="735"/>
      <c r="QII661" s="734"/>
      <c r="QIJ661" s="733"/>
      <c r="QIK661" s="734"/>
      <c r="QIL661" s="735"/>
      <c r="QIM661" s="734"/>
      <c r="QIN661" s="733"/>
      <c r="QIO661" s="734"/>
      <c r="QIP661" s="735"/>
      <c r="QIQ661" s="734"/>
      <c r="QIR661" s="733"/>
      <c r="QIS661" s="734"/>
      <c r="QIT661" s="735"/>
      <c r="QIU661" s="734"/>
      <c r="QIV661" s="733"/>
      <c r="QIW661" s="734"/>
      <c r="QIX661" s="735"/>
      <c r="QIY661" s="734"/>
      <c r="QIZ661" s="733"/>
      <c r="QJA661" s="734"/>
      <c r="QJB661" s="735"/>
      <c r="QJC661" s="734"/>
      <c r="QJD661" s="733"/>
      <c r="QJE661" s="734"/>
      <c r="QJF661" s="735"/>
      <c r="QJG661" s="734"/>
      <c r="QJH661" s="733"/>
      <c r="QJI661" s="734"/>
      <c r="QJJ661" s="735"/>
      <c r="QJK661" s="734"/>
      <c r="QJL661" s="733"/>
      <c r="QJM661" s="734"/>
      <c r="QJN661" s="735"/>
      <c r="QJO661" s="734"/>
      <c r="QJP661" s="733"/>
      <c r="QJQ661" s="734"/>
      <c r="QJR661" s="735"/>
      <c r="QJS661" s="734"/>
      <c r="QJT661" s="733"/>
      <c r="QJU661" s="734"/>
      <c r="QJV661" s="735"/>
      <c r="QJW661" s="734"/>
      <c r="QJX661" s="733"/>
      <c r="QJY661" s="734"/>
      <c r="QJZ661" s="735"/>
      <c r="QKA661" s="734"/>
      <c r="QKB661" s="733"/>
      <c r="QKC661" s="734"/>
      <c r="QKD661" s="735"/>
      <c r="QKE661" s="734"/>
      <c r="QKF661" s="733"/>
      <c r="QKG661" s="734"/>
      <c r="QKH661" s="735"/>
      <c r="QKI661" s="734"/>
      <c r="QKJ661" s="733"/>
      <c r="QKK661" s="734"/>
      <c r="QKL661" s="735"/>
      <c r="QKM661" s="734"/>
      <c r="QKN661" s="733"/>
      <c r="QKO661" s="734"/>
      <c r="QKP661" s="735"/>
      <c r="QKQ661" s="734"/>
      <c r="QKR661" s="733"/>
      <c r="QKS661" s="734"/>
      <c r="QKT661" s="735"/>
      <c r="QKU661" s="734"/>
      <c r="QKV661" s="733"/>
      <c r="QKW661" s="734"/>
      <c r="QKX661" s="735"/>
      <c r="QKY661" s="734"/>
      <c r="QKZ661" s="733"/>
      <c r="QLA661" s="734"/>
      <c r="QLB661" s="735"/>
      <c r="QLC661" s="734"/>
      <c r="QLD661" s="733"/>
      <c r="QLE661" s="734"/>
      <c r="QLF661" s="735"/>
      <c r="QLG661" s="734"/>
      <c r="QLH661" s="733"/>
      <c r="QLI661" s="734"/>
      <c r="QLJ661" s="735"/>
      <c r="QLK661" s="734"/>
      <c r="QLL661" s="733"/>
      <c r="QLM661" s="734"/>
      <c r="QLN661" s="735"/>
      <c r="QLO661" s="734"/>
      <c r="QLP661" s="733"/>
      <c r="QLQ661" s="734"/>
      <c r="QLR661" s="735"/>
      <c r="QLS661" s="734"/>
      <c r="QLT661" s="733"/>
      <c r="QLU661" s="734"/>
      <c r="QLV661" s="735"/>
      <c r="QLW661" s="734"/>
      <c r="QLX661" s="733"/>
      <c r="QLY661" s="734"/>
      <c r="QLZ661" s="735"/>
      <c r="QMA661" s="734"/>
      <c r="QMB661" s="733"/>
      <c r="QMC661" s="734"/>
      <c r="QMD661" s="735"/>
      <c r="QME661" s="734"/>
      <c r="QMF661" s="733"/>
      <c r="QMG661" s="734"/>
      <c r="QMH661" s="735"/>
      <c r="QMI661" s="734"/>
      <c r="QMJ661" s="733"/>
      <c r="QMK661" s="734"/>
      <c r="QML661" s="735"/>
      <c r="QMM661" s="734"/>
      <c r="QMN661" s="733"/>
      <c r="QMO661" s="734"/>
      <c r="QMP661" s="735"/>
      <c r="QMQ661" s="734"/>
      <c r="QMR661" s="733"/>
      <c r="QMS661" s="734"/>
      <c r="QMT661" s="735"/>
      <c r="QMU661" s="734"/>
      <c r="QMV661" s="733"/>
      <c r="QMW661" s="734"/>
      <c r="QMX661" s="735"/>
      <c r="QMY661" s="734"/>
      <c r="QMZ661" s="733"/>
      <c r="QNA661" s="734"/>
      <c r="QNB661" s="735"/>
      <c r="QNC661" s="734"/>
      <c r="QND661" s="733"/>
      <c r="QNE661" s="734"/>
      <c r="QNF661" s="735"/>
      <c r="QNG661" s="734"/>
      <c r="QNH661" s="733"/>
      <c r="QNI661" s="734"/>
      <c r="QNJ661" s="735"/>
      <c r="QNK661" s="734"/>
      <c r="QNL661" s="733"/>
      <c r="QNM661" s="734"/>
      <c r="QNN661" s="735"/>
      <c r="QNO661" s="734"/>
      <c r="QNP661" s="733"/>
      <c r="QNQ661" s="734"/>
      <c r="QNR661" s="735"/>
      <c r="QNS661" s="734"/>
      <c r="QNT661" s="733"/>
      <c r="QNU661" s="734"/>
      <c r="QNV661" s="735"/>
      <c r="QNW661" s="734"/>
      <c r="QNX661" s="733"/>
      <c r="QNY661" s="734"/>
      <c r="QNZ661" s="735"/>
      <c r="QOA661" s="734"/>
      <c r="QOB661" s="733"/>
      <c r="QOC661" s="734"/>
      <c r="QOD661" s="735"/>
      <c r="QOE661" s="734"/>
      <c r="QOF661" s="733"/>
      <c r="QOG661" s="734"/>
      <c r="QOH661" s="735"/>
      <c r="QOI661" s="734"/>
      <c r="QOJ661" s="733"/>
      <c r="QOK661" s="734"/>
      <c r="QOL661" s="735"/>
      <c r="QOM661" s="734"/>
      <c r="QON661" s="733"/>
      <c r="QOO661" s="734"/>
      <c r="QOP661" s="735"/>
      <c r="QOQ661" s="734"/>
      <c r="QOR661" s="733"/>
      <c r="QOS661" s="734"/>
      <c r="QOT661" s="735"/>
      <c r="QOU661" s="734"/>
      <c r="QOV661" s="733"/>
      <c r="QOW661" s="734"/>
      <c r="QOX661" s="735"/>
      <c r="QOY661" s="734"/>
      <c r="QOZ661" s="733"/>
      <c r="QPA661" s="734"/>
      <c r="QPB661" s="735"/>
      <c r="QPC661" s="734"/>
      <c r="QPD661" s="733"/>
      <c r="QPE661" s="734"/>
      <c r="QPF661" s="735"/>
      <c r="QPG661" s="734"/>
      <c r="QPH661" s="733"/>
      <c r="QPI661" s="734"/>
      <c r="QPJ661" s="735"/>
      <c r="QPK661" s="734"/>
      <c r="QPL661" s="733"/>
      <c r="QPM661" s="734"/>
      <c r="QPN661" s="735"/>
      <c r="QPO661" s="734"/>
      <c r="QPP661" s="733"/>
      <c r="QPQ661" s="734"/>
      <c r="QPR661" s="735"/>
      <c r="QPS661" s="734"/>
      <c r="QPT661" s="733"/>
      <c r="QPU661" s="734"/>
      <c r="QPV661" s="735"/>
      <c r="QPW661" s="734"/>
      <c r="QPX661" s="733"/>
      <c r="QPY661" s="734"/>
      <c r="QPZ661" s="735"/>
      <c r="QQA661" s="734"/>
      <c r="QQB661" s="733"/>
      <c r="QQC661" s="734"/>
      <c r="QQD661" s="735"/>
      <c r="QQE661" s="734"/>
      <c r="QQF661" s="733"/>
      <c r="QQG661" s="734"/>
      <c r="QQH661" s="735"/>
      <c r="QQI661" s="734"/>
      <c r="QQJ661" s="733"/>
      <c r="QQK661" s="734"/>
      <c r="QQL661" s="735"/>
      <c r="QQM661" s="734"/>
      <c r="QQN661" s="733"/>
      <c r="QQO661" s="734"/>
      <c r="QQP661" s="735"/>
      <c r="QQQ661" s="734"/>
      <c r="QQR661" s="733"/>
      <c r="QQS661" s="734"/>
      <c r="QQT661" s="735"/>
      <c r="QQU661" s="734"/>
      <c r="QQV661" s="733"/>
      <c r="QQW661" s="734"/>
      <c r="QQX661" s="735"/>
      <c r="QQY661" s="734"/>
      <c r="QQZ661" s="733"/>
      <c r="QRA661" s="734"/>
      <c r="QRB661" s="735"/>
      <c r="QRC661" s="734"/>
      <c r="QRD661" s="733"/>
      <c r="QRE661" s="734"/>
      <c r="QRF661" s="735"/>
      <c r="QRG661" s="734"/>
      <c r="QRH661" s="733"/>
      <c r="QRI661" s="734"/>
      <c r="QRJ661" s="735"/>
      <c r="QRK661" s="734"/>
      <c r="QRL661" s="733"/>
      <c r="QRM661" s="734"/>
      <c r="QRN661" s="735"/>
      <c r="QRO661" s="734"/>
      <c r="QRP661" s="733"/>
      <c r="QRQ661" s="734"/>
      <c r="QRR661" s="735"/>
      <c r="QRS661" s="734"/>
      <c r="QRT661" s="733"/>
      <c r="QRU661" s="734"/>
      <c r="QRV661" s="735"/>
      <c r="QRW661" s="734"/>
      <c r="QRX661" s="733"/>
      <c r="QRY661" s="734"/>
      <c r="QRZ661" s="735"/>
      <c r="QSA661" s="734"/>
      <c r="QSB661" s="733"/>
      <c r="QSC661" s="734"/>
      <c r="QSD661" s="735"/>
      <c r="QSE661" s="734"/>
      <c r="QSF661" s="733"/>
      <c r="QSG661" s="734"/>
      <c r="QSH661" s="735"/>
      <c r="QSI661" s="734"/>
      <c r="QSJ661" s="733"/>
      <c r="QSK661" s="734"/>
      <c r="QSL661" s="735"/>
      <c r="QSM661" s="734"/>
      <c r="QSN661" s="733"/>
      <c r="QSO661" s="734"/>
      <c r="QSP661" s="735"/>
      <c r="QSQ661" s="734"/>
      <c r="QSR661" s="733"/>
      <c r="QSS661" s="734"/>
      <c r="QST661" s="735"/>
      <c r="QSU661" s="734"/>
      <c r="QSV661" s="733"/>
      <c r="QSW661" s="734"/>
      <c r="QSX661" s="735"/>
      <c r="QSY661" s="734"/>
      <c r="QSZ661" s="733"/>
      <c r="QTA661" s="734"/>
      <c r="QTB661" s="735"/>
      <c r="QTC661" s="734"/>
      <c r="QTD661" s="733"/>
      <c r="QTE661" s="734"/>
      <c r="QTF661" s="735"/>
      <c r="QTG661" s="734"/>
      <c r="QTH661" s="733"/>
      <c r="QTI661" s="734"/>
      <c r="QTJ661" s="735"/>
      <c r="QTK661" s="734"/>
      <c r="QTL661" s="733"/>
      <c r="QTM661" s="734"/>
      <c r="QTN661" s="735"/>
      <c r="QTO661" s="734"/>
      <c r="QTP661" s="733"/>
      <c r="QTQ661" s="734"/>
      <c r="QTR661" s="735"/>
      <c r="QTS661" s="734"/>
      <c r="QTT661" s="733"/>
      <c r="QTU661" s="734"/>
      <c r="QTV661" s="735"/>
      <c r="QTW661" s="734"/>
      <c r="QTX661" s="733"/>
      <c r="QTY661" s="734"/>
      <c r="QTZ661" s="735"/>
      <c r="QUA661" s="734"/>
      <c r="QUB661" s="733"/>
      <c r="QUC661" s="734"/>
      <c r="QUD661" s="735"/>
      <c r="QUE661" s="734"/>
      <c r="QUF661" s="733"/>
      <c r="QUG661" s="734"/>
      <c r="QUH661" s="735"/>
      <c r="QUI661" s="734"/>
      <c r="QUJ661" s="733"/>
      <c r="QUK661" s="734"/>
      <c r="QUL661" s="735"/>
      <c r="QUM661" s="734"/>
      <c r="QUN661" s="733"/>
      <c r="QUO661" s="734"/>
      <c r="QUP661" s="735"/>
      <c r="QUQ661" s="734"/>
      <c r="QUR661" s="733"/>
      <c r="QUS661" s="734"/>
      <c r="QUT661" s="735"/>
      <c r="QUU661" s="734"/>
      <c r="QUV661" s="733"/>
      <c r="QUW661" s="734"/>
      <c r="QUX661" s="735"/>
      <c r="QUY661" s="734"/>
      <c r="QUZ661" s="733"/>
      <c r="QVA661" s="734"/>
      <c r="QVB661" s="735"/>
      <c r="QVC661" s="734"/>
      <c r="QVD661" s="733"/>
      <c r="QVE661" s="734"/>
      <c r="QVF661" s="735"/>
      <c r="QVG661" s="734"/>
      <c r="QVH661" s="733"/>
      <c r="QVI661" s="734"/>
      <c r="QVJ661" s="735"/>
      <c r="QVK661" s="734"/>
      <c r="QVL661" s="733"/>
      <c r="QVM661" s="734"/>
      <c r="QVN661" s="735"/>
      <c r="QVO661" s="734"/>
      <c r="QVP661" s="733"/>
      <c r="QVQ661" s="734"/>
      <c r="QVR661" s="735"/>
      <c r="QVS661" s="734"/>
      <c r="QVT661" s="733"/>
      <c r="QVU661" s="734"/>
      <c r="QVV661" s="735"/>
      <c r="QVW661" s="734"/>
      <c r="QVX661" s="733"/>
      <c r="QVY661" s="734"/>
      <c r="QVZ661" s="735"/>
      <c r="QWA661" s="734"/>
      <c r="QWB661" s="733"/>
      <c r="QWC661" s="734"/>
      <c r="QWD661" s="735"/>
      <c r="QWE661" s="734"/>
      <c r="QWF661" s="733"/>
      <c r="QWG661" s="734"/>
      <c r="QWH661" s="735"/>
      <c r="QWI661" s="734"/>
      <c r="QWJ661" s="733"/>
      <c r="QWK661" s="734"/>
      <c r="QWL661" s="735"/>
      <c r="QWM661" s="734"/>
      <c r="QWN661" s="733"/>
      <c r="QWO661" s="734"/>
      <c r="QWP661" s="735"/>
      <c r="QWQ661" s="734"/>
      <c r="QWR661" s="733"/>
      <c r="QWS661" s="734"/>
      <c r="QWT661" s="735"/>
      <c r="QWU661" s="734"/>
      <c r="QWV661" s="733"/>
      <c r="QWW661" s="734"/>
      <c r="QWX661" s="735"/>
      <c r="QWY661" s="734"/>
      <c r="QWZ661" s="733"/>
      <c r="QXA661" s="734"/>
      <c r="QXB661" s="735"/>
      <c r="QXC661" s="734"/>
      <c r="QXD661" s="733"/>
      <c r="QXE661" s="734"/>
      <c r="QXF661" s="735"/>
      <c r="QXG661" s="734"/>
      <c r="QXH661" s="733"/>
      <c r="QXI661" s="734"/>
      <c r="QXJ661" s="735"/>
      <c r="QXK661" s="734"/>
      <c r="QXL661" s="733"/>
      <c r="QXM661" s="734"/>
      <c r="QXN661" s="735"/>
      <c r="QXO661" s="734"/>
      <c r="QXP661" s="733"/>
      <c r="QXQ661" s="734"/>
      <c r="QXR661" s="735"/>
      <c r="QXS661" s="734"/>
      <c r="QXT661" s="733"/>
      <c r="QXU661" s="734"/>
      <c r="QXV661" s="735"/>
      <c r="QXW661" s="734"/>
      <c r="QXX661" s="733"/>
      <c r="QXY661" s="734"/>
      <c r="QXZ661" s="735"/>
      <c r="QYA661" s="734"/>
      <c r="QYB661" s="733"/>
      <c r="QYC661" s="734"/>
      <c r="QYD661" s="735"/>
      <c r="QYE661" s="734"/>
      <c r="QYF661" s="733"/>
      <c r="QYG661" s="734"/>
      <c r="QYH661" s="735"/>
      <c r="QYI661" s="734"/>
      <c r="QYJ661" s="733"/>
      <c r="QYK661" s="734"/>
      <c r="QYL661" s="735"/>
      <c r="QYM661" s="734"/>
      <c r="QYN661" s="733"/>
      <c r="QYO661" s="734"/>
      <c r="QYP661" s="735"/>
      <c r="QYQ661" s="734"/>
      <c r="QYR661" s="733"/>
      <c r="QYS661" s="734"/>
      <c r="QYT661" s="735"/>
      <c r="QYU661" s="734"/>
      <c r="QYV661" s="733"/>
      <c r="QYW661" s="734"/>
      <c r="QYX661" s="735"/>
      <c r="QYY661" s="734"/>
      <c r="QYZ661" s="733"/>
      <c r="QZA661" s="734"/>
      <c r="QZB661" s="735"/>
      <c r="QZC661" s="734"/>
      <c r="QZD661" s="733"/>
      <c r="QZE661" s="734"/>
      <c r="QZF661" s="735"/>
      <c r="QZG661" s="734"/>
      <c r="QZH661" s="733"/>
      <c r="QZI661" s="734"/>
      <c r="QZJ661" s="735"/>
      <c r="QZK661" s="734"/>
      <c r="QZL661" s="733"/>
      <c r="QZM661" s="734"/>
      <c r="QZN661" s="735"/>
      <c r="QZO661" s="734"/>
      <c r="QZP661" s="733"/>
      <c r="QZQ661" s="734"/>
      <c r="QZR661" s="735"/>
      <c r="QZS661" s="734"/>
      <c r="QZT661" s="733"/>
      <c r="QZU661" s="734"/>
      <c r="QZV661" s="735"/>
      <c r="QZW661" s="734"/>
      <c r="QZX661" s="733"/>
      <c r="QZY661" s="734"/>
      <c r="QZZ661" s="735"/>
      <c r="RAA661" s="734"/>
      <c r="RAB661" s="733"/>
      <c r="RAC661" s="734"/>
      <c r="RAD661" s="735"/>
      <c r="RAE661" s="734"/>
      <c r="RAF661" s="733"/>
      <c r="RAG661" s="734"/>
      <c r="RAH661" s="735"/>
      <c r="RAI661" s="734"/>
      <c r="RAJ661" s="733"/>
      <c r="RAK661" s="734"/>
      <c r="RAL661" s="735"/>
      <c r="RAM661" s="734"/>
      <c r="RAN661" s="733"/>
      <c r="RAO661" s="734"/>
      <c r="RAP661" s="735"/>
      <c r="RAQ661" s="734"/>
      <c r="RAR661" s="733"/>
      <c r="RAS661" s="734"/>
      <c r="RAT661" s="735"/>
      <c r="RAU661" s="734"/>
      <c r="RAV661" s="733"/>
      <c r="RAW661" s="734"/>
      <c r="RAX661" s="735"/>
      <c r="RAY661" s="734"/>
      <c r="RAZ661" s="733"/>
      <c r="RBA661" s="734"/>
      <c r="RBB661" s="735"/>
      <c r="RBC661" s="734"/>
      <c r="RBD661" s="733"/>
      <c r="RBE661" s="734"/>
      <c r="RBF661" s="735"/>
      <c r="RBG661" s="734"/>
      <c r="RBH661" s="733"/>
      <c r="RBI661" s="734"/>
      <c r="RBJ661" s="735"/>
      <c r="RBK661" s="734"/>
      <c r="RBL661" s="733"/>
      <c r="RBM661" s="734"/>
      <c r="RBN661" s="735"/>
      <c r="RBO661" s="734"/>
      <c r="RBP661" s="733"/>
      <c r="RBQ661" s="734"/>
      <c r="RBR661" s="735"/>
      <c r="RBS661" s="734"/>
      <c r="RBT661" s="733"/>
      <c r="RBU661" s="734"/>
      <c r="RBV661" s="735"/>
      <c r="RBW661" s="734"/>
      <c r="RBX661" s="733"/>
      <c r="RBY661" s="734"/>
      <c r="RBZ661" s="735"/>
      <c r="RCA661" s="734"/>
      <c r="RCB661" s="733"/>
      <c r="RCC661" s="734"/>
      <c r="RCD661" s="735"/>
      <c r="RCE661" s="734"/>
      <c r="RCF661" s="733"/>
      <c r="RCG661" s="734"/>
      <c r="RCH661" s="735"/>
      <c r="RCI661" s="734"/>
      <c r="RCJ661" s="733"/>
      <c r="RCK661" s="734"/>
      <c r="RCL661" s="735"/>
      <c r="RCM661" s="734"/>
      <c r="RCN661" s="733"/>
      <c r="RCO661" s="734"/>
      <c r="RCP661" s="735"/>
      <c r="RCQ661" s="734"/>
      <c r="RCR661" s="733"/>
      <c r="RCS661" s="734"/>
      <c r="RCT661" s="735"/>
      <c r="RCU661" s="734"/>
      <c r="RCV661" s="733"/>
      <c r="RCW661" s="734"/>
      <c r="RCX661" s="735"/>
      <c r="RCY661" s="734"/>
      <c r="RCZ661" s="733"/>
      <c r="RDA661" s="734"/>
      <c r="RDB661" s="735"/>
      <c r="RDC661" s="734"/>
      <c r="RDD661" s="733"/>
      <c r="RDE661" s="734"/>
      <c r="RDF661" s="735"/>
      <c r="RDG661" s="734"/>
      <c r="RDH661" s="733"/>
      <c r="RDI661" s="734"/>
      <c r="RDJ661" s="735"/>
      <c r="RDK661" s="734"/>
      <c r="RDL661" s="733"/>
      <c r="RDM661" s="734"/>
      <c r="RDN661" s="735"/>
      <c r="RDO661" s="734"/>
      <c r="RDP661" s="733"/>
      <c r="RDQ661" s="734"/>
      <c r="RDR661" s="735"/>
      <c r="RDS661" s="734"/>
      <c r="RDT661" s="733"/>
      <c r="RDU661" s="734"/>
      <c r="RDV661" s="735"/>
      <c r="RDW661" s="734"/>
      <c r="RDX661" s="733"/>
      <c r="RDY661" s="734"/>
      <c r="RDZ661" s="735"/>
      <c r="REA661" s="734"/>
      <c r="REB661" s="733"/>
      <c r="REC661" s="734"/>
      <c r="RED661" s="735"/>
      <c r="REE661" s="734"/>
      <c r="REF661" s="733"/>
      <c r="REG661" s="734"/>
      <c r="REH661" s="735"/>
      <c r="REI661" s="734"/>
      <c r="REJ661" s="733"/>
      <c r="REK661" s="734"/>
      <c r="REL661" s="735"/>
      <c r="REM661" s="734"/>
      <c r="REN661" s="733"/>
      <c r="REO661" s="734"/>
      <c r="REP661" s="735"/>
      <c r="REQ661" s="734"/>
      <c r="RER661" s="733"/>
      <c r="RES661" s="734"/>
      <c r="RET661" s="735"/>
      <c r="REU661" s="734"/>
      <c r="REV661" s="733"/>
      <c r="REW661" s="734"/>
      <c r="REX661" s="735"/>
      <c r="REY661" s="734"/>
      <c r="REZ661" s="733"/>
      <c r="RFA661" s="734"/>
      <c r="RFB661" s="735"/>
      <c r="RFC661" s="734"/>
      <c r="RFD661" s="733"/>
      <c r="RFE661" s="734"/>
      <c r="RFF661" s="735"/>
      <c r="RFG661" s="734"/>
      <c r="RFH661" s="733"/>
      <c r="RFI661" s="734"/>
      <c r="RFJ661" s="735"/>
      <c r="RFK661" s="734"/>
      <c r="RFL661" s="733"/>
      <c r="RFM661" s="734"/>
      <c r="RFN661" s="735"/>
      <c r="RFO661" s="734"/>
      <c r="RFP661" s="733"/>
      <c r="RFQ661" s="734"/>
      <c r="RFR661" s="735"/>
      <c r="RFS661" s="734"/>
      <c r="RFT661" s="733"/>
      <c r="RFU661" s="734"/>
      <c r="RFV661" s="735"/>
      <c r="RFW661" s="734"/>
      <c r="RFX661" s="733"/>
      <c r="RFY661" s="734"/>
      <c r="RFZ661" s="735"/>
      <c r="RGA661" s="734"/>
      <c r="RGB661" s="733"/>
      <c r="RGC661" s="734"/>
      <c r="RGD661" s="735"/>
      <c r="RGE661" s="734"/>
      <c r="RGF661" s="733"/>
      <c r="RGG661" s="734"/>
      <c r="RGH661" s="735"/>
      <c r="RGI661" s="734"/>
      <c r="RGJ661" s="733"/>
      <c r="RGK661" s="734"/>
      <c r="RGL661" s="735"/>
      <c r="RGM661" s="734"/>
      <c r="RGN661" s="733"/>
      <c r="RGO661" s="734"/>
      <c r="RGP661" s="735"/>
      <c r="RGQ661" s="734"/>
      <c r="RGR661" s="733"/>
      <c r="RGS661" s="734"/>
      <c r="RGT661" s="735"/>
      <c r="RGU661" s="734"/>
      <c r="RGV661" s="733"/>
      <c r="RGW661" s="734"/>
      <c r="RGX661" s="735"/>
      <c r="RGY661" s="734"/>
      <c r="RGZ661" s="733"/>
      <c r="RHA661" s="734"/>
      <c r="RHB661" s="735"/>
      <c r="RHC661" s="734"/>
      <c r="RHD661" s="733"/>
      <c r="RHE661" s="734"/>
      <c r="RHF661" s="735"/>
      <c r="RHG661" s="734"/>
      <c r="RHH661" s="733"/>
      <c r="RHI661" s="734"/>
      <c r="RHJ661" s="735"/>
      <c r="RHK661" s="734"/>
      <c r="RHL661" s="733"/>
      <c r="RHM661" s="734"/>
      <c r="RHN661" s="735"/>
      <c r="RHO661" s="734"/>
      <c r="RHP661" s="733"/>
      <c r="RHQ661" s="734"/>
      <c r="RHR661" s="735"/>
      <c r="RHS661" s="734"/>
      <c r="RHT661" s="733"/>
      <c r="RHU661" s="734"/>
      <c r="RHV661" s="735"/>
      <c r="RHW661" s="734"/>
      <c r="RHX661" s="733"/>
      <c r="RHY661" s="734"/>
      <c r="RHZ661" s="735"/>
      <c r="RIA661" s="734"/>
      <c r="RIB661" s="733"/>
      <c r="RIC661" s="734"/>
      <c r="RID661" s="735"/>
      <c r="RIE661" s="734"/>
      <c r="RIF661" s="733"/>
      <c r="RIG661" s="734"/>
      <c r="RIH661" s="735"/>
      <c r="RII661" s="734"/>
      <c r="RIJ661" s="733"/>
      <c r="RIK661" s="734"/>
      <c r="RIL661" s="735"/>
      <c r="RIM661" s="734"/>
      <c r="RIN661" s="733"/>
      <c r="RIO661" s="734"/>
      <c r="RIP661" s="735"/>
      <c r="RIQ661" s="734"/>
      <c r="RIR661" s="733"/>
      <c r="RIS661" s="734"/>
      <c r="RIT661" s="735"/>
      <c r="RIU661" s="734"/>
      <c r="RIV661" s="733"/>
      <c r="RIW661" s="734"/>
      <c r="RIX661" s="735"/>
      <c r="RIY661" s="734"/>
      <c r="RIZ661" s="733"/>
      <c r="RJA661" s="734"/>
      <c r="RJB661" s="735"/>
      <c r="RJC661" s="734"/>
      <c r="RJD661" s="733"/>
      <c r="RJE661" s="734"/>
      <c r="RJF661" s="735"/>
      <c r="RJG661" s="734"/>
      <c r="RJH661" s="733"/>
      <c r="RJI661" s="734"/>
      <c r="RJJ661" s="735"/>
      <c r="RJK661" s="734"/>
      <c r="RJL661" s="733"/>
      <c r="RJM661" s="734"/>
      <c r="RJN661" s="735"/>
      <c r="RJO661" s="734"/>
      <c r="RJP661" s="733"/>
      <c r="RJQ661" s="734"/>
      <c r="RJR661" s="735"/>
      <c r="RJS661" s="734"/>
      <c r="RJT661" s="733"/>
      <c r="RJU661" s="734"/>
      <c r="RJV661" s="735"/>
      <c r="RJW661" s="734"/>
      <c r="RJX661" s="733"/>
      <c r="RJY661" s="734"/>
      <c r="RJZ661" s="735"/>
      <c r="RKA661" s="734"/>
      <c r="RKB661" s="733"/>
      <c r="RKC661" s="734"/>
      <c r="RKD661" s="735"/>
      <c r="RKE661" s="734"/>
      <c r="RKF661" s="733"/>
      <c r="RKG661" s="734"/>
      <c r="RKH661" s="735"/>
      <c r="RKI661" s="734"/>
      <c r="RKJ661" s="733"/>
      <c r="RKK661" s="734"/>
      <c r="RKL661" s="735"/>
      <c r="RKM661" s="734"/>
      <c r="RKN661" s="733"/>
      <c r="RKO661" s="734"/>
      <c r="RKP661" s="735"/>
      <c r="RKQ661" s="734"/>
      <c r="RKR661" s="733"/>
      <c r="RKS661" s="734"/>
      <c r="RKT661" s="735"/>
      <c r="RKU661" s="734"/>
      <c r="RKV661" s="733"/>
      <c r="RKW661" s="734"/>
      <c r="RKX661" s="735"/>
      <c r="RKY661" s="734"/>
      <c r="RKZ661" s="733"/>
      <c r="RLA661" s="734"/>
      <c r="RLB661" s="735"/>
      <c r="RLC661" s="734"/>
      <c r="RLD661" s="733"/>
      <c r="RLE661" s="734"/>
      <c r="RLF661" s="735"/>
      <c r="RLG661" s="734"/>
      <c r="RLH661" s="733"/>
      <c r="RLI661" s="734"/>
      <c r="RLJ661" s="735"/>
      <c r="RLK661" s="734"/>
      <c r="RLL661" s="733"/>
      <c r="RLM661" s="734"/>
      <c r="RLN661" s="735"/>
      <c r="RLO661" s="734"/>
      <c r="RLP661" s="733"/>
      <c r="RLQ661" s="734"/>
      <c r="RLR661" s="735"/>
      <c r="RLS661" s="734"/>
      <c r="RLT661" s="733"/>
      <c r="RLU661" s="734"/>
      <c r="RLV661" s="735"/>
      <c r="RLW661" s="734"/>
      <c r="RLX661" s="733"/>
      <c r="RLY661" s="734"/>
      <c r="RLZ661" s="735"/>
      <c r="RMA661" s="734"/>
      <c r="RMB661" s="733"/>
      <c r="RMC661" s="734"/>
      <c r="RMD661" s="735"/>
      <c r="RME661" s="734"/>
      <c r="RMF661" s="733"/>
      <c r="RMG661" s="734"/>
      <c r="RMH661" s="735"/>
      <c r="RMI661" s="734"/>
      <c r="RMJ661" s="733"/>
      <c r="RMK661" s="734"/>
      <c r="RML661" s="735"/>
      <c r="RMM661" s="734"/>
      <c r="RMN661" s="733"/>
      <c r="RMO661" s="734"/>
      <c r="RMP661" s="735"/>
      <c r="RMQ661" s="734"/>
      <c r="RMR661" s="733"/>
      <c r="RMS661" s="734"/>
      <c r="RMT661" s="735"/>
      <c r="RMU661" s="734"/>
      <c r="RMV661" s="733"/>
      <c r="RMW661" s="734"/>
      <c r="RMX661" s="735"/>
      <c r="RMY661" s="734"/>
      <c r="RMZ661" s="733"/>
      <c r="RNA661" s="734"/>
      <c r="RNB661" s="735"/>
      <c r="RNC661" s="734"/>
      <c r="RND661" s="733"/>
      <c r="RNE661" s="734"/>
      <c r="RNF661" s="735"/>
      <c r="RNG661" s="734"/>
      <c r="RNH661" s="733"/>
      <c r="RNI661" s="734"/>
      <c r="RNJ661" s="735"/>
      <c r="RNK661" s="734"/>
      <c r="RNL661" s="733"/>
      <c r="RNM661" s="734"/>
      <c r="RNN661" s="735"/>
      <c r="RNO661" s="734"/>
      <c r="RNP661" s="733"/>
      <c r="RNQ661" s="734"/>
      <c r="RNR661" s="735"/>
      <c r="RNS661" s="734"/>
      <c r="RNT661" s="733"/>
      <c r="RNU661" s="734"/>
      <c r="RNV661" s="735"/>
      <c r="RNW661" s="734"/>
      <c r="RNX661" s="733"/>
      <c r="RNY661" s="734"/>
      <c r="RNZ661" s="735"/>
      <c r="ROA661" s="734"/>
      <c r="ROB661" s="733"/>
      <c r="ROC661" s="734"/>
      <c r="ROD661" s="735"/>
      <c r="ROE661" s="734"/>
      <c r="ROF661" s="733"/>
      <c r="ROG661" s="734"/>
      <c r="ROH661" s="735"/>
      <c r="ROI661" s="734"/>
      <c r="ROJ661" s="733"/>
      <c r="ROK661" s="734"/>
      <c r="ROL661" s="735"/>
      <c r="ROM661" s="734"/>
      <c r="RON661" s="733"/>
      <c r="ROO661" s="734"/>
      <c r="ROP661" s="735"/>
      <c r="ROQ661" s="734"/>
      <c r="ROR661" s="733"/>
      <c r="ROS661" s="734"/>
      <c r="ROT661" s="735"/>
      <c r="ROU661" s="734"/>
      <c r="ROV661" s="733"/>
      <c r="ROW661" s="734"/>
      <c r="ROX661" s="735"/>
      <c r="ROY661" s="734"/>
      <c r="ROZ661" s="733"/>
      <c r="RPA661" s="734"/>
      <c r="RPB661" s="735"/>
      <c r="RPC661" s="734"/>
      <c r="RPD661" s="733"/>
      <c r="RPE661" s="734"/>
      <c r="RPF661" s="735"/>
      <c r="RPG661" s="734"/>
      <c r="RPH661" s="733"/>
      <c r="RPI661" s="734"/>
      <c r="RPJ661" s="735"/>
      <c r="RPK661" s="734"/>
      <c r="RPL661" s="733"/>
      <c r="RPM661" s="734"/>
      <c r="RPN661" s="735"/>
      <c r="RPO661" s="734"/>
      <c r="RPP661" s="733"/>
      <c r="RPQ661" s="734"/>
      <c r="RPR661" s="735"/>
      <c r="RPS661" s="734"/>
      <c r="RPT661" s="733"/>
      <c r="RPU661" s="734"/>
      <c r="RPV661" s="735"/>
      <c r="RPW661" s="734"/>
      <c r="RPX661" s="733"/>
      <c r="RPY661" s="734"/>
      <c r="RPZ661" s="735"/>
      <c r="RQA661" s="734"/>
      <c r="RQB661" s="733"/>
      <c r="RQC661" s="734"/>
      <c r="RQD661" s="735"/>
      <c r="RQE661" s="734"/>
      <c r="RQF661" s="733"/>
      <c r="RQG661" s="734"/>
      <c r="RQH661" s="735"/>
      <c r="RQI661" s="734"/>
      <c r="RQJ661" s="733"/>
      <c r="RQK661" s="734"/>
      <c r="RQL661" s="735"/>
      <c r="RQM661" s="734"/>
      <c r="RQN661" s="733"/>
      <c r="RQO661" s="734"/>
      <c r="RQP661" s="735"/>
      <c r="RQQ661" s="734"/>
      <c r="RQR661" s="733"/>
      <c r="RQS661" s="734"/>
      <c r="RQT661" s="735"/>
      <c r="RQU661" s="734"/>
      <c r="RQV661" s="733"/>
      <c r="RQW661" s="734"/>
      <c r="RQX661" s="735"/>
      <c r="RQY661" s="734"/>
      <c r="RQZ661" s="733"/>
      <c r="RRA661" s="734"/>
      <c r="RRB661" s="735"/>
      <c r="RRC661" s="734"/>
      <c r="RRD661" s="733"/>
      <c r="RRE661" s="734"/>
      <c r="RRF661" s="735"/>
      <c r="RRG661" s="734"/>
      <c r="RRH661" s="733"/>
      <c r="RRI661" s="734"/>
      <c r="RRJ661" s="735"/>
      <c r="RRK661" s="734"/>
      <c r="RRL661" s="733"/>
      <c r="RRM661" s="734"/>
      <c r="RRN661" s="735"/>
      <c r="RRO661" s="734"/>
      <c r="RRP661" s="733"/>
      <c r="RRQ661" s="734"/>
      <c r="RRR661" s="735"/>
      <c r="RRS661" s="734"/>
      <c r="RRT661" s="733"/>
      <c r="RRU661" s="734"/>
      <c r="RRV661" s="735"/>
      <c r="RRW661" s="734"/>
      <c r="RRX661" s="733"/>
      <c r="RRY661" s="734"/>
      <c r="RRZ661" s="735"/>
      <c r="RSA661" s="734"/>
      <c r="RSB661" s="733"/>
      <c r="RSC661" s="734"/>
      <c r="RSD661" s="735"/>
      <c r="RSE661" s="734"/>
      <c r="RSF661" s="733"/>
      <c r="RSG661" s="734"/>
      <c r="RSH661" s="735"/>
      <c r="RSI661" s="734"/>
      <c r="RSJ661" s="733"/>
      <c r="RSK661" s="734"/>
      <c r="RSL661" s="735"/>
      <c r="RSM661" s="734"/>
      <c r="RSN661" s="733"/>
      <c r="RSO661" s="734"/>
      <c r="RSP661" s="735"/>
      <c r="RSQ661" s="734"/>
      <c r="RSR661" s="733"/>
      <c r="RSS661" s="734"/>
      <c r="RST661" s="735"/>
      <c r="RSU661" s="734"/>
      <c r="RSV661" s="733"/>
      <c r="RSW661" s="734"/>
      <c r="RSX661" s="735"/>
      <c r="RSY661" s="734"/>
      <c r="RSZ661" s="733"/>
      <c r="RTA661" s="734"/>
      <c r="RTB661" s="735"/>
      <c r="RTC661" s="734"/>
      <c r="RTD661" s="733"/>
      <c r="RTE661" s="734"/>
      <c r="RTF661" s="735"/>
      <c r="RTG661" s="734"/>
      <c r="RTH661" s="733"/>
      <c r="RTI661" s="734"/>
      <c r="RTJ661" s="735"/>
      <c r="RTK661" s="734"/>
      <c r="RTL661" s="733"/>
      <c r="RTM661" s="734"/>
      <c r="RTN661" s="735"/>
      <c r="RTO661" s="734"/>
      <c r="RTP661" s="733"/>
      <c r="RTQ661" s="734"/>
      <c r="RTR661" s="735"/>
      <c r="RTS661" s="734"/>
      <c r="RTT661" s="733"/>
      <c r="RTU661" s="734"/>
      <c r="RTV661" s="735"/>
      <c r="RTW661" s="734"/>
      <c r="RTX661" s="733"/>
      <c r="RTY661" s="734"/>
      <c r="RTZ661" s="735"/>
      <c r="RUA661" s="734"/>
      <c r="RUB661" s="733"/>
      <c r="RUC661" s="734"/>
      <c r="RUD661" s="735"/>
      <c r="RUE661" s="734"/>
      <c r="RUF661" s="733"/>
      <c r="RUG661" s="734"/>
      <c r="RUH661" s="735"/>
      <c r="RUI661" s="734"/>
      <c r="RUJ661" s="733"/>
      <c r="RUK661" s="734"/>
      <c r="RUL661" s="735"/>
      <c r="RUM661" s="734"/>
      <c r="RUN661" s="733"/>
      <c r="RUO661" s="734"/>
      <c r="RUP661" s="735"/>
      <c r="RUQ661" s="734"/>
      <c r="RUR661" s="733"/>
      <c r="RUS661" s="734"/>
      <c r="RUT661" s="735"/>
      <c r="RUU661" s="734"/>
      <c r="RUV661" s="733"/>
      <c r="RUW661" s="734"/>
      <c r="RUX661" s="735"/>
      <c r="RUY661" s="734"/>
      <c r="RUZ661" s="733"/>
      <c r="RVA661" s="734"/>
      <c r="RVB661" s="735"/>
      <c r="RVC661" s="734"/>
      <c r="RVD661" s="733"/>
      <c r="RVE661" s="734"/>
      <c r="RVF661" s="735"/>
      <c r="RVG661" s="734"/>
      <c r="RVH661" s="733"/>
      <c r="RVI661" s="734"/>
      <c r="RVJ661" s="735"/>
      <c r="RVK661" s="734"/>
      <c r="RVL661" s="733"/>
      <c r="RVM661" s="734"/>
      <c r="RVN661" s="735"/>
      <c r="RVO661" s="734"/>
      <c r="RVP661" s="733"/>
      <c r="RVQ661" s="734"/>
      <c r="RVR661" s="735"/>
      <c r="RVS661" s="734"/>
      <c r="RVT661" s="733"/>
      <c r="RVU661" s="734"/>
      <c r="RVV661" s="735"/>
      <c r="RVW661" s="734"/>
      <c r="RVX661" s="733"/>
      <c r="RVY661" s="734"/>
      <c r="RVZ661" s="735"/>
      <c r="RWA661" s="734"/>
      <c r="RWB661" s="733"/>
      <c r="RWC661" s="734"/>
      <c r="RWD661" s="735"/>
      <c r="RWE661" s="734"/>
      <c r="RWF661" s="733"/>
      <c r="RWG661" s="734"/>
      <c r="RWH661" s="735"/>
      <c r="RWI661" s="734"/>
      <c r="RWJ661" s="733"/>
      <c r="RWK661" s="734"/>
      <c r="RWL661" s="735"/>
      <c r="RWM661" s="734"/>
      <c r="RWN661" s="733"/>
      <c r="RWO661" s="734"/>
      <c r="RWP661" s="735"/>
      <c r="RWQ661" s="734"/>
      <c r="RWR661" s="733"/>
      <c r="RWS661" s="734"/>
      <c r="RWT661" s="735"/>
      <c r="RWU661" s="734"/>
      <c r="RWV661" s="733"/>
      <c r="RWW661" s="734"/>
      <c r="RWX661" s="735"/>
      <c r="RWY661" s="734"/>
      <c r="RWZ661" s="733"/>
      <c r="RXA661" s="734"/>
      <c r="RXB661" s="735"/>
      <c r="RXC661" s="734"/>
      <c r="RXD661" s="733"/>
      <c r="RXE661" s="734"/>
      <c r="RXF661" s="735"/>
      <c r="RXG661" s="734"/>
      <c r="RXH661" s="733"/>
      <c r="RXI661" s="734"/>
      <c r="RXJ661" s="735"/>
      <c r="RXK661" s="734"/>
      <c r="RXL661" s="733"/>
      <c r="RXM661" s="734"/>
      <c r="RXN661" s="735"/>
      <c r="RXO661" s="734"/>
      <c r="RXP661" s="733"/>
      <c r="RXQ661" s="734"/>
      <c r="RXR661" s="735"/>
      <c r="RXS661" s="734"/>
      <c r="RXT661" s="733"/>
      <c r="RXU661" s="734"/>
      <c r="RXV661" s="735"/>
      <c r="RXW661" s="734"/>
      <c r="RXX661" s="733"/>
      <c r="RXY661" s="734"/>
      <c r="RXZ661" s="735"/>
      <c r="RYA661" s="734"/>
      <c r="RYB661" s="733"/>
      <c r="RYC661" s="734"/>
      <c r="RYD661" s="735"/>
      <c r="RYE661" s="734"/>
      <c r="RYF661" s="733"/>
      <c r="RYG661" s="734"/>
      <c r="RYH661" s="735"/>
      <c r="RYI661" s="734"/>
      <c r="RYJ661" s="733"/>
      <c r="RYK661" s="734"/>
      <c r="RYL661" s="735"/>
      <c r="RYM661" s="734"/>
      <c r="RYN661" s="733"/>
      <c r="RYO661" s="734"/>
      <c r="RYP661" s="735"/>
      <c r="RYQ661" s="734"/>
      <c r="RYR661" s="733"/>
      <c r="RYS661" s="734"/>
      <c r="RYT661" s="735"/>
      <c r="RYU661" s="734"/>
      <c r="RYV661" s="733"/>
      <c r="RYW661" s="734"/>
      <c r="RYX661" s="735"/>
      <c r="RYY661" s="734"/>
      <c r="RYZ661" s="733"/>
      <c r="RZA661" s="734"/>
      <c r="RZB661" s="735"/>
      <c r="RZC661" s="734"/>
      <c r="RZD661" s="733"/>
      <c r="RZE661" s="734"/>
      <c r="RZF661" s="735"/>
      <c r="RZG661" s="734"/>
      <c r="RZH661" s="733"/>
      <c r="RZI661" s="734"/>
      <c r="RZJ661" s="735"/>
      <c r="RZK661" s="734"/>
      <c r="RZL661" s="733"/>
      <c r="RZM661" s="734"/>
      <c r="RZN661" s="735"/>
      <c r="RZO661" s="734"/>
      <c r="RZP661" s="733"/>
      <c r="RZQ661" s="734"/>
      <c r="RZR661" s="735"/>
      <c r="RZS661" s="734"/>
      <c r="RZT661" s="733"/>
      <c r="RZU661" s="734"/>
      <c r="RZV661" s="735"/>
      <c r="RZW661" s="734"/>
      <c r="RZX661" s="733"/>
      <c r="RZY661" s="734"/>
      <c r="RZZ661" s="735"/>
      <c r="SAA661" s="734"/>
      <c r="SAB661" s="733"/>
      <c r="SAC661" s="734"/>
      <c r="SAD661" s="735"/>
      <c r="SAE661" s="734"/>
      <c r="SAF661" s="733"/>
      <c r="SAG661" s="734"/>
      <c r="SAH661" s="735"/>
      <c r="SAI661" s="734"/>
      <c r="SAJ661" s="733"/>
      <c r="SAK661" s="734"/>
      <c r="SAL661" s="735"/>
      <c r="SAM661" s="734"/>
      <c r="SAN661" s="733"/>
      <c r="SAO661" s="734"/>
      <c r="SAP661" s="735"/>
      <c r="SAQ661" s="734"/>
      <c r="SAR661" s="733"/>
      <c r="SAS661" s="734"/>
      <c r="SAT661" s="735"/>
      <c r="SAU661" s="734"/>
      <c r="SAV661" s="733"/>
      <c r="SAW661" s="734"/>
      <c r="SAX661" s="735"/>
      <c r="SAY661" s="734"/>
      <c r="SAZ661" s="733"/>
      <c r="SBA661" s="734"/>
      <c r="SBB661" s="735"/>
      <c r="SBC661" s="734"/>
      <c r="SBD661" s="733"/>
      <c r="SBE661" s="734"/>
      <c r="SBF661" s="735"/>
      <c r="SBG661" s="734"/>
      <c r="SBH661" s="733"/>
      <c r="SBI661" s="734"/>
      <c r="SBJ661" s="735"/>
      <c r="SBK661" s="734"/>
      <c r="SBL661" s="733"/>
      <c r="SBM661" s="734"/>
      <c r="SBN661" s="735"/>
      <c r="SBO661" s="734"/>
      <c r="SBP661" s="733"/>
      <c r="SBQ661" s="734"/>
      <c r="SBR661" s="735"/>
      <c r="SBS661" s="734"/>
      <c r="SBT661" s="733"/>
      <c r="SBU661" s="734"/>
      <c r="SBV661" s="735"/>
      <c r="SBW661" s="734"/>
      <c r="SBX661" s="733"/>
      <c r="SBY661" s="734"/>
      <c r="SBZ661" s="735"/>
      <c r="SCA661" s="734"/>
      <c r="SCB661" s="733"/>
      <c r="SCC661" s="734"/>
      <c r="SCD661" s="735"/>
      <c r="SCE661" s="734"/>
      <c r="SCF661" s="733"/>
      <c r="SCG661" s="734"/>
      <c r="SCH661" s="735"/>
      <c r="SCI661" s="734"/>
      <c r="SCJ661" s="733"/>
      <c r="SCK661" s="734"/>
      <c r="SCL661" s="735"/>
      <c r="SCM661" s="734"/>
      <c r="SCN661" s="733"/>
      <c r="SCO661" s="734"/>
      <c r="SCP661" s="735"/>
      <c r="SCQ661" s="734"/>
      <c r="SCR661" s="733"/>
      <c r="SCS661" s="734"/>
      <c r="SCT661" s="735"/>
      <c r="SCU661" s="734"/>
      <c r="SCV661" s="733"/>
      <c r="SCW661" s="734"/>
      <c r="SCX661" s="735"/>
      <c r="SCY661" s="734"/>
      <c r="SCZ661" s="733"/>
      <c r="SDA661" s="734"/>
      <c r="SDB661" s="735"/>
      <c r="SDC661" s="734"/>
      <c r="SDD661" s="733"/>
      <c r="SDE661" s="734"/>
      <c r="SDF661" s="735"/>
      <c r="SDG661" s="734"/>
      <c r="SDH661" s="733"/>
      <c r="SDI661" s="734"/>
      <c r="SDJ661" s="735"/>
      <c r="SDK661" s="734"/>
      <c r="SDL661" s="733"/>
      <c r="SDM661" s="734"/>
      <c r="SDN661" s="735"/>
      <c r="SDO661" s="734"/>
      <c r="SDP661" s="733"/>
      <c r="SDQ661" s="734"/>
      <c r="SDR661" s="735"/>
      <c r="SDS661" s="734"/>
      <c r="SDT661" s="733"/>
      <c r="SDU661" s="734"/>
      <c r="SDV661" s="735"/>
      <c r="SDW661" s="734"/>
      <c r="SDX661" s="733"/>
      <c r="SDY661" s="734"/>
      <c r="SDZ661" s="735"/>
      <c r="SEA661" s="734"/>
      <c r="SEB661" s="733"/>
      <c r="SEC661" s="734"/>
      <c r="SED661" s="735"/>
      <c r="SEE661" s="734"/>
      <c r="SEF661" s="733"/>
      <c r="SEG661" s="734"/>
      <c r="SEH661" s="735"/>
      <c r="SEI661" s="734"/>
      <c r="SEJ661" s="733"/>
      <c r="SEK661" s="734"/>
      <c r="SEL661" s="735"/>
      <c r="SEM661" s="734"/>
      <c r="SEN661" s="733"/>
      <c r="SEO661" s="734"/>
      <c r="SEP661" s="735"/>
      <c r="SEQ661" s="734"/>
      <c r="SER661" s="733"/>
      <c r="SES661" s="734"/>
      <c r="SET661" s="735"/>
      <c r="SEU661" s="734"/>
      <c r="SEV661" s="733"/>
      <c r="SEW661" s="734"/>
      <c r="SEX661" s="735"/>
      <c r="SEY661" s="734"/>
      <c r="SEZ661" s="733"/>
      <c r="SFA661" s="734"/>
      <c r="SFB661" s="735"/>
      <c r="SFC661" s="734"/>
      <c r="SFD661" s="733"/>
      <c r="SFE661" s="734"/>
      <c r="SFF661" s="735"/>
      <c r="SFG661" s="734"/>
      <c r="SFH661" s="733"/>
      <c r="SFI661" s="734"/>
      <c r="SFJ661" s="735"/>
      <c r="SFK661" s="734"/>
      <c r="SFL661" s="733"/>
      <c r="SFM661" s="734"/>
      <c r="SFN661" s="735"/>
      <c r="SFO661" s="734"/>
      <c r="SFP661" s="733"/>
      <c r="SFQ661" s="734"/>
      <c r="SFR661" s="735"/>
      <c r="SFS661" s="734"/>
      <c r="SFT661" s="733"/>
      <c r="SFU661" s="734"/>
      <c r="SFV661" s="735"/>
      <c r="SFW661" s="734"/>
      <c r="SFX661" s="733"/>
      <c r="SFY661" s="734"/>
      <c r="SFZ661" s="735"/>
      <c r="SGA661" s="734"/>
      <c r="SGB661" s="733"/>
      <c r="SGC661" s="734"/>
      <c r="SGD661" s="735"/>
      <c r="SGE661" s="734"/>
      <c r="SGF661" s="733"/>
      <c r="SGG661" s="734"/>
      <c r="SGH661" s="735"/>
      <c r="SGI661" s="734"/>
      <c r="SGJ661" s="733"/>
      <c r="SGK661" s="734"/>
      <c r="SGL661" s="735"/>
      <c r="SGM661" s="734"/>
      <c r="SGN661" s="733"/>
      <c r="SGO661" s="734"/>
      <c r="SGP661" s="735"/>
      <c r="SGQ661" s="734"/>
      <c r="SGR661" s="733"/>
      <c r="SGS661" s="734"/>
      <c r="SGT661" s="735"/>
      <c r="SGU661" s="734"/>
      <c r="SGV661" s="733"/>
      <c r="SGW661" s="734"/>
      <c r="SGX661" s="735"/>
      <c r="SGY661" s="734"/>
      <c r="SGZ661" s="733"/>
      <c r="SHA661" s="734"/>
      <c r="SHB661" s="735"/>
      <c r="SHC661" s="734"/>
      <c r="SHD661" s="733"/>
      <c r="SHE661" s="734"/>
      <c r="SHF661" s="735"/>
      <c r="SHG661" s="734"/>
      <c r="SHH661" s="733"/>
      <c r="SHI661" s="734"/>
      <c r="SHJ661" s="735"/>
      <c r="SHK661" s="734"/>
      <c r="SHL661" s="733"/>
      <c r="SHM661" s="734"/>
      <c r="SHN661" s="735"/>
      <c r="SHO661" s="734"/>
      <c r="SHP661" s="733"/>
      <c r="SHQ661" s="734"/>
      <c r="SHR661" s="735"/>
      <c r="SHS661" s="734"/>
      <c r="SHT661" s="733"/>
      <c r="SHU661" s="734"/>
      <c r="SHV661" s="735"/>
      <c r="SHW661" s="734"/>
      <c r="SHX661" s="733"/>
      <c r="SHY661" s="734"/>
      <c r="SHZ661" s="735"/>
      <c r="SIA661" s="734"/>
      <c r="SIB661" s="733"/>
      <c r="SIC661" s="734"/>
      <c r="SID661" s="735"/>
      <c r="SIE661" s="734"/>
      <c r="SIF661" s="733"/>
      <c r="SIG661" s="734"/>
      <c r="SIH661" s="735"/>
      <c r="SII661" s="734"/>
      <c r="SIJ661" s="733"/>
      <c r="SIK661" s="734"/>
      <c r="SIL661" s="735"/>
      <c r="SIM661" s="734"/>
      <c r="SIN661" s="733"/>
      <c r="SIO661" s="734"/>
      <c r="SIP661" s="735"/>
      <c r="SIQ661" s="734"/>
      <c r="SIR661" s="733"/>
      <c r="SIS661" s="734"/>
      <c r="SIT661" s="735"/>
      <c r="SIU661" s="734"/>
      <c r="SIV661" s="733"/>
      <c r="SIW661" s="734"/>
      <c r="SIX661" s="735"/>
      <c r="SIY661" s="734"/>
      <c r="SIZ661" s="733"/>
      <c r="SJA661" s="734"/>
      <c r="SJB661" s="735"/>
      <c r="SJC661" s="734"/>
      <c r="SJD661" s="733"/>
      <c r="SJE661" s="734"/>
      <c r="SJF661" s="735"/>
      <c r="SJG661" s="734"/>
      <c r="SJH661" s="733"/>
      <c r="SJI661" s="734"/>
      <c r="SJJ661" s="735"/>
      <c r="SJK661" s="734"/>
      <c r="SJL661" s="733"/>
      <c r="SJM661" s="734"/>
      <c r="SJN661" s="735"/>
      <c r="SJO661" s="734"/>
      <c r="SJP661" s="733"/>
      <c r="SJQ661" s="734"/>
      <c r="SJR661" s="735"/>
      <c r="SJS661" s="734"/>
      <c r="SJT661" s="733"/>
      <c r="SJU661" s="734"/>
      <c r="SJV661" s="735"/>
      <c r="SJW661" s="734"/>
      <c r="SJX661" s="733"/>
      <c r="SJY661" s="734"/>
      <c r="SJZ661" s="735"/>
      <c r="SKA661" s="734"/>
      <c r="SKB661" s="733"/>
      <c r="SKC661" s="734"/>
      <c r="SKD661" s="735"/>
      <c r="SKE661" s="734"/>
      <c r="SKF661" s="733"/>
      <c r="SKG661" s="734"/>
      <c r="SKH661" s="735"/>
      <c r="SKI661" s="734"/>
      <c r="SKJ661" s="733"/>
      <c r="SKK661" s="734"/>
      <c r="SKL661" s="735"/>
      <c r="SKM661" s="734"/>
      <c r="SKN661" s="733"/>
      <c r="SKO661" s="734"/>
      <c r="SKP661" s="735"/>
      <c r="SKQ661" s="734"/>
      <c r="SKR661" s="733"/>
      <c r="SKS661" s="734"/>
      <c r="SKT661" s="735"/>
      <c r="SKU661" s="734"/>
      <c r="SKV661" s="733"/>
      <c r="SKW661" s="734"/>
      <c r="SKX661" s="735"/>
      <c r="SKY661" s="734"/>
      <c r="SKZ661" s="733"/>
      <c r="SLA661" s="734"/>
      <c r="SLB661" s="735"/>
      <c r="SLC661" s="734"/>
      <c r="SLD661" s="733"/>
      <c r="SLE661" s="734"/>
      <c r="SLF661" s="735"/>
      <c r="SLG661" s="734"/>
      <c r="SLH661" s="733"/>
      <c r="SLI661" s="734"/>
      <c r="SLJ661" s="735"/>
      <c r="SLK661" s="734"/>
      <c r="SLL661" s="733"/>
      <c r="SLM661" s="734"/>
      <c r="SLN661" s="735"/>
      <c r="SLO661" s="734"/>
      <c r="SLP661" s="733"/>
      <c r="SLQ661" s="734"/>
      <c r="SLR661" s="735"/>
      <c r="SLS661" s="734"/>
      <c r="SLT661" s="733"/>
      <c r="SLU661" s="734"/>
      <c r="SLV661" s="735"/>
      <c r="SLW661" s="734"/>
      <c r="SLX661" s="733"/>
      <c r="SLY661" s="734"/>
      <c r="SLZ661" s="735"/>
      <c r="SMA661" s="734"/>
      <c r="SMB661" s="733"/>
      <c r="SMC661" s="734"/>
      <c r="SMD661" s="735"/>
      <c r="SME661" s="734"/>
      <c r="SMF661" s="733"/>
      <c r="SMG661" s="734"/>
      <c r="SMH661" s="735"/>
      <c r="SMI661" s="734"/>
      <c r="SMJ661" s="733"/>
      <c r="SMK661" s="734"/>
      <c r="SML661" s="735"/>
      <c r="SMM661" s="734"/>
      <c r="SMN661" s="733"/>
      <c r="SMO661" s="734"/>
      <c r="SMP661" s="735"/>
      <c r="SMQ661" s="734"/>
      <c r="SMR661" s="733"/>
      <c r="SMS661" s="734"/>
      <c r="SMT661" s="735"/>
      <c r="SMU661" s="734"/>
      <c r="SMV661" s="733"/>
      <c r="SMW661" s="734"/>
      <c r="SMX661" s="735"/>
      <c r="SMY661" s="734"/>
      <c r="SMZ661" s="733"/>
      <c r="SNA661" s="734"/>
      <c r="SNB661" s="735"/>
      <c r="SNC661" s="734"/>
      <c r="SND661" s="733"/>
      <c r="SNE661" s="734"/>
      <c r="SNF661" s="735"/>
      <c r="SNG661" s="734"/>
      <c r="SNH661" s="733"/>
      <c r="SNI661" s="734"/>
      <c r="SNJ661" s="735"/>
      <c r="SNK661" s="734"/>
      <c r="SNL661" s="733"/>
      <c r="SNM661" s="734"/>
      <c r="SNN661" s="735"/>
      <c r="SNO661" s="734"/>
      <c r="SNP661" s="733"/>
      <c r="SNQ661" s="734"/>
      <c r="SNR661" s="735"/>
      <c r="SNS661" s="734"/>
      <c r="SNT661" s="733"/>
      <c r="SNU661" s="734"/>
      <c r="SNV661" s="735"/>
      <c r="SNW661" s="734"/>
      <c r="SNX661" s="733"/>
      <c r="SNY661" s="734"/>
      <c r="SNZ661" s="735"/>
      <c r="SOA661" s="734"/>
      <c r="SOB661" s="733"/>
      <c r="SOC661" s="734"/>
      <c r="SOD661" s="735"/>
      <c r="SOE661" s="734"/>
      <c r="SOF661" s="733"/>
      <c r="SOG661" s="734"/>
      <c r="SOH661" s="735"/>
      <c r="SOI661" s="734"/>
      <c r="SOJ661" s="733"/>
      <c r="SOK661" s="734"/>
      <c r="SOL661" s="735"/>
      <c r="SOM661" s="734"/>
      <c r="SON661" s="733"/>
      <c r="SOO661" s="734"/>
      <c r="SOP661" s="735"/>
      <c r="SOQ661" s="734"/>
      <c r="SOR661" s="733"/>
      <c r="SOS661" s="734"/>
      <c r="SOT661" s="735"/>
      <c r="SOU661" s="734"/>
      <c r="SOV661" s="733"/>
      <c r="SOW661" s="734"/>
      <c r="SOX661" s="735"/>
      <c r="SOY661" s="734"/>
      <c r="SOZ661" s="733"/>
      <c r="SPA661" s="734"/>
      <c r="SPB661" s="735"/>
      <c r="SPC661" s="734"/>
      <c r="SPD661" s="733"/>
      <c r="SPE661" s="734"/>
      <c r="SPF661" s="735"/>
      <c r="SPG661" s="734"/>
      <c r="SPH661" s="733"/>
      <c r="SPI661" s="734"/>
      <c r="SPJ661" s="735"/>
      <c r="SPK661" s="734"/>
      <c r="SPL661" s="733"/>
      <c r="SPM661" s="734"/>
      <c r="SPN661" s="735"/>
      <c r="SPO661" s="734"/>
      <c r="SPP661" s="733"/>
      <c r="SPQ661" s="734"/>
      <c r="SPR661" s="735"/>
      <c r="SPS661" s="734"/>
      <c r="SPT661" s="733"/>
      <c r="SPU661" s="734"/>
      <c r="SPV661" s="735"/>
      <c r="SPW661" s="734"/>
      <c r="SPX661" s="733"/>
      <c r="SPY661" s="734"/>
      <c r="SPZ661" s="735"/>
      <c r="SQA661" s="734"/>
      <c r="SQB661" s="733"/>
      <c r="SQC661" s="734"/>
      <c r="SQD661" s="735"/>
      <c r="SQE661" s="734"/>
      <c r="SQF661" s="733"/>
      <c r="SQG661" s="734"/>
      <c r="SQH661" s="735"/>
      <c r="SQI661" s="734"/>
      <c r="SQJ661" s="733"/>
      <c r="SQK661" s="734"/>
      <c r="SQL661" s="735"/>
      <c r="SQM661" s="734"/>
      <c r="SQN661" s="733"/>
      <c r="SQO661" s="734"/>
      <c r="SQP661" s="735"/>
      <c r="SQQ661" s="734"/>
      <c r="SQR661" s="733"/>
      <c r="SQS661" s="734"/>
      <c r="SQT661" s="735"/>
      <c r="SQU661" s="734"/>
      <c r="SQV661" s="733"/>
      <c r="SQW661" s="734"/>
      <c r="SQX661" s="735"/>
      <c r="SQY661" s="734"/>
      <c r="SQZ661" s="733"/>
      <c r="SRA661" s="734"/>
      <c r="SRB661" s="735"/>
      <c r="SRC661" s="734"/>
      <c r="SRD661" s="733"/>
      <c r="SRE661" s="734"/>
      <c r="SRF661" s="735"/>
      <c r="SRG661" s="734"/>
      <c r="SRH661" s="733"/>
      <c r="SRI661" s="734"/>
      <c r="SRJ661" s="735"/>
      <c r="SRK661" s="734"/>
      <c r="SRL661" s="733"/>
      <c r="SRM661" s="734"/>
      <c r="SRN661" s="735"/>
      <c r="SRO661" s="734"/>
      <c r="SRP661" s="733"/>
      <c r="SRQ661" s="734"/>
      <c r="SRR661" s="735"/>
      <c r="SRS661" s="734"/>
      <c r="SRT661" s="733"/>
      <c r="SRU661" s="734"/>
      <c r="SRV661" s="735"/>
      <c r="SRW661" s="734"/>
      <c r="SRX661" s="733"/>
      <c r="SRY661" s="734"/>
      <c r="SRZ661" s="735"/>
      <c r="SSA661" s="734"/>
      <c r="SSB661" s="733"/>
      <c r="SSC661" s="734"/>
      <c r="SSD661" s="735"/>
      <c r="SSE661" s="734"/>
      <c r="SSF661" s="733"/>
      <c r="SSG661" s="734"/>
      <c r="SSH661" s="735"/>
      <c r="SSI661" s="734"/>
      <c r="SSJ661" s="733"/>
      <c r="SSK661" s="734"/>
      <c r="SSL661" s="735"/>
      <c r="SSM661" s="734"/>
      <c r="SSN661" s="733"/>
      <c r="SSO661" s="734"/>
      <c r="SSP661" s="735"/>
      <c r="SSQ661" s="734"/>
      <c r="SSR661" s="733"/>
      <c r="SSS661" s="734"/>
      <c r="SST661" s="735"/>
      <c r="SSU661" s="734"/>
      <c r="SSV661" s="733"/>
      <c r="SSW661" s="734"/>
      <c r="SSX661" s="735"/>
      <c r="SSY661" s="734"/>
      <c r="SSZ661" s="733"/>
      <c r="STA661" s="734"/>
      <c r="STB661" s="735"/>
      <c r="STC661" s="734"/>
      <c r="STD661" s="733"/>
      <c r="STE661" s="734"/>
      <c r="STF661" s="735"/>
      <c r="STG661" s="734"/>
      <c r="STH661" s="733"/>
      <c r="STI661" s="734"/>
      <c r="STJ661" s="735"/>
      <c r="STK661" s="734"/>
      <c r="STL661" s="733"/>
      <c r="STM661" s="734"/>
      <c r="STN661" s="735"/>
      <c r="STO661" s="734"/>
      <c r="STP661" s="733"/>
      <c r="STQ661" s="734"/>
      <c r="STR661" s="735"/>
      <c r="STS661" s="734"/>
      <c r="STT661" s="733"/>
      <c r="STU661" s="734"/>
      <c r="STV661" s="735"/>
      <c r="STW661" s="734"/>
      <c r="STX661" s="733"/>
      <c r="STY661" s="734"/>
      <c r="STZ661" s="735"/>
      <c r="SUA661" s="734"/>
      <c r="SUB661" s="733"/>
      <c r="SUC661" s="734"/>
      <c r="SUD661" s="735"/>
      <c r="SUE661" s="734"/>
      <c r="SUF661" s="733"/>
      <c r="SUG661" s="734"/>
      <c r="SUH661" s="735"/>
      <c r="SUI661" s="734"/>
      <c r="SUJ661" s="733"/>
      <c r="SUK661" s="734"/>
      <c r="SUL661" s="735"/>
      <c r="SUM661" s="734"/>
      <c r="SUN661" s="733"/>
      <c r="SUO661" s="734"/>
      <c r="SUP661" s="735"/>
      <c r="SUQ661" s="734"/>
      <c r="SUR661" s="733"/>
      <c r="SUS661" s="734"/>
      <c r="SUT661" s="735"/>
      <c r="SUU661" s="734"/>
      <c r="SUV661" s="733"/>
      <c r="SUW661" s="734"/>
      <c r="SUX661" s="735"/>
      <c r="SUY661" s="734"/>
      <c r="SUZ661" s="733"/>
      <c r="SVA661" s="734"/>
      <c r="SVB661" s="735"/>
      <c r="SVC661" s="734"/>
      <c r="SVD661" s="733"/>
      <c r="SVE661" s="734"/>
      <c r="SVF661" s="735"/>
      <c r="SVG661" s="734"/>
      <c r="SVH661" s="733"/>
      <c r="SVI661" s="734"/>
      <c r="SVJ661" s="735"/>
      <c r="SVK661" s="734"/>
      <c r="SVL661" s="733"/>
      <c r="SVM661" s="734"/>
      <c r="SVN661" s="735"/>
      <c r="SVO661" s="734"/>
      <c r="SVP661" s="733"/>
      <c r="SVQ661" s="734"/>
      <c r="SVR661" s="735"/>
      <c r="SVS661" s="734"/>
      <c r="SVT661" s="733"/>
      <c r="SVU661" s="734"/>
      <c r="SVV661" s="735"/>
      <c r="SVW661" s="734"/>
      <c r="SVX661" s="733"/>
      <c r="SVY661" s="734"/>
      <c r="SVZ661" s="735"/>
      <c r="SWA661" s="734"/>
      <c r="SWB661" s="733"/>
      <c r="SWC661" s="734"/>
      <c r="SWD661" s="735"/>
      <c r="SWE661" s="734"/>
      <c r="SWF661" s="733"/>
      <c r="SWG661" s="734"/>
      <c r="SWH661" s="735"/>
      <c r="SWI661" s="734"/>
      <c r="SWJ661" s="733"/>
      <c r="SWK661" s="734"/>
      <c r="SWL661" s="735"/>
      <c r="SWM661" s="734"/>
      <c r="SWN661" s="733"/>
      <c r="SWO661" s="734"/>
      <c r="SWP661" s="735"/>
      <c r="SWQ661" s="734"/>
      <c r="SWR661" s="733"/>
      <c r="SWS661" s="734"/>
      <c r="SWT661" s="735"/>
      <c r="SWU661" s="734"/>
      <c r="SWV661" s="733"/>
      <c r="SWW661" s="734"/>
      <c r="SWX661" s="735"/>
      <c r="SWY661" s="734"/>
      <c r="SWZ661" s="733"/>
      <c r="SXA661" s="734"/>
      <c r="SXB661" s="735"/>
      <c r="SXC661" s="734"/>
      <c r="SXD661" s="733"/>
      <c r="SXE661" s="734"/>
      <c r="SXF661" s="735"/>
      <c r="SXG661" s="734"/>
      <c r="SXH661" s="733"/>
      <c r="SXI661" s="734"/>
      <c r="SXJ661" s="735"/>
      <c r="SXK661" s="734"/>
      <c r="SXL661" s="733"/>
      <c r="SXM661" s="734"/>
      <c r="SXN661" s="735"/>
      <c r="SXO661" s="734"/>
      <c r="SXP661" s="733"/>
      <c r="SXQ661" s="734"/>
      <c r="SXR661" s="735"/>
      <c r="SXS661" s="734"/>
      <c r="SXT661" s="733"/>
      <c r="SXU661" s="734"/>
      <c r="SXV661" s="735"/>
      <c r="SXW661" s="734"/>
      <c r="SXX661" s="733"/>
      <c r="SXY661" s="734"/>
      <c r="SXZ661" s="735"/>
      <c r="SYA661" s="734"/>
      <c r="SYB661" s="733"/>
      <c r="SYC661" s="734"/>
      <c r="SYD661" s="735"/>
      <c r="SYE661" s="734"/>
      <c r="SYF661" s="733"/>
      <c r="SYG661" s="734"/>
      <c r="SYH661" s="735"/>
      <c r="SYI661" s="734"/>
      <c r="SYJ661" s="733"/>
      <c r="SYK661" s="734"/>
      <c r="SYL661" s="735"/>
      <c r="SYM661" s="734"/>
      <c r="SYN661" s="733"/>
      <c r="SYO661" s="734"/>
      <c r="SYP661" s="735"/>
      <c r="SYQ661" s="734"/>
      <c r="SYR661" s="733"/>
      <c r="SYS661" s="734"/>
      <c r="SYT661" s="735"/>
      <c r="SYU661" s="734"/>
      <c r="SYV661" s="733"/>
      <c r="SYW661" s="734"/>
      <c r="SYX661" s="735"/>
      <c r="SYY661" s="734"/>
      <c r="SYZ661" s="733"/>
      <c r="SZA661" s="734"/>
      <c r="SZB661" s="735"/>
      <c r="SZC661" s="734"/>
      <c r="SZD661" s="733"/>
      <c r="SZE661" s="734"/>
      <c r="SZF661" s="735"/>
      <c r="SZG661" s="734"/>
      <c r="SZH661" s="733"/>
      <c r="SZI661" s="734"/>
      <c r="SZJ661" s="735"/>
      <c r="SZK661" s="734"/>
      <c r="SZL661" s="733"/>
      <c r="SZM661" s="734"/>
      <c r="SZN661" s="735"/>
      <c r="SZO661" s="734"/>
      <c r="SZP661" s="733"/>
      <c r="SZQ661" s="734"/>
      <c r="SZR661" s="735"/>
      <c r="SZS661" s="734"/>
      <c r="SZT661" s="733"/>
      <c r="SZU661" s="734"/>
      <c r="SZV661" s="735"/>
      <c r="SZW661" s="734"/>
      <c r="SZX661" s="733"/>
      <c r="SZY661" s="734"/>
      <c r="SZZ661" s="735"/>
      <c r="TAA661" s="734"/>
      <c r="TAB661" s="733"/>
      <c r="TAC661" s="734"/>
      <c r="TAD661" s="735"/>
      <c r="TAE661" s="734"/>
      <c r="TAF661" s="733"/>
      <c r="TAG661" s="734"/>
      <c r="TAH661" s="735"/>
      <c r="TAI661" s="734"/>
      <c r="TAJ661" s="733"/>
      <c r="TAK661" s="734"/>
      <c r="TAL661" s="735"/>
      <c r="TAM661" s="734"/>
      <c r="TAN661" s="733"/>
      <c r="TAO661" s="734"/>
      <c r="TAP661" s="735"/>
      <c r="TAQ661" s="734"/>
      <c r="TAR661" s="733"/>
      <c r="TAS661" s="734"/>
      <c r="TAT661" s="735"/>
      <c r="TAU661" s="734"/>
      <c r="TAV661" s="733"/>
      <c r="TAW661" s="734"/>
      <c r="TAX661" s="735"/>
      <c r="TAY661" s="734"/>
      <c r="TAZ661" s="733"/>
      <c r="TBA661" s="734"/>
      <c r="TBB661" s="735"/>
      <c r="TBC661" s="734"/>
      <c r="TBD661" s="733"/>
      <c r="TBE661" s="734"/>
      <c r="TBF661" s="735"/>
      <c r="TBG661" s="734"/>
      <c r="TBH661" s="733"/>
      <c r="TBI661" s="734"/>
      <c r="TBJ661" s="735"/>
      <c r="TBK661" s="734"/>
      <c r="TBL661" s="733"/>
      <c r="TBM661" s="734"/>
      <c r="TBN661" s="735"/>
      <c r="TBO661" s="734"/>
      <c r="TBP661" s="733"/>
      <c r="TBQ661" s="734"/>
      <c r="TBR661" s="735"/>
      <c r="TBS661" s="734"/>
      <c r="TBT661" s="733"/>
      <c r="TBU661" s="734"/>
      <c r="TBV661" s="735"/>
      <c r="TBW661" s="734"/>
      <c r="TBX661" s="733"/>
      <c r="TBY661" s="734"/>
      <c r="TBZ661" s="735"/>
      <c r="TCA661" s="734"/>
      <c r="TCB661" s="733"/>
      <c r="TCC661" s="734"/>
      <c r="TCD661" s="735"/>
      <c r="TCE661" s="734"/>
      <c r="TCF661" s="733"/>
      <c r="TCG661" s="734"/>
      <c r="TCH661" s="735"/>
      <c r="TCI661" s="734"/>
      <c r="TCJ661" s="733"/>
      <c r="TCK661" s="734"/>
      <c r="TCL661" s="735"/>
      <c r="TCM661" s="734"/>
      <c r="TCN661" s="733"/>
      <c r="TCO661" s="734"/>
      <c r="TCP661" s="735"/>
      <c r="TCQ661" s="734"/>
      <c r="TCR661" s="733"/>
      <c r="TCS661" s="734"/>
      <c r="TCT661" s="735"/>
      <c r="TCU661" s="734"/>
      <c r="TCV661" s="733"/>
      <c r="TCW661" s="734"/>
      <c r="TCX661" s="735"/>
      <c r="TCY661" s="734"/>
      <c r="TCZ661" s="733"/>
      <c r="TDA661" s="734"/>
      <c r="TDB661" s="735"/>
      <c r="TDC661" s="734"/>
      <c r="TDD661" s="733"/>
      <c r="TDE661" s="734"/>
      <c r="TDF661" s="735"/>
      <c r="TDG661" s="734"/>
      <c r="TDH661" s="733"/>
      <c r="TDI661" s="734"/>
      <c r="TDJ661" s="735"/>
      <c r="TDK661" s="734"/>
      <c r="TDL661" s="733"/>
      <c r="TDM661" s="734"/>
      <c r="TDN661" s="735"/>
      <c r="TDO661" s="734"/>
      <c r="TDP661" s="733"/>
      <c r="TDQ661" s="734"/>
      <c r="TDR661" s="735"/>
      <c r="TDS661" s="734"/>
      <c r="TDT661" s="733"/>
      <c r="TDU661" s="734"/>
      <c r="TDV661" s="735"/>
      <c r="TDW661" s="734"/>
      <c r="TDX661" s="733"/>
      <c r="TDY661" s="734"/>
      <c r="TDZ661" s="735"/>
      <c r="TEA661" s="734"/>
      <c r="TEB661" s="733"/>
      <c r="TEC661" s="734"/>
      <c r="TED661" s="735"/>
      <c r="TEE661" s="734"/>
      <c r="TEF661" s="733"/>
      <c r="TEG661" s="734"/>
      <c r="TEH661" s="735"/>
      <c r="TEI661" s="734"/>
      <c r="TEJ661" s="733"/>
      <c r="TEK661" s="734"/>
      <c r="TEL661" s="735"/>
      <c r="TEM661" s="734"/>
      <c r="TEN661" s="733"/>
      <c r="TEO661" s="734"/>
      <c r="TEP661" s="735"/>
      <c r="TEQ661" s="734"/>
      <c r="TER661" s="733"/>
      <c r="TES661" s="734"/>
      <c r="TET661" s="735"/>
      <c r="TEU661" s="734"/>
      <c r="TEV661" s="733"/>
      <c r="TEW661" s="734"/>
      <c r="TEX661" s="735"/>
      <c r="TEY661" s="734"/>
      <c r="TEZ661" s="733"/>
      <c r="TFA661" s="734"/>
      <c r="TFB661" s="735"/>
      <c r="TFC661" s="734"/>
      <c r="TFD661" s="733"/>
      <c r="TFE661" s="734"/>
      <c r="TFF661" s="735"/>
      <c r="TFG661" s="734"/>
      <c r="TFH661" s="733"/>
      <c r="TFI661" s="734"/>
      <c r="TFJ661" s="735"/>
      <c r="TFK661" s="734"/>
      <c r="TFL661" s="733"/>
      <c r="TFM661" s="734"/>
      <c r="TFN661" s="735"/>
      <c r="TFO661" s="734"/>
      <c r="TFP661" s="733"/>
      <c r="TFQ661" s="734"/>
      <c r="TFR661" s="735"/>
      <c r="TFS661" s="734"/>
      <c r="TFT661" s="733"/>
      <c r="TFU661" s="734"/>
      <c r="TFV661" s="735"/>
      <c r="TFW661" s="734"/>
      <c r="TFX661" s="733"/>
      <c r="TFY661" s="734"/>
      <c r="TFZ661" s="735"/>
      <c r="TGA661" s="734"/>
      <c r="TGB661" s="733"/>
      <c r="TGC661" s="734"/>
      <c r="TGD661" s="735"/>
      <c r="TGE661" s="734"/>
      <c r="TGF661" s="733"/>
      <c r="TGG661" s="734"/>
      <c r="TGH661" s="735"/>
      <c r="TGI661" s="734"/>
      <c r="TGJ661" s="733"/>
      <c r="TGK661" s="734"/>
      <c r="TGL661" s="735"/>
      <c r="TGM661" s="734"/>
      <c r="TGN661" s="733"/>
      <c r="TGO661" s="734"/>
      <c r="TGP661" s="735"/>
      <c r="TGQ661" s="734"/>
      <c r="TGR661" s="733"/>
      <c r="TGS661" s="734"/>
      <c r="TGT661" s="735"/>
      <c r="TGU661" s="734"/>
      <c r="TGV661" s="733"/>
      <c r="TGW661" s="734"/>
      <c r="TGX661" s="735"/>
      <c r="TGY661" s="734"/>
      <c r="TGZ661" s="733"/>
      <c r="THA661" s="734"/>
      <c r="THB661" s="735"/>
      <c r="THC661" s="734"/>
      <c r="THD661" s="733"/>
      <c r="THE661" s="734"/>
      <c r="THF661" s="735"/>
      <c r="THG661" s="734"/>
      <c r="THH661" s="733"/>
      <c r="THI661" s="734"/>
      <c r="THJ661" s="735"/>
      <c r="THK661" s="734"/>
      <c r="THL661" s="733"/>
      <c r="THM661" s="734"/>
      <c r="THN661" s="735"/>
      <c r="THO661" s="734"/>
      <c r="THP661" s="733"/>
      <c r="THQ661" s="734"/>
      <c r="THR661" s="735"/>
      <c r="THS661" s="734"/>
      <c r="THT661" s="733"/>
      <c r="THU661" s="734"/>
      <c r="THV661" s="735"/>
      <c r="THW661" s="734"/>
      <c r="THX661" s="733"/>
      <c r="THY661" s="734"/>
      <c r="THZ661" s="735"/>
      <c r="TIA661" s="734"/>
      <c r="TIB661" s="733"/>
      <c r="TIC661" s="734"/>
      <c r="TID661" s="735"/>
      <c r="TIE661" s="734"/>
      <c r="TIF661" s="733"/>
      <c r="TIG661" s="734"/>
      <c r="TIH661" s="735"/>
      <c r="TII661" s="734"/>
      <c r="TIJ661" s="733"/>
      <c r="TIK661" s="734"/>
      <c r="TIL661" s="735"/>
      <c r="TIM661" s="734"/>
      <c r="TIN661" s="733"/>
      <c r="TIO661" s="734"/>
      <c r="TIP661" s="735"/>
      <c r="TIQ661" s="734"/>
      <c r="TIR661" s="733"/>
      <c r="TIS661" s="734"/>
      <c r="TIT661" s="735"/>
      <c r="TIU661" s="734"/>
      <c r="TIV661" s="733"/>
      <c r="TIW661" s="734"/>
      <c r="TIX661" s="735"/>
      <c r="TIY661" s="734"/>
      <c r="TIZ661" s="733"/>
      <c r="TJA661" s="734"/>
      <c r="TJB661" s="735"/>
      <c r="TJC661" s="734"/>
      <c r="TJD661" s="733"/>
      <c r="TJE661" s="734"/>
      <c r="TJF661" s="735"/>
      <c r="TJG661" s="734"/>
      <c r="TJH661" s="733"/>
      <c r="TJI661" s="734"/>
      <c r="TJJ661" s="735"/>
      <c r="TJK661" s="734"/>
      <c r="TJL661" s="733"/>
      <c r="TJM661" s="734"/>
      <c r="TJN661" s="735"/>
      <c r="TJO661" s="734"/>
      <c r="TJP661" s="733"/>
      <c r="TJQ661" s="734"/>
      <c r="TJR661" s="735"/>
      <c r="TJS661" s="734"/>
      <c r="TJT661" s="733"/>
      <c r="TJU661" s="734"/>
      <c r="TJV661" s="735"/>
      <c r="TJW661" s="734"/>
      <c r="TJX661" s="733"/>
      <c r="TJY661" s="734"/>
      <c r="TJZ661" s="735"/>
      <c r="TKA661" s="734"/>
      <c r="TKB661" s="733"/>
      <c r="TKC661" s="734"/>
      <c r="TKD661" s="735"/>
      <c r="TKE661" s="734"/>
      <c r="TKF661" s="733"/>
      <c r="TKG661" s="734"/>
      <c r="TKH661" s="735"/>
      <c r="TKI661" s="734"/>
      <c r="TKJ661" s="733"/>
      <c r="TKK661" s="734"/>
      <c r="TKL661" s="735"/>
      <c r="TKM661" s="734"/>
      <c r="TKN661" s="733"/>
      <c r="TKO661" s="734"/>
      <c r="TKP661" s="735"/>
      <c r="TKQ661" s="734"/>
      <c r="TKR661" s="733"/>
      <c r="TKS661" s="734"/>
      <c r="TKT661" s="735"/>
      <c r="TKU661" s="734"/>
      <c r="TKV661" s="733"/>
      <c r="TKW661" s="734"/>
      <c r="TKX661" s="735"/>
      <c r="TKY661" s="734"/>
      <c r="TKZ661" s="733"/>
      <c r="TLA661" s="734"/>
      <c r="TLB661" s="735"/>
      <c r="TLC661" s="734"/>
      <c r="TLD661" s="733"/>
      <c r="TLE661" s="734"/>
      <c r="TLF661" s="735"/>
      <c r="TLG661" s="734"/>
      <c r="TLH661" s="733"/>
      <c r="TLI661" s="734"/>
      <c r="TLJ661" s="735"/>
      <c r="TLK661" s="734"/>
      <c r="TLL661" s="733"/>
      <c r="TLM661" s="734"/>
      <c r="TLN661" s="735"/>
      <c r="TLO661" s="734"/>
      <c r="TLP661" s="733"/>
      <c r="TLQ661" s="734"/>
      <c r="TLR661" s="735"/>
      <c r="TLS661" s="734"/>
      <c r="TLT661" s="733"/>
      <c r="TLU661" s="734"/>
      <c r="TLV661" s="735"/>
      <c r="TLW661" s="734"/>
      <c r="TLX661" s="733"/>
      <c r="TLY661" s="734"/>
      <c r="TLZ661" s="735"/>
      <c r="TMA661" s="734"/>
      <c r="TMB661" s="733"/>
      <c r="TMC661" s="734"/>
      <c r="TMD661" s="735"/>
      <c r="TME661" s="734"/>
      <c r="TMF661" s="733"/>
      <c r="TMG661" s="734"/>
      <c r="TMH661" s="735"/>
      <c r="TMI661" s="734"/>
      <c r="TMJ661" s="733"/>
      <c r="TMK661" s="734"/>
      <c r="TML661" s="735"/>
      <c r="TMM661" s="734"/>
      <c r="TMN661" s="733"/>
      <c r="TMO661" s="734"/>
      <c r="TMP661" s="735"/>
      <c r="TMQ661" s="734"/>
      <c r="TMR661" s="733"/>
      <c r="TMS661" s="734"/>
      <c r="TMT661" s="735"/>
      <c r="TMU661" s="734"/>
      <c r="TMV661" s="733"/>
      <c r="TMW661" s="734"/>
      <c r="TMX661" s="735"/>
      <c r="TMY661" s="734"/>
      <c r="TMZ661" s="733"/>
      <c r="TNA661" s="734"/>
      <c r="TNB661" s="735"/>
      <c r="TNC661" s="734"/>
      <c r="TND661" s="733"/>
      <c r="TNE661" s="734"/>
      <c r="TNF661" s="735"/>
      <c r="TNG661" s="734"/>
      <c r="TNH661" s="733"/>
      <c r="TNI661" s="734"/>
      <c r="TNJ661" s="735"/>
      <c r="TNK661" s="734"/>
      <c r="TNL661" s="733"/>
      <c r="TNM661" s="734"/>
      <c r="TNN661" s="735"/>
      <c r="TNO661" s="734"/>
      <c r="TNP661" s="733"/>
      <c r="TNQ661" s="734"/>
      <c r="TNR661" s="735"/>
      <c r="TNS661" s="734"/>
      <c r="TNT661" s="733"/>
      <c r="TNU661" s="734"/>
      <c r="TNV661" s="735"/>
      <c r="TNW661" s="734"/>
      <c r="TNX661" s="733"/>
      <c r="TNY661" s="734"/>
      <c r="TNZ661" s="735"/>
      <c r="TOA661" s="734"/>
      <c r="TOB661" s="733"/>
      <c r="TOC661" s="734"/>
      <c r="TOD661" s="735"/>
      <c r="TOE661" s="734"/>
      <c r="TOF661" s="733"/>
      <c r="TOG661" s="734"/>
      <c r="TOH661" s="735"/>
      <c r="TOI661" s="734"/>
      <c r="TOJ661" s="733"/>
      <c r="TOK661" s="734"/>
      <c r="TOL661" s="735"/>
      <c r="TOM661" s="734"/>
      <c r="TON661" s="733"/>
      <c r="TOO661" s="734"/>
      <c r="TOP661" s="735"/>
      <c r="TOQ661" s="734"/>
      <c r="TOR661" s="733"/>
      <c r="TOS661" s="734"/>
      <c r="TOT661" s="735"/>
      <c r="TOU661" s="734"/>
      <c r="TOV661" s="733"/>
      <c r="TOW661" s="734"/>
      <c r="TOX661" s="735"/>
      <c r="TOY661" s="734"/>
      <c r="TOZ661" s="733"/>
      <c r="TPA661" s="734"/>
      <c r="TPB661" s="735"/>
      <c r="TPC661" s="734"/>
      <c r="TPD661" s="733"/>
      <c r="TPE661" s="734"/>
      <c r="TPF661" s="735"/>
      <c r="TPG661" s="734"/>
      <c r="TPH661" s="733"/>
      <c r="TPI661" s="734"/>
      <c r="TPJ661" s="735"/>
      <c r="TPK661" s="734"/>
      <c r="TPL661" s="733"/>
      <c r="TPM661" s="734"/>
      <c r="TPN661" s="735"/>
      <c r="TPO661" s="734"/>
      <c r="TPP661" s="733"/>
      <c r="TPQ661" s="734"/>
      <c r="TPR661" s="735"/>
      <c r="TPS661" s="734"/>
      <c r="TPT661" s="733"/>
      <c r="TPU661" s="734"/>
      <c r="TPV661" s="735"/>
      <c r="TPW661" s="734"/>
      <c r="TPX661" s="733"/>
      <c r="TPY661" s="734"/>
      <c r="TPZ661" s="735"/>
      <c r="TQA661" s="734"/>
      <c r="TQB661" s="733"/>
      <c r="TQC661" s="734"/>
      <c r="TQD661" s="735"/>
      <c r="TQE661" s="734"/>
      <c r="TQF661" s="733"/>
      <c r="TQG661" s="734"/>
      <c r="TQH661" s="735"/>
      <c r="TQI661" s="734"/>
      <c r="TQJ661" s="733"/>
      <c r="TQK661" s="734"/>
      <c r="TQL661" s="735"/>
      <c r="TQM661" s="734"/>
      <c r="TQN661" s="733"/>
      <c r="TQO661" s="734"/>
      <c r="TQP661" s="735"/>
      <c r="TQQ661" s="734"/>
      <c r="TQR661" s="733"/>
      <c r="TQS661" s="734"/>
      <c r="TQT661" s="735"/>
      <c r="TQU661" s="734"/>
      <c r="TQV661" s="733"/>
      <c r="TQW661" s="734"/>
      <c r="TQX661" s="735"/>
      <c r="TQY661" s="734"/>
      <c r="TQZ661" s="733"/>
      <c r="TRA661" s="734"/>
      <c r="TRB661" s="735"/>
      <c r="TRC661" s="734"/>
      <c r="TRD661" s="733"/>
      <c r="TRE661" s="734"/>
      <c r="TRF661" s="735"/>
      <c r="TRG661" s="734"/>
      <c r="TRH661" s="733"/>
      <c r="TRI661" s="734"/>
      <c r="TRJ661" s="735"/>
      <c r="TRK661" s="734"/>
      <c r="TRL661" s="733"/>
      <c r="TRM661" s="734"/>
      <c r="TRN661" s="735"/>
      <c r="TRO661" s="734"/>
      <c r="TRP661" s="733"/>
      <c r="TRQ661" s="734"/>
      <c r="TRR661" s="735"/>
      <c r="TRS661" s="734"/>
      <c r="TRT661" s="733"/>
      <c r="TRU661" s="734"/>
      <c r="TRV661" s="735"/>
      <c r="TRW661" s="734"/>
      <c r="TRX661" s="733"/>
      <c r="TRY661" s="734"/>
      <c r="TRZ661" s="735"/>
      <c r="TSA661" s="734"/>
      <c r="TSB661" s="733"/>
      <c r="TSC661" s="734"/>
      <c r="TSD661" s="735"/>
      <c r="TSE661" s="734"/>
      <c r="TSF661" s="733"/>
      <c r="TSG661" s="734"/>
      <c r="TSH661" s="735"/>
      <c r="TSI661" s="734"/>
      <c r="TSJ661" s="733"/>
      <c r="TSK661" s="734"/>
      <c r="TSL661" s="735"/>
      <c r="TSM661" s="734"/>
      <c r="TSN661" s="733"/>
      <c r="TSO661" s="734"/>
      <c r="TSP661" s="735"/>
      <c r="TSQ661" s="734"/>
      <c r="TSR661" s="733"/>
      <c r="TSS661" s="734"/>
      <c r="TST661" s="735"/>
      <c r="TSU661" s="734"/>
      <c r="TSV661" s="733"/>
      <c r="TSW661" s="734"/>
      <c r="TSX661" s="735"/>
      <c r="TSY661" s="734"/>
      <c r="TSZ661" s="733"/>
      <c r="TTA661" s="734"/>
      <c r="TTB661" s="735"/>
      <c r="TTC661" s="734"/>
      <c r="TTD661" s="733"/>
      <c r="TTE661" s="734"/>
      <c r="TTF661" s="735"/>
      <c r="TTG661" s="734"/>
      <c r="TTH661" s="733"/>
      <c r="TTI661" s="734"/>
      <c r="TTJ661" s="735"/>
      <c r="TTK661" s="734"/>
      <c r="TTL661" s="733"/>
      <c r="TTM661" s="734"/>
      <c r="TTN661" s="735"/>
      <c r="TTO661" s="734"/>
      <c r="TTP661" s="733"/>
      <c r="TTQ661" s="734"/>
      <c r="TTR661" s="735"/>
      <c r="TTS661" s="734"/>
      <c r="TTT661" s="733"/>
      <c r="TTU661" s="734"/>
      <c r="TTV661" s="735"/>
      <c r="TTW661" s="734"/>
      <c r="TTX661" s="733"/>
      <c r="TTY661" s="734"/>
      <c r="TTZ661" s="735"/>
      <c r="TUA661" s="734"/>
      <c r="TUB661" s="733"/>
      <c r="TUC661" s="734"/>
      <c r="TUD661" s="735"/>
      <c r="TUE661" s="734"/>
      <c r="TUF661" s="733"/>
      <c r="TUG661" s="734"/>
      <c r="TUH661" s="735"/>
      <c r="TUI661" s="734"/>
      <c r="TUJ661" s="733"/>
      <c r="TUK661" s="734"/>
      <c r="TUL661" s="735"/>
      <c r="TUM661" s="734"/>
      <c r="TUN661" s="733"/>
      <c r="TUO661" s="734"/>
      <c r="TUP661" s="735"/>
      <c r="TUQ661" s="734"/>
      <c r="TUR661" s="733"/>
      <c r="TUS661" s="734"/>
      <c r="TUT661" s="735"/>
      <c r="TUU661" s="734"/>
      <c r="TUV661" s="733"/>
      <c r="TUW661" s="734"/>
      <c r="TUX661" s="735"/>
      <c r="TUY661" s="734"/>
      <c r="TUZ661" s="733"/>
      <c r="TVA661" s="734"/>
      <c r="TVB661" s="735"/>
      <c r="TVC661" s="734"/>
      <c r="TVD661" s="733"/>
      <c r="TVE661" s="734"/>
      <c r="TVF661" s="735"/>
      <c r="TVG661" s="734"/>
      <c r="TVH661" s="733"/>
      <c r="TVI661" s="734"/>
      <c r="TVJ661" s="735"/>
      <c r="TVK661" s="734"/>
      <c r="TVL661" s="733"/>
      <c r="TVM661" s="734"/>
      <c r="TVN661" s="735"/>
      <c r="TVO661" s="734"/>
      <c r="TVP661" s="733"/>
      <c r="TVQ661" s="734"/>
      <c r="TVR661" s="735"/>
      <c r="TVS661" s="734"/>
      <c r="TVT661" s="733"/>
      <c r="TVU661" s="734"/>
      <c r="TVV661" s="735"/>
      <c r="TVW661" s="734"/>
      <c r="TVX661" s="733"/>
      <c r="TVY661" s="734"/>
      <c r="TVZ661" s="735"/>
      <c r="TWA661" s="734"/>
      <c r="TWB661" s="733"/>
      <c r="TWC661" s="734"/>
      <c r="TWD661" s="735"/>
      <c r="TWE661" s="734"/>
      <c r="TWF661" s="733"/>
      <c r="TWG661" s="734"/>
      <c r="TWH661" s="735"/>
      <c r="TWI661" s="734"/>
      <c r="TWJ661" s="733"/>
      <c r="TWK661" s="734"/>
      <c r="TWL661" s="735"/>
      <c r="TWM661" s="734"/>
      <c r="TWN661" s="733"/>
      <c r="TWO661" s="734"/>
      <c r="TWP661" s="735"/>
      <c r="TWQ661" s="734"/>
      <c r="TWR661" s="733"/>
      <c r="TWS661" s="734"/>
      <c r="TWT661" s="735"/>
      <c r="TWU661" s="734"/>
      <c r="TWV661" s="733"/>
      <c r="TWW661" s="734"/>
      <c r="TWX661" s="735"/>
      <c r="TWY661" s="734"/>
      <c r="TWZ661" s="733"/>
      <c r="TXA661" s="734"/>
      <c r="TXB661" s="735"/>
      <c r="TXC661" s="734"/>
      <c r="TXD661" s="733"/>
      <c r="TXE661" s="734"/>
      <c r="TXF661" s="735"/>
      <c r="TXG661" s="734"/>
      <c r="TXH661" s="733"/>
      <c r="TXI661" s="734"/>
      <c r="TXJ661" s="735"/>
      <c r="TXK661" s="734"/>
      <c r="TXL661" s="733"/>
      <c r="TXM661" s="734"/>
      <c r="TXN661" s="735"/>
      <c r="TXO661" s="734"/>
      <c r="TXP661" s="733"/>
      <c r="TXQ661" s="734"/>
      <c r="TXR661" s="735"/>
      <c r="TXS661" s="734"/>
      <c r="TXT661" s="733"/>
      <c r="TXU661" s="734"/>
      <c r="TXV661" s="735"/>
      <c r="TXW661" s="734"/>
      <c r="TXX661" s="733"/>
      <c r="TXY661" s="734"/>
      <c r="TXZ661" s="735"/>
      <c r="TYA661" s="734"/>
      <c r="TYB661" s="733"/>
      <c r="TYC661" s="734"/>
      <c r="TYD661" s="735"/>
      <c r="TYE661" s="734"/>
      <c r="TYF661" s="733"/>
      <c r="TYG661" s="734"/>
      <c r="TYH661" s="735"/>
      <c r="TYI661" s="734"/>
      <c r="TYJ661" s="733"/>
      <c r="TYK661" s="734"/>
      <c r="TYL661" s="735"/>
      <c r="TYM661" s="734"/>
      <c r="TYN661" s="733"/>
      <c r="TYO661" s="734"/>
      <c r="TYP661" s="735"/>
      <c r="TYQ661" s="734"/>
      <c r="TYR661" s="733"/>
      <c r="TYS661" s="734"/>
      <c r="TYT661" s="735"/>
      <c r="TYU661" s="734"/>
      <c r="TYV661" s="733"/>
      <c r="TYW661" s="734"/>
      <c r="TYX661" s="735"/>
      <c r="TYY661" s="734"/>
      <c r="TYZ661" s="733"/>
      <c r="TZA661" s="734"/>
      <c r="TZB661" s="735"/>
      <c r="TZC661" s="734"/>
      <c r="TZD661" s="733"/>
      <c r="TZE661" s="734"/>
      <c r="TZF661" s="735"/>
      <c r="TZG661" s="734"/>
      <c r="TZH661" s="733"/>
      <c r="TZI661" s="734"/>
      <c r="TZJ661" s="735"/>
      <c r="TZK661" s="734"/>
      <c r="TZL661" s="733"/>
      <c r="TZM661" s="734"/>
      <c r="TZN661" s="735"/>
      <c r="TZO661" s="734"/>
      <c r="TZP661" s="733"/>
      <c r="TZQ661" s="734"/>
      <c r="TZR661" s="735"/>
      <c r="TZS661" s="734"/>
      <c r="TZT661" s="733"/>
      <c r="TZU661" s="734"/>
      <c r="TZV661" s="735"/>
      <c r="TZW661" s="734"/>
      <c r="TZX661" s="733"/>
      <c r="TZY661" s="734"/>
      <c r="TZZ661" s="735"/>
      <c r="UAA661" s="734"/>
      <c r="UAB661" s="733"/>
      <c r="UAC661" s="734"/>
      <c r="UAD661" s="735"/>
      <c r="UAE661" s="734"/>
      <c r="UAF661" s="733"/>
      <c r="UAG661" s="734"/>
      <c r="UAH661" s="735"/>
      <c r="UAI661" s="734"/>
      <c r="UAJ661" s="733"/>
      <c r="UAK661" s="734"/>
      <c r="UAL661" s="735"/>
      <c r="UAM661" s="734"/>
      <c r="UAN661" s="733"/>
      <c r="UAO661" s="734"/>
      <c r="UAP661" s="735"/>
      <c r="UAQ661" s="734"/>
      <c r="UAR661" s="733"/>
      <c r="UAS661" s="734"/>
      <c r="UAT661" s="735"/>
      <c r="UAU661" s="734"/>
      <c r="UAV661" s="733"/>
      <c r="UAW661" s="734"/>
      <c r="UAX661" s="735"/>
      <c r="UAY661" s="734"/>
      <c r="UAZ661" s="733"/>
      <c r="UBA661" s="734"/>
      <c r="UBB661" s="735"/>
      <c r="UBC661" s="734"/>
      <c r="UBD661" s="733"/>
      <c r="UBE661" s="734"/>
      <c r="UBF661" s="735"/>
      <c r="UBG661" s="734"/>
      <c r="UBH661" s="733"/>
      <c r="UBI661" s="734"/>
      <c r="UBJ661" s="735"/>
      <c r="UBK661" s="734"/>
      <c r="UBL661" s="733"/>
      <c r="UBM661" s="734"/>
      <c r="UBN661" s="735"/>
      <c r="UBO661" s="734"/>
      <c r="UBP661" s="733"/>
      <c r="UBQ661" s="734"/>
      <c r="UBR661" s="735"/>
      <c r="UBS661" s="734"/>
      <c r="UBT661" s="733"/>
      <c r="UBU661" s="734"/>
      <c r="UBV661" s="735"/>
      <c r="UBW661" s="734"/>
      <c r="UBX661" s="733"/>
      <c r="UBY661" s="734"/>
      <c r="UBZ661" s="735"/>
      <c r="UCA661" s="734"/>
      <c r="UCB661" s="733"/>
      <c r="UCC661" s="734"/>
      <c r="UCD661" s="735"/>
      <c r="UCE661" s="734"/>
      <c r="UCF661" s="733"/>
      <c r="UCG661" s="734"/>
      <c r="UCH661" s="735"/>
      <c r="UCI661" s="734"/>
      <c r="UCJ661" s="733"/>
      <c r="UCK661" s="734"/>
      <c r="UCL661" s="735"/>
      <c r="UCM661" s="734"/>
      <c r="UCN661" s="733"/>
      <c r="UCO661" s="734"/>
      <c r="UCP661" s="735"/>
      <c r="UCQ661" s="734"/>
      <c r="UCR661" s="733"/>
      <c r="UCS661" s="734"/>
      <c r="UCT661" s="735"/>
      <c r="UCU661" s="734"/>
      <c r="UCV661" s="733"/>
      <c r="UCW661" s="734"/>
      <c r="UCX661" s="735"/>
      <c r="UCY661" s="734"/>
      <c r="UCZ661" s="733"/>
      <c r="UDA661" s="734"/>
      <c r="UDB661" s="735"/>
      <c r="UDC661" s="734"/>
      <c r="UDD661" s="733"/>
      <c r="UDE661" s="734"/>
      <c r="UDF661" s="735"/>
      <c r="UDG661" s="734"/>
      <c r="UDH661" s="733"/>
      <c r="UDI661" s="734"/>
      <c r="UDJ661" s="735"/>
      <c r="UDK661" s="734"/>
      <c r="UDL661" s="733"/>
      <c r="UDM661" s="734"/>
      <c r="UDN661" s="735"/>
      <c r="UDO661" s="734"/>
      <c r="UDP661" s="733"/>
      <c r="UDQ661" s="734"/>
      <c r="UDR661" s="735"/>
      <c r="UDS661" s="734"/>
      <c r="UDT661" s="733"/>
      <c r="UDU661" s="734"/>
      <c r="UDV661" s="735"/>
      <c r="UDW661" s="734"/>
      <c r="UDX661" s="733"/>
      <c r="UDY661" s="734"/>
      <c r="UDZ661" s="735"/>
      <c r="UEA661" s="734"/>
      <c r="UEB661" s="733"/>
      <c r="UEC661" s="734"/>
      <c r="UED661" s="735"/>
      <c r="UEE661" s="734"/>
      <c r="UEF661" s="733"/>
      <c r="UEG661" s="734"/>
      <c r="UEH661" s="735"/>
      <c r="UEI661" s="734"/>
      <c r="UEJ661" s="733"/>
      <c r="UEK661" s="734"/>
      <c r="UEL661" s="735"/>
      <c r="UEM661" s="734"/>
      <c r="UEN661" s="733"/>
      <c r="UEO661" s="734"/>
      <c r="UEP661" s="735"/>
      <c r="UEQ661" s="734"/>
      <c r="UER661" s="733"/>
      <c r="UES661" s="734"/>
      <c r="UET661" s="735"/>
      <c r="UEU661" s="734"/>
      <c r="UEV661" s="733"/>
      <c r="UEW661" s="734"/>
      <c r="UEX661" s="735"/>
      <c r="UEY661" s="734"/>
      <c r="UEZ661" s="733"/>
      <c r="UFA661" s="734"/>
      <c r="UFB661" s="735"/>
      <c r="UFC661" s="734"/>
      <c r="UFD661" s="733"/>
      <c r="UFE661" s="734"/>
      <c r="UFF661" s="735"/>
      <c r="UFG661" s="734"/>
      <c r="UFH661" s="733"/>
      <c r="UFI661" s="734"/>
      <c r="UFJ661" s="735"/>
      <c r="UFK661" s="734"/>
      <c r="UFL661" s="733"/>
      <c r="UFM661" s="734"/>
      <c r="UFN661" s="735"/>
      <c r="UFO661" s="734"/>
      <c r="UFP661" s="733"/>
      <c r="UFQ661" s="734"/>
      <c r="UFR661" s="735"/>
      <c r="UFS661" s="734"/>
      <c r="UFT661" s="733"/>
      <c r="UFU661" s="734"/>
      <c r="UFV661" s="735"/>
      <c r="UFW661" s="734"/>
      <c r="UFX661" s="733"/>
      <c r="UFY661" s="734"/>
      <c r="UFZ661" s="735"/>
      <c r="UGA661" s="734"/>
      <c r="UGB661" s="733"/>
      <c r="UGC661" s="734"/>
      <c r="UGD661" s="735"/>
      <c r="UGE661" s="734"/>
      <c r="UGF661" s="733"/>
      <c r="UGG661" s="734"/>
      <c r="UGH661" s="735"/>
      <c r="UGI661" s="734"/>
      <c r="UGJ661" s="733"/>
      <c r="UGK661" s="734"/>
      <c r="UGL661" s="735"/>
      <c r="UGM661" s="734"/>
      <c r="UGN661" s="733"/>
      <c r="UGO661" s="734"/>
      <c r="UGP661" s="735"/>
      <c r="UGQ661" s="734"/>
      <c r="UGR661" s="733"/>
      <c r="UGS661" s="734"/>
      <c r="UGT661" s="735"/>
      <c r="UGU661" s="734"/>
      <c r="UGV661" s="733"/>
      <c r="UGW661" s="734"/>
      <c r="UGX661" s="735"/>
      <c r="UGY661" s="734"/>
      <c r="UGZ661" s="733"/>
      <c r="UHA661" s="734"/>
      <c r="UHB661" s="735"/>
      <c r="UHC661" s="734"/>
      <c r="UHD661" s="733"/>
      <c r="UHE661" s="734"/>
      <c r="UHF661" s="735"/>
      <c r="UHG661" s="734"/>
      <c r="UHH661" s="733"/>
      <c r="UHI661" s="734"/>
      <c r="UHJ661" s="735"/>
      <c r="UHK661" s="734"/>
      <c r="UHL661" s="733"/>
      <c r="UHM661" s="734"/>
      <c r="UHN661" s="735"/>
      <c r="UHO661" s="734"/>
      <c r="UHP661" s="733"/>
      <c r="UHQ661" s="734"/>
      <c r="UHR661" s="735"/>
      <c r="UHS661" s="734"/>
      <c r="UHT661" s="733"/>
      <c r="UHU661" s="734"/>
      <c r="UHV661" s="735"/>
      <c r="UHW661" s="734"/>
      <c r="UHX661" s="733"/>
      <c r="UHY661" s="734"/>
      <c r="UHZ661" s="735"/>
      <c r="UIA661" s="734"/>
      <c r="UIB661" s="733"/>
      <c r="UIC661" s="734"/>
      <c r="UID661" s="735"/>
      <c r="UIE661" s="734"/>
      <c r="UIF661" s="733"/>
      <c r="UIG661" s="734"/>
      <c r="UIH661" s="735"/>
      <c r="UII661" s="734"/>
      <c r="UIJ661" s="733"/>
      <c r="UIK661" s="734"/>
      <c r="UIL661" s="735"/>
      <c r="UIM661" s="734"/>
      <c r="UIN661" s="733"/>
      <c r="UIO661" s="734"/>
      <c r="UIP661" s="735"/>
      <c r="UIQ661" s="734"/>
      <c r="UIR661" s="733"/>
      <c r="UIS661" s="734"/>
      <c r="UIT661" s="735"/>
      <c r="UIU661" s="734"/>
      <c r="UIV661" s="733"/>
      <c r="UIW661" s="734"/>
      <c r="UIX661" s="735"/>
      <c r="UIY661" s="734"/>
      <c r="UIZ661" s="733"/>
      <c r="UJA661" s="734"/>
      <c r="UJB661" s="735"/>
      <c r="UJC661" s="734"/>
      <c r="UJD661" s="733"/>
      <c r="UJE661" s="734"/>
      <c r="UJF661" s="735"/>
      <c r="UJG661" s="734"/>
      <c r="UJH661" s="733"/>
      <c r="UJI661" s="734"/>
      <c r="UJJ661" s="735"/>
      <c r="UJK661" s="734"/>
      <c r="UJL661" s="733"/>
      <c r="UJM661" s="734"/>
      <c r="UJN661" s="735"/>
      <c r="UJO661" s="734"/>
      <c r="UJP661" s="733"/>
      <c r="UJQ661" s="734"/>
      <c r="UJR661" s="735"/>
      <c r="UJS661" s="734"/>
      <c r="UJT661" s="733"/>
      <c r="UJU661" s="734"/>
      <c r="UJV661" s="735"/>
      <c r="UJW661" s="734"/>
      <c r="UJX661" s="733"/>
      <c r="UJY661" s="734"/>
      <c r="UJZ661" s="735"/>
      <c r="UKA661" s="734"/>
      <c r="UKB661" s="733"/>
      <c r="UKC661" s="734"/>
      <c r="UKD661" s="735"/>
      <c r="UKE661" s="734"/>
      <c r="UKF661" s="733"/>
      <c r="UKG661" s="734"/>
      <c r="UKH661" s="735"/>
      <c r="UKI661" s="734"/>
      <c r="UKJ661" s="733"/>
      <c r="UKK661" s="734"/>
      <c r="UKL661" s="735"/>
      <c r="UKM661" s="734"/>
      <c r="UKN661" s="733"/>
      <c r="UKO661" s="734"/>
      <c r="UKP661" s="735"/>
      <c r="UKQ661" s="734"/>
      <c r="UKR661" s="733"/>
      <c r="UKS661" s="734"/>
      <c r="UKT661" s="735"/>
      <c r="UKU661" s="734"/>
      <c r="UKV661" s="733"/>
      <c r="UKW661" s="734"/>
      <c r="UKX661" s="735"/>
      <c r="UKY661" s="734"/>
      <c r="UKZ661" s="733"/>
      <c r="ULA661" s="734"/>
      <c r="ULB661" s="735"/>
      <c r="ULC661" s="734"/>
      <c r="ULD661" s="733"/>
      <c r="ULE661" s="734"/>
      <c r="ULF661" s="735"/>
      <c r="ULG661" s="734"/>
      <c r="ULH661" s="733"/>
      <c r="ULI661" s="734"/>
      <c r="ULJ661" s="735"/>
      <c r="ULK661" s="734"/>
      <c r="ULL661" s="733"/>
      <c r="ULM661" s="734"/>
      <c r="ULN661" s="735"/>
      <c r="ULO661" s="734"/>
      <c r="ULP661" s="733"/>
      <c r="ULQ661" s="734"/>
      <c r="ULR661" s="735"/>
      <c r="ULS661" s="734"/>
      <c r="ULT661" s="733"/>
      <c r="ULU661" s="734"/>
      <c r="ULV661" s="735"/>
      <c r="ULW661" s="734"/>
      <c r="ULX661" s="733"/>
      <c r="ULY661" s="734"/>
      <c r="ULZ661" s="735"/>
      <c r="UMA661" s="734"/>
      <c r="UMB661" s="733"/>
      <c r="UMC661" s="734"/>
      <c r="UMD661" s="735"/>
      <c r="UME661" s="734"/>
      <c r="UMF661" s="733"/>
      <c r="UMG661" s="734"/>
      <c r="UMH661" s="735"/>
      <c r="UMI661" s="734"/>
      <c r="UMJ661" s="733"/>
      <c r="UMK661" s="734"/>
      <c r="UML661" s="735"/>
      <c r="UMM661" s="734"/>
      <c r="UMN661" s="733"/>
      <c r="UMO661" s="734"/>
      <c r="UMP661" s="735"/>
      <c r="UMQ661" s="734"/>
      <c r="UMR661" s="733"/>
      <c r="UMS661" s="734"/>
      <c r="UMT661" s="735"/>
      <c r="UMU661" s="734"/>
      <c r="UMV661" s="733"/>
      <c r="UMW661" s="734"/>
      <c r="UMX661" s="735"/>
      <c r="UMY661" s="734"/>
      <c r="UMZ661" s="733"/>
      <c r="UNA661" s="734"/>
      <c r="UNB661" s="735"/>
      <c r="UNC661" s="734"/>
      <c r="UND661" s="733"/>
      <c r="UNE661" s="734"/>
      <c r="UNF661" s="735"/>
      <c r="UNG661" s="734"/>
      <c r="UNH661" s="733"/>
      <c r="UNI661" s="734"/>
      <c r="UNJ661" s="735"/>
      <c r="UNK661" s="734"/>
      <c r="UNL661" s="733"/>
      <c r="UNM661" s="734"/>
      <c r="UNN661" s="735"/>
      <c r="UNO661" s="734"/>
      <c r="UNP661" s="733"/>
      <c r="UNQ661" s="734"/>
      <c r="UNR661" s="735"/>
      <c r="UNS661" s="734"/>
      <c r="UNT661" s="733"/>
      <c r="UNU661" s="734"/>
      <c r="UNV661" s="735"/>
      <c r="UNW661" s="734"/>
      <c r="UNX661" s="733"/>
      <c r="UNY661" s="734"/>
      <c r="UNZ661" s="735"/>
      <c r="UOA661" s="734"/>
      <c r="UOB661" s="733"/>
      <c r="UOC661" s="734"/>
      <c r="UOD661" s="735"/>
      <c r="UOE661" s="734"/>
      <c r="UOF661" s="733"/>
      <c r="UOG661" s="734"/>
      <c r="UOH661" s="735"/>
      <c r="UOI661" s="734"/>
      <c r="UOJ661" s="733"/>
      <c r="UOK661" s="734"/>
      <c r="UOL661" s="735"/>
      <c r="UOM661" s="734"/>
      <c r="UON661" s="733"/>
      <c r="UOO661" s="734"/>
      <c r="UOP661" s="735"/>
      <c r="UOQ661" s="734"/>
      <c r="UOR661" s="733"/>
      <c r="UOS661" s="734"/>
      <c r="UOT661" s="735"/>
      <c r="UOU661" s="734"/>
      <c r="UOV661" s="733"/>
      <c r="UOW661" s="734"/>
      <c r="UOX661" s="735"/>
      <c r="UOY661" s="734"/>
      <c r="UOZ661" s="733"/>
      <c r="UPA661" s="734"/>
      <c r="UPB661" s="735"/>
      <c r="UPC661" s="734"/>
      <c r="UPD661" s="733"/>
      <c r="UPE661" s="734"/>
      <c r="UPF661" s="735"/>
      <c r="UPG661" s="734"/>
      <c r="UPH661" s="733"/>
      <c r="UPI661" s="734"/>
      <c r="UPJ661" s="735"/>
      <c r="UPK661" s="734"/>
      <c r="UPL661" s="733"/>
      <c r="UPM661" s="734"/>
      <c r="UPN661" s="735"/>
      <c r="UPO661" s="734"/>
      <c r="UPP661" s="733"/>
      <c r="UPQ661" s="734"/>
      <c r="UPR661" s="735"/>
      <c r="UPS661" s="734"/>
      <c r="UPT661" s="733"/>
      <c r="UPU661" s="734"/>
      <c r="UPV661" s="735"/>
      <c r="UPW661" s="734"/>
      <c r="UPX661" s="733"/>
      <c r="UPY661" s="734"/>
      <c r="UPZ661" s="735"/>
      <c r="UQA661" s="734"/>
      <c r="UQB661" s="733"/>
      <c r="UQC661" s="734"/>
      <c r="UQD661" s="735"/>
      <c r="UQE661" s="734"/>
      <c r="UQF661" s="733"/>
      <c r="UQG661" s="734"/>
      <c r="UQH661" s="735"/>
      <c r="UQI661" s="734"/>
      <c r="UQJ661" s="733"/>
      <c r="UQK661" s="734"/>
      <c r="UQL661" s="735"/>
      <c r="UQM661" s="734"/>
      <c r="UQN661" s="733"/>
      <c r="UQO661" s="734"/>
      <c r="UQP661" s="735"/>
      <c r="UQQ661" s="734"/>
      <c r="UQR661" s="733"/>
      <c r="UQS661" s="734"/>
      <c r="UQT661" s="735"/>
      <c r="UQU661" s="734"/>
      <c r="UQV661" s="733"/>
      <c r="UQW661" s="734"/>
      <c r="UQX661" s="735"/>
      <c r="UQY661" s="734"/>
      <c r="UQZ661" s="733"/>
      <c r="URA661" s="734"/>
      <c r="URB661" s="735"/>
      <c r="URC661" s="734"/>
      <c r="URD661" s="733"/>
      <c r="URE661" s="734"/>
      <c r="URF661" s="735"/>
      <c r="URG661" s="734"/>
      <c r="URH661" s="733"/>
      <c r="URI661" s="734"/>
      <c r="URJ661" s="735"/>
      <c r="URK661" s="734"/>
      <c r="URL661" s="733"/>
      <c r="URM661" s="734"/>
      <c r="URN661" s="735"/>
      <c r="URO661" s="734"/>
      <c r="URP661" s="733"/>
      <c r="URQ661" s="734"/>
      <c r="URR661" s="735"/>
      <c r="URS661" s="734"/>
      <c r="URT661" s="733"/>
      <c r="URU661" s="734"/>
      <c r="URV661" s="735"/>
      <c r="URW661" s="734"/>
      <c r="URX661" s="733"/>
      <c r="URY661" s="734"/>
      <c r="URZ661" s="735"/>
      <c r="USA661" s="734"/>
      <c r="USB661" s="733"/>
      <c r="USC661" s="734"/>
      <c r="USD661" s="735"/>
      <c r="USE661" s="734"/>
      <c r="USF661" s="733"/>
      <c r="USG661" s="734"/>
      <c r="USH661" s="735"/>
      <c r="USI661" s="734"/>
      <c r="USJ661" s="733"/>
      <c r="USK661" s="734"/>
      <c r="USL661" s="735"/>
      <c r="USM661" s="734"/>
      <c r="USN661" s="733"/>
      <c r="USO661" s="734"/>
      <c r="USP661" s="735"/>
      <c r="USQ661" s="734"/>
      <c r="USR661" s="733"/>
      <c r="USS661" s="734"/>
      <c r="UST661" s="735"/>
      <c r="USU661" s="734"/>
      <c r="USV661" s="733"/>
      <c r="USW661" s="734"/>
      <c r="USX661" s="735"/>
      <c r="USY661" s="734"/>
      <c r="USZ661" s="733"/>
      <c r="UTA661" s="734"/>
      <c r="UTB661" s="735"/>
      <c r="UTC661" s="734"/>
      <c r="UTD661" s="733"/>
      <c r="UTE661" s="734"/>
      <c r="UTF661" s="735"/>
      <c r="UTG661" s="734"/>
      <c r="UTH661" s="733"/>
      <c r="UTI661" s="734"/>
      <c r="UTJ661" s="735"/>
      <c r="UTK661" s="734"/>
      <c r="UTL661" s="733"/>
      <c r="UTM661" s="734"/>
      <c r="UTN661" s="735"/>
      <c r="UTO661" s="734"/>
      <c r="UTP661" s="733"/>
      <c r="UTQ661" s="734"/>
      <c r="UTR661" s="735"/>
      <c r="UTS661" s="734"/>
      <c r="UTT661" s="733"/>
      <c r="UTU661" s="734"/>
      <c r="UTV661" s="735"/>
      <c r="UTW661" s="734"/>
      <c r="UTX661" s="733"/>
      <c r="UTY661" s="734"/>
      <c r="UTZ661" s="735"/>
      <c r="UUA661" s="734"/>
      <c r="UUB661" s="733"/>
      <c r="UUC661" s="734"/>
      <c r="UUD661" s="735"/>
      <c r="UUE661" s="734"/>
      <c r="UUF661" s="733"/>
      <c r="UUG661" s="734"/>
      <c r="UUH661" s="735"/>
      <c r="UUI661" s="734"/>
      <c r="UUJ661" s="733"/>
      <c r="UUK661" s="734"/>
      <c r="UUL661" s="735"/>
      <c r="UUM661" s="734"/>
      <c r="UUN661" s="733"/>
      <c r="UUO661" s="734"/>
      <c r="UUP661" s="735"/>
      <c r="UUQ661" s="734"/>
      <c r="UUR661" s="733"/>
      <c r="UUS661" s="734"/>
      <c r="UUT661" s="735"/>
      <c r="UUU661" s="734"/>
      <c r="UUV661" s="733"/>
      <c r="UUW661" s="734"/>
      <c r="UUX661" s="735"/>
      <c r="UUY661" s="734"/>
      <c r="UUZ661" s="733"/>
      <c r="UVA661" s="734"/>
      <c r="UVB661" s="735"/>
      <c r="UVC661" s="734"/>
      <c r="UVD661" s="733"/>
      <c r="UVE661" s="734"/>
      <c r="UVF661" s="735"/>
      <c r="UVG661" s="734"/>
      <c r="UVH661" s="733"/>
      <c r="UVI661" s="734"/>
      <c r="UVJ661" s="735"/>
      <c r="UVK661" s="734"/>
      <c r="UVL661" s="733"/>
      <c r="UVM661" s="734"/>
      <c r="UVN661" s="735"/>
      <c r="UVO661" s="734"/>
      <c r="UVP661" s="733"/>
      <c r="UVQ661" s="734"/>
      <c r="UVR661" s="735"/>
      <c r="UVS661" s="734"/>
      <c r="UVT661" s="733"/>
      <c r="UVU661" s="734"/>
      <c r="UVV661" s="735"/>
      <c r="UVW661" s="734"/>
      <c r="UVX661" s="733"/>
      <c r="UVY661" s="734"/>
      <c r="UVZ661" s="735"/>
      <c r="UWA661" s="734"/>
      <c r="UWB661" s="733"/>
      <c r="UWC661" s="734"/>
      <c r="UWD661" s="735"/>
      <c r="UWE661" s="734"/>
      <c r="UWF661" s="733"/>
      <c r="UWG661" s="734"/>
      <c r="UWH661" s="735"/>
      <c r="UWI661" s="734"/>
      <c r="UWJ661" s="733"/>
      <c r="UWK661" s="734"/>
      <c r="UWL661" s="735"/>
      <c r="UWM661" s="734"/>
      <c r="UWN661" s="733"/>
      <c r="UWO661" s="734"/>
      <c r="UWP661" s="735"/>
      <c r="UWQ661" s="734"/>
      <c r="UWR661" s="733"/>
      <c r="UWS661" s="734"/>
      <c r="UWT661" s="735"/>
      <c r="UWU661" s="734"/>
      <c r="UWV661" s="733"/>
      <c r="UWW661" s="734"/>
      <c r="UWX661" s="735"/>
      <c r="UWY661" s="734"/>
      <c r="UWZ661" s="733"/>
      <c r="UXA661" s="734"/>
      <c r="UXB661" s="735"/>
      <c r="UXC661" s="734"/>
      <c r="UXD661" s="733"/>
      <c r="UXE661" s="734"/>
      <c r="UXF661" s="735"/>
      <c r="UXG661" s="734"/>
      <c r="UXH661" s="733"/>
      <c r="UXI661" s="734"/>
      <c r="UXJ661" s="735"/>
      <c r="UXK661" s="734"/>
      <c r="UXL661" s="733"/>
      <c r="UXM661" s="734"/>
      <c r="UXN661" s="735"/>
      <c r="UXO661" s="734"/>
      <c r="UXP661" s="733"/>
      <c r="UXQ661" s="734"/>
      <c r="UXR661" s="735"/>
      <c r="UXS661" s="734"/>
      <c r="UXT661" s="733"/>
      <c r="UXU661" s="734"/>
      <c r="UXV661" s="735"/>
      <c r="UXW661" s="734"/>
      <c r="UXX661" s="733"/>
      <c r="UXY661" s="734"/>
      <c r="UXZ661" s="735"/>
      <c r="UYA661" s="734"/>
      <c r="UYB661" s="733"/>
      <c r="UYC661" s="734"/>
      <c r="UYD661" s="735"/>
      <c r="UYE661" s="734"/>
      <c r="UYF661" s="733"/>
      <c r="UYG661" s="734"/>
      <c r="UYH661" s="735"/>
      <c r="UYI661" s="734"/>
      <c r="UYJ661" s="733"/>
      <c r="UYK661" s="734"/>
      <c r="UYL661" s="735"/>
      <c r="UYM661" s="734"/>
      <c r="UYN661" s="733"/>
      <c r="UYO661" s="734"/>
      <c r="UYP661" s="735"/>
      <c r="UYQ661" s="734"/>
      <c r="UYR661" s="733"/>
      <c r="UYS661" s="734"/>
      <c r="UYT661" s="735"/>
      <c r="UYU661" s="734"/>
      <c r="UYV661" s="733"/>
      <c r="UYW661" s="734"/>
      <c r="UYX661" s="735"/>
      <c r="UYY661" s="734"/>
      <c r="UYZ661" s="733"/>
      <c r="UZA661" s="734"/>
      <c r="UZB661" s="735"/>
      <c r="UZC661" s="734"/>
      <c r="UZD661" s="733"/>
      <c r="UZE661" s="734"/>
      <c r="UZF661" s="735"/>
      <c r="UZG661" s="734"/>
      <c r="UZH661" s="733"/>
      <c r="UZI661" s="734"/>
      <c r="UZJ661" s="735"/>
      <c r="UZK661" s="734"/>
      <c r="UZL661" s="733"/>
      <c r="UZM661" s="734"/>
      <c r="UZN661" s="735"/>
      <c r="UZO661" s="734"/>
      <c r="UZP661" s="733"/>
      <c r="UZQ661" s="734"/>
      <c r="UZR661" s="735"/>
      <c r="UZS661" s="734"/>
      <c r="UZT661" s="733"/>
      <c r="UZU661" s="734"/>
      <c r="UZV661" s="735"/>
      <c r="UZW661" s="734"/>
      <c r="UZX661" s="733"/>
      <c r="UZY661" s="734"/>
      <c r="UZZ661" s="735"/>
      <c r="VAA661" s="734"/>
      <c r="VAB661" s="733"/>
      <c r="VAC661" s="734"/>
      <c r="VAD661" s="735"/>
      <c r="VAE661" s="734"/>
      <c r="VAF661" s="733"/>
      <c r="VAG661" s="734"/>
      <c r="VAH661" s="735"/>
      <c r="VAI661" s="734"/>
      <c r="VAJ661" s="733"/>
      <c r="VAK661" s="734"/>
      <c r="VAL661" s="735"/>
      <c r="VAM661" s="734"/>
      <c r="VAN661" s="733"/>
      <c r="VAO661" s="734"/>
      <c r="VAP661" s="735"/>
      <c r="VAQ661" s="734"/>
      <c r="VAR661" s="733"/>
      <c r="VAS661" s="734"/>
      <c r="VAT661" s="735"/>
      <c r="VAU661" s="734"/>
      <c r="VAV661" s="733"/>
      <c r="VAW661" s="734"/>
      <c r="VAX661" s="735"/>
      <c r="VAY661" s="734"/>
      <c r="VAZ661" s="733"/>
      <c r="VBA661" s="734"/>
      <c r="VBB661" s="735"/>
      <c r="VBC661" s="734"/>
      <c r="VBD661" s="733"/>
      <c r="VBE661" s="734"/>
      <c r="VBF661" s="735"/>
      <c r="VBG661" s="734"/>
      <c r="VBH661" s="733"/>
      <c r="VBI661" s="734"/>
      <c r="VBJ661" s="735"/>
      <c r="VBK661" s="734"/>
      <c r="VBL661" s="733"/>
      <c r="VBM661" s="734"/>
      <c r="VBN661" s="735"/>
      <c r="VBO661" s="734"/>
      <c r="VBP661" s="733"/>
      <c r="VBQ661" s="734"/>
      <c r="VBR661" s="735"/>
      <c r="VBS661" s="734"/>
      <c r="VBT661" s="733"/>
      <c r="VBU661" s="734"/>
      <c r="VBV661" s="735"/>
      <c r="VBW661" s="734"/>
      <c r="VBX661" s="733"/>
      <c r="VBY661" s="734"/>
      <c r="VBZ661" s="735"/>
      <c r="VCA661" s="734"/>
      <c r="VCB661" s="733"/>
      <c r="VCC661" s="734"/>
      <c r="VCD661" s="735"/>
      <c r="VCE661" s="734"/>
      <c r="VCF661" s="733"/>
      <c r="VCG661" s="734"/>
      <c r="VCH661" s="735"/>
      <c r="VCI661" s="734"/>
      <c r="VCJ661" s="733"/>
      <c r="VCK661" s="734"/>
      <c r="VCL661" s="735"/>
      <c r="VCM661" s="734"/>
      <c r="VCN661" s="733"/>
      <c r="VCO661" s="734"/>
      <c r="VCP661" s="735"/>
      <c r="VCQ661" s="734"/>
      <c r="VCR661" s="733"/>
      <c r="VCS661" s="734"/>
      <c r="VCT661" s="735"/>
      <c r="VCU661" s="734"/>
      <c r="VCV661" s="733"/>
      <c r="VCW661" s="734"/>
      <c r="VCX661" s="735"/>
      <c r="VCY661" s="734"/>
      <c r="VCZ661" s="733"/>
      <c r="VDA661" s="734"/>
      <c r="VDB661" s="735"/>
      <c r="VDC661" s="734"/>
      <c r="VDD661" s="733"/>
      <c r="VDE661" s="734"/>
      <c r="VDF661" s="735"/>
      <c r="VDG661" s="734"/>
      <c r="VDH661" s="733"/>
      <c r="VDI661" s="734"/>
      <c r="VDJ661" s="735"/>
      <c r="VDK661" s="734"/>
      <c r="VDL661" s="733"/>
      <c r="VDM661" s="734"/>
      <c r="VDN661" s="735"/>
      <c r="VDO661" s="734"/>
      <c r="VDP661" s="733"/>
      <c r="VDQ661" s="734"/>
      <c r="VDR661" s="735"/>
      <c r="VDS661" s="734"/>
      <c r="VDT661" s="733"/>
      <c r="VDU661" s="734"/>
      <c r="VDV661" s="735"/>
      <c r="VDW661" s="734"/>
      <c r="VDX661" s="733"/>
      <c r="VDY661" s="734"/>
      <c r="VDZ661" s="735"/>
      <c r="VEA661" s="734"/>
      <c r="VEB661" s="733"/>
      <c r="VEC661" s="734"/>
      <c r="VED661" s="735"/>
      <c r="VEE661" s="734"/>
      <c r="VEF661" s="733"/>
      <c r="VEG661" s="734"/>
      <c r="VEH661" s="735"/>
      <c r="VEI661" s="734"/>
      <c r="VEJ661" s="733"/>
      <c r="VEK661" s="734"/>
      <c r="VEL661" s="735"/>
      <c r="VEM661" s="734"/>
      <c r="VEN661" s="733"/>
      <c r="VEO661" s="734"/>
      <c r="VEP661" s="735"/>
      <c r="VEQ661" s="734"/>
      <c r="VER661" s="733"/>
      <c r="VES661" s="734"/>
      <c r="VET661" s="735"/>
      <c r="VEU661" s="734"/>
      <c r="VEV661" s="733"/>
      <c r="VEW661" s="734"/>
      <c r="VEX661" s="735"/>
      <c r="VEY661" s="734"/>
      <c r="VEZ661" s="733"/>
      <c r="VFA661" s="734"/>
      <c r="VFB661" s="735"/>
      <c r="VFC661" s="734"/>
      <c r="VFD661" s="733"/>
      <c r="VFE661" s="734"/>
      <c r="VFF661" s="735"/>
      <c r="VFG661" s="734"/>
      <c r="VFH661" s="733"/>
      <c r="VFI661" s="734"/>
      <c r="VFJ661" s="735"/>
      <c r="VFK661" s="734"/>
      <c r="VFL661" s="733"/>
      <c r="VFM661" s="734"/>
      <c r="VFN661" s="735"/>
      <c r="VFO661" s="734"/>
      <c r="VFP661" s="733"/>
      <c r="VFQ661" s="734"/>
      <c r="VFR661" s="735"/>
      <c r="VFS661" s="734"/>
      <c r="VFT661" s="733"/>
      <c r="VFU661" s="734"/>
      <c r="VFV661" s="735"/>
      <c r="VFW661" s="734"/>
      <c r="VFX661" s="733"/>
      <c r="VFY661" s="734"/>
      <c r="VFZ661" s="735"/>
      <c r="VGA661" s="734"/>
      <c r="VGB661" s="733"/>
      <c r="VGC661" s="734"/>
      <c r="VGD661" s="735"/>
      <c r="VGE661" s="734"/>
      <c r="VGF661" s="733"/>
      <c r="VGG661" s="734"/>
      <c r="VGH661" s="735"/>
      <c r="VGI661" s="734"/>
      <c r="VGJ661" s="733"/>
      <c r="VGK661" s="734"/>
      <c r="VGL661" s="735"/>
      <c r="VGM661" s="734"/>
      <c r="VGN661" s="733"/>
      <c r="VGO661" s="734"/>
      <c r="VGP661" s="735"/>
      <c r="VGQ661" s="734"/>
      <c r="VGR661" s="733"/>
      <c r="VGS661" s="734"/>
      <c r="VGT661" s="735"/>
      <c r="VGU661" s="734"/>
      <c r="VGV661" s="733"/>
      <c r="VGW661" s="734"/>
      <c r="VGX661" s="735"/>
      <c r="VGY661" s="734"/>
      <c r="VGZ661" s="733"/>
      <c r="VHA661" s="734"/>
      <c r="VHB661" s="735"/>
      <c r="VHC661" s="734"/>
      <c r="VHD661" s="733"/>
      <c r="VHE661" s="734"/>
      <c r="VHF661" s="735"/>
      <c r="VHG661" s="734"/>
      <c r="VHH661" s="733"/>
      <c r="VHI661" s="734"/>
      <c r="VHJ661" s="735"/>
      <c r="VHK661" s="734"/>
      <c r="VHL661" s="733"/>
      <c r="VHM661" s="734"/>
      <c r="VHN661" s="735"/>
      <c r="VHO661" s="734"/>
      <c r="VHP661" s="733"/>
      <c r="VHQ661" s="734"/>
      <c r="VHR661" s="735"/>
      <c r="VHS661" s="734"/>
      <c r="VHT661" s="733"/>
      <c r="VHU661" s="734"/>
      <c r="VHV661" s="735"/>
      <c r="VHW661" s="734"/>
      <c r="VHX661" s="733"/>
      <c r="VHY661" s="734"/>
      <c r="VHZ661" s="735"/>
      <c r="VIA661" s="734"/>
      <c r="VIB661" s="733"/>
      <c r="VIC661" s="734"/>
      <c r="VID661" s="735"/>
      <c r="VIE661" s="734"/>
      <c r="VIF661" s="733"/>
      <c r="VIG661" s="734"/>
      <c r="VIH661" s="735"/>
      <c r="VII661" s="734"/>
      <c r="VIJ661" s="733"/>
      <c r="VIK661" s="734"/>
      <c r="VIL661" s="735"/>
      <c r="VIM661" s="734"/>
      <c r="VIN661" s="733"/>
      <c r="VIO661" s="734"/>
      <c r="VIP661" s="735"/>
      <c r="VIQ661" s="734"/>
      <c r="VIR661" s="733"/>
      <c r="VIS661" s="734"/>
      <c r="VIT661" s="735"/>
      <c r="VIU661" s="734"/>
      <c r="VIV661" s="733"/>
      <c r="VIW661" s="734"/>
      <c r="VIX661" s="735"/>
      <c r="VIY661" s="734"/>
      <c r="VIZ661" s="733"/>
      <c r="VJA661" s="734"/>
      <c r="VJB661" s="735"/>
      <c r="VJC661" s="734"/>
      <c r="VJD661" s="733"/>
      <c r="VJE661" s="734"/>
      <c r="VJF661" s="735"/>
      <c r="VJG661" s="734"/>
      <c r="VJH661" s="733"/>
      <c r="VJI661" s="734"/>
      <c r="VJJ661" s="735"/>
      <c r="VJK661" s="734"/>
      <c r="VJL661" s="733"/>
      <c r="VJM661" s="734"/>
      <c r="VJN661" s="735"/>
      <c r="VJO661" s="734"/>
      <c r="VJP661" s="733"/>
      <c r="VJQ661" s="734"/>
      <c r="VJR661" s="735"/>
      <c r="VJS661" s="734"/>
      <c r="VJT661" s="733"/>
      <c r="VJU661" s="734"/>
      <c r="VJV661" s="735"/>
      <c r="VJW661" s="734"/>
      <c r="VJX661" s="733"/>
      <c r="VJY661" s="734"/>
      <c r="VJZ661" s="735"/>
      <c r="VKA661" s="734"/>
      <c r="VKB661" s="733"/>
      <c r="VKC661" s="734"/>
      <c r="VKD661" s="735"/>
      <c r="VKE661" s="734"/>
      <c r="VKF661" s="733"/>
      <c r="VKG661" s="734"/>
      <c r="VKH661" s="735"/>
      <c r="VKI661" s="734"/>
      <c r="VKJ661" s="733"/>
      <c r="VKK661" s="734"/>
      <c r="VKL661" s="735"/>
      <c r="VKM661" s="734"/>
      <c r="VKN661" s="733"/>
      <c r="VKO661" s="734"/>
      <c r="VKP661" s="735"/>
      <c r="VKQ661" s="734"/>
      <c r="VKR661" s="733"/>
      <c r="VKS661" s="734"/>
      <c r="VKT661" s="735"/>
      <c r="VKU661" s="734"/>
      <c r="VKV661" s="733"/>
      <c r="VKW661" s="734"/>
      <c r="VKX661" s="735"/>
      <c r="VKY661" s="734"/>
      <c r="VKZ661" s="733"/>
      <c r="VLA661" s="734"/>
      <c r="VLB661" s="735"/>
      <c r="VLC661" s="734"/>
      <c r="VLD661" s="733"/>
      <c r="VLE661" s="734"/>
      <c r="VLF661" s="735"/>
      <c r="VLG661" s="734"/>
      <c r="VLH661" s="733"/>
      <c r="VLI661" s="734"/>
      <c r="VLJ661" s="735"/>
      <c r="VLK661" s="734"/>
      <c r="VLL661" s="733"/>
      <c r="VLM661" s="734"/>
      <c r="VLN661" s="735"/>
      <c r="VLO661" s="734"/>
      <c r="VLP661" s="733"/>
      <c r="VLQ661" s="734"/>
      <c r="VLR661" s="735"/>
      <c r="VLS661" s="734"/>
      <c r="VLT661" s="733"/>
      <c r="VLU661" s="734"/>
      <c r="VLV661" s="735"/>
      <c r="VLW661" s="734"/>
      <c r="VLX661" s="733"/>
      <c r="VLY661" s="734"/>
      <c r="VLZ661" s="735"/>
      <c r="VMA661" s="734"/>
      <c r="VMB661" s="733"/>
      <c r="VMC661" s="734"/>
      <c r="VMD661" s="735"/>
      <c r="VME661" s="734"/>
      <c r="VMF661" s="733"/>
      <c r="VMG661" s="734"/>
      <c r="VMH661" s="735"/>
      <c r="VMI661" s="734"/>
      <c r="VMJ661" s="733"/>
      <c r="VMK661" s="734"/>
      <c r="VML661" s="735"/>
      <c r="VMM661" s="734"/>
      <c r="VMN661" s="733"/>
      <c r="VMO661" s="734"/>
      <c r="VMP661" s="735"/>
      <c r="VMQ661" s="734"/>
      <c r="VMR661" s="733"/>
      <c r="VMS661" s="734"/>
      <c r="VMT661" s="735"/>
      <c r="VMU661" s="734"/>
      <c r="VMV661" s="733"/>
      <c r="VMW661" s="734"/>
      <c r="VMX661" s="735"/>
      <c r="VMY661" s="734"/>
      <c r="VMZ661" s="733"/>
      <c r="VNA661" s="734"/>
      <c r="VNB661" s="735"/>
      <c r="VNC661" s="734"/>
      <c r="VND661" s="733"/>
      <c r="VNE661" s="734"/>
      <c r="VNF661" s="735"/>
      <c r="VNG661" s="734"/>
      <c r="VNH661" s="733"/>
      <c r="VNI661" s="734"/>
      <c r="VNJ661" s="735"/>
      <c r="VNK661" s="734"/>
      <c r="VNL661" s="733"/>
      <c r="VNM661" s="734"/>
      <c r="VNN661" s="735"/>
      <c r="VNO661" s="734"/>
      <c r="VNP661" s="733"/>
      <c r="VNQ661" s="734"/>
      <c r="VNR661" s="735"/>
      <c r="VNS661" s="734"/>
      <c r="VNT661" s="733"/>
      <c r="VNU661" s="734"/>
      <c r="VNV661" s="735"/>
      <c r="VNW661" s="734"/>
      <c r="VNX661" s="733"/>
      <c r="VNY661" s="734"/>
      <c r="VNZ661" s="735"/>
      <c r="VOA661" s="734"/>
      <c r="VOB661" s="733"/>
      <c r="VOC661" s="734"/>
      <c r="VOD661" s="735"/>
      <c r="VOE661" s="734"/>
      <c r="VOF661" s="733"/>
      <c r="VOG661" s="734"/>
      <c r="VOH661" s="735"/>
      <c r="VOI661" s="734"/>
      <c r="VOJ661" s="733"/>
      <c r="VOK661" s="734"/>
      <c r="VOL661" s="735"/>
      <c r="VOM661" s="734"/>
      <c r="VON661" s="733"/>
      <c r="VOO661" s="734"/>
      <c r="VOP661" s="735"/>
      <c r="VOQ661" s="734"/>
      <c r="VOR661" s="733"/>
      <c r="VOS661" s="734"/>
      <c r="VOT661" s="735"/>
      <c r="VOU661" s="734"/>
      <c r="VOV661" s="733"/>
      <c r="VOW661" s="734"/>
      <c r="VOX661" s="735"/>
      <c r="VOY661" s="734"/>
      <c r="VOZ661" s="733"/>
      <c r="VPA661" s="734"/>
      <c r="VPB661" s="735"/>
      <c r="VPC661" s="734"/>
      <c r="VPD661" s="733"/>
      <c r="VPE661" s="734"/>
      <c r="VPF661" s="735"/>
      <c r="VPG661" s="734"/>
      <c r="VPH661" s="733"/>
      <c r="VPI661" s="734"/>
      <c r="VPJ661" s="735"/>
      <c r="VPK661" s="734"/>
      <c r="VPL661" s="733"/>
      <c r="VPM661" s="734"/>
      <c r="VPN661" s="735"/>
      <c r="VPO661" s="734"/>
      <c r="VPP661" s="733"/>
      <c r="VPQ661" s="734"/>
      <c r="VPR661" s="735"/>
      <c r="VPS661" s="734"/>
      <c r="VPT661" s="733"/>
      <c r="VPU661" s="734"/>
      <c r="VPV661" s="735"/>
      <c r="VPW661" s="734"/>
      <c r="VPX661" s="733"/>
      <c r="VPY661" s="734"/>
      <c r="VPZ661" s="735"/>
      <c r="VQA661" s="734"/>
      <c r="VQB661" s="733"/>
      <c r="VQC661" s="734"/>
      <c r="VQD661" s="735"/>
      <c r="VQE661" s="734"/>
      <c r="VQF661" s="733"/>
      <c r="VQG661" s="734"/>
      <c r="VQH661" s="735"/>
      <c r="VQI661" s="734"/>
      <c r="VQJ661" s="733"/>
      <c r="VQK661" s="734"/>
      <c r="VQL661" s="735"/>
      <c r="VQM661" s="734"/>
      <c r="VQN661" s="733"/>
      <c r="VQO661" s="734"/>
      <c r="VQP661" s="735"/>
      <c r="VQQ661" s="734"/>
      <c r="VQR661" s="733"/>
      <c r="VQS661" s="734"/>
      <c r="VQT661" s="735"/>
      <c r="VQU661" s="734"/>
      <c r="VQV661" s="733"/>
      <c r="VQW661" s="734"/>
      <c r="VQX661" s="735"/>
      <c r="VQY661" s="734"/>
      <c r="VQZ661" s="733"/>
      <c r="VRA661" s="734"/>
      <c r="VRB661" s="735"/>
      <c r="VRC661" s="734"/>
      <c r="VRD661" s="733"/>
      <c r="VRE661" s="734"/>
      <c r="VRF661" s="735"/>
      <c r="VRG661" s="734"/>
      <c r="VRH661" s="733"/>
      <c r="VRI661" s="734"/>
      <c r="VRJ661" s="735"/>
      <c r="VRK661" s="734"/>
      <c r="VRL661" s="733"/>
      <c r="VRM661" s="734"/>
      <c r="VRN661" s="735"/>
      <c r="VRO661" s="734"/>
      <c r="VRP661" s="733"/>
      <c r="VRQ661" s="734"/>
      <c r="VRR661" s="735"/>
      <c r="VRS661" s="734"/>
      <c r="VRT661" s="733"/>
      <c r="VRU661" s="734"/>
      <c r="VRV661" s="735"/>
      <c r="VRW661" s="734"/>
      <c r="VRX661" s="733"/>
      <c r="VRY661" s="734"/>
      <c r="VRZ661" s="735"/>
      <c r="VSA661" s="734"/>
      <c r="VSB661" s="733"/>
      <c r="VSC661" s="734"/>
      <c r="VSD661" s="735"/>
      <c r="VSE661" s="734"/>
      <c r="VSF661" s="733"/>
      <c r="VSG661" s="734"/>
      <c r="VSH661" s="735"/>
      <c r="VSI661" s="734"/>
      <c r="VSJ661" s="733"/>
      <c r="VSK661" s="734"/>
      <c r="VSL661" s="735"/>
      <c r="VSM661" s="734"/>
      <c r="VSN661" s="733"/>
      <c r="VSO661" s="734"/>
      <c r="VSP661" s="735"/>
      <c r="VSQ661" s="734"/>
      <c r="VSR661" s="733"/>
      <c r="VSS661" s="734"/>
      <c r="VST661" s="735"/>
      <c r="VSU661" s="734"/>
      <c r="VSV661" s="733"/>
      <c r="VSW661" s="734"/>
      <c r="VSX661" s="735"/>
      <c r="VSY661" s="734"/>
      <c r="VSZ661" s="733"/>
      <c r="VTA661" s="734"/>
      <c r="VTB661" s="735"/>
      <c r="VTC661" s="734"/>
      <c r="VTD661" s="733"/>
      <c r="VTE661" s="734"/>
      <c r="VTF661" s="735"/>
      <c r="VTG661" s="734"/>
      <c r="VTH661" s="733"/>
      <c r="VTI661" s="734"/>
      <c r="VTJ661" s="735"/>
      <c r="VTK661" s="734"/>
      <c r="VTL661" s="733"/>
      <c r="VTM661" s="734"/>
      <c r="VTN661" s="735"/>
      <c r="VTO661" s="734"/>
      <c r="VTP661" s="733"/>
      <c r="VTQ661" s="734"/>
      <c r="VTR661" s="735"/>
      <c r="VTS661" s="734"/>
      <c r="VTT661" s="733"/>
      <c r="VTU661" s="734"/>
      <c r="VTV661" s="735"/>
      <c r="VTW661" s="734"/>
      <c r="VTX661" s="733"/>
      <c r="VTY661" s="734"/>
      <c r="VTZ661" s="735"/>
      <c r="VUA661" s="734"/>
      <c r="VUB661" s="733"/>
      <c r="VUC661" s="734"/>
      <c r="VUD661" s="735"/>
      <c r="VUE661" s="734"/>
      <c r="VUF661" s="733"/>
      <c r="VUG661" s="734"/>
      <c r="VUH661" s="735"/>
      <c r="VUI661" s="734"/>
      <c r="VUJ661" s="733"/>
      <c r="VUK661" s="734"/>
      <c r="VUL661" s="735"/>
      <c r="VUM661" s="734"/>
      <c r="VUN661" s="733"/>
      <c r="VUO661" s="734"/>
      <c r="VUP661" s="735"/>
      <c r="VUQ661" s="734"/>
      <c r="VUR661" s="733"/>
      <c r="VUS661" s="734"/>
      <c r="VUT661" s="735"/>
      <c r="VUU661" s="734"/>
      <c r="VUV661" s="733"/>
      <c r="VUW661" s="734"/>
      <c r="VUX661" s="735"/>
      <c r="VUY661" s="734"/>
      <c r="VUZ661" s="733"/>
      <c r="VVA661" s="734"/>
      <c r="VVB661" s="735"/>
      <c r="VVC661" s="734"/>
      <c r="VVD661" s="733"/>
      <c r="VVE661" s="734"/>
      <c r="VVF661" s="735"/>
      <c r="VVG661" s="734"/>
      <c r="VVH661" s="733"/>
      <c r="VVI661" s="734"/>
      <c r="VVJ661" s="735"/>
      <c r="VVK661" s="734"/>
      <c r="VVL661" s="733"/>
      <c r="VVM661" s="734"/>
      <c r="VVN661" s="735"/>
      <c r="VVO661" s="734"/>
      <c r="VVP661" s="733"/>
      <c r="VVQ661" s="734"/>
      <c r="VVR661" s="735"/>
      <c r="VVS661" s="734"/>
      <c r="VVT661" s="733"/>
      <c r="VVU661" s="734"/>
      <c r="VVV661" s="735"/>
      <c r="VVW661" s="734"/>
      <c r="VVX661" s="733"/>
      <c r="VVY661" s="734"/>
      <c r="VVZ661" s="735"/>
      <c r="VWA661" s="734"/>
      <c r="VWB661" s="733"/>
      <c r="VWC661" s="734"/>
      <c r="VWD661" s="735"/>
      <c r="VWE661" s="734"/>
      <c r="VWF661" s="733"/>
      <c r="VWG661" s="734"/>
      <c r="VWH661" s="735"/>
      <c r="VWI661" s="734"/>
      <c r="VWJ661" s="733"/>
      <c r="VWK661" s="734"/>
      <c r="VWL661" s="735"/>
      <c r="VWM661" s="734"/>
      <c r="VWN661" s="733"/>
      <c r="VWO661" s="734"/>
      <c r="VWP661" s="735"/>
      <c r="VWQ661" s="734"/>
      <c r="VWR661" s="733"/>
      <c r="VWS661" s="734"/>
      <c r="VWT661" s="735"/>
      <c r="VWU661" s="734"/>
      <c r="VWV661" s="733"/>
      <c r="VWW661" s="734"/>
      <c r="VWX661" s="735"/>
      <c r="VWY661" s="734"/>
      <c r="VWZ661" s="733"/>
      <c r="VXA661" s="734"/>
      <c r="VXB661" s="735"/>
      <c r="VXC661" s="734"/>
      <c r="VXD661" s="733"/>
      <c r="VXE661" s="734"/>
      <c r="VXF661" s="735"/>
      <c r="VXG661" s="734"/>
      <c r="VXH661" s="733"/>
      <c r="VXI661" s="734"/>
      <c r="VXJ661" s="735"/>
      <c r="VXK661" s="734"/>
      <c r="VXL661" s="733"/>
      <c r="VXM661" s="734"/>
      <c r="VXN661" s="735"/>
      <c r="VXO661" s="734"/>
      <c r="VXP661" s="733"/>
      <c r="VXQ661" s="734"/>
      <c r="VXR661" s="735"/>
      <c r="VXS661" s="734"/>
      <c r="VXT661" s="733"/>
      <c r="VXU661" s="734"/>
      <c r="VXV661" s="735"/>
      <c r="VXW661" s="734"/>
      <c r="VXX661" s="733"/>
      <c r="VXY661" s="734"/>
      <c r="VXZ661" s="735"/>
      <c r="VYA661" s="734"/>
      <c r="VYB661" s="733"/>
      <c r="VYC661" s="734"/>
      <c r="VYD661" s="735"/>
      <c r="VYE661" s="734"/>
      <c r="VYF661" s="733"/>
      <c r="VYG661" s="734"/>
      <c r="VYH661" s="735"/>
      <c r="VYI661" s="734"/>
      <c r="VYJ661" s="733"/>
      <c r="VYK661" s="734"/>
      <c r="VYL661" s="735"/>
      <c r="VYM661" s="734"/>
      <c r="VYN661" s="733"/>
      <c r="VYO661" s="734"/>
      <c r="VYP661" s="735"/>
      <c r="VYQ661" s="734"/>
      <c r="VYR661" s="733"/>
      <c r="VYS661" s="734"/>
      <c r="VYT661" s="735"/>
      <c r="VYU661" s="734"/>
      <c r="VYV661" s="733"/>
      <c r="VYW661" s="734"/>
      <c r="VYX661" s="735"/>
      <c r="VYY661" s="734"/>
      <c r="VYZ661" s="733"/>
      <c r="VZA661" s="734"/>
      <c r="VZB661" s="735"/>
      <c r="VZC661" s="734"/>
      <c r="VZD661" s="733"/>
      <c r="VZE661" s="734"/>
      <c r="VZF661" s="735"/>
      <c r="VZG661" s="734"/>
      <c r="VZH661" s="733"/>
      <c r="VZI661" s="734"/>
      <c r="VZJ661" s="735"/>
      <c r="VZK661" s="734"/>
      <c r="VZL661" s="733"/>
      <c r="VZM661" s="734"/>
      <c r="VZN661" s="735"/>
      <c r="VZO661" s="734"/>
      <c r="VZP661" s="733"/>
      <c r="VZQ661" s="734"/>
      <c r="VZR661" s="735"/>
      <c r="VZS661" s="734"/>
      <c r="VZT661" s="733"/>
      <c r="VZU661" s="734"/>
      <c r="VZV661" s="735"/>
      <c r="VZW661" s="734"/>
      <c r="VZX661" s="733"/>
      <c r="VZY661" s="734"/>
      <c r="VZZ661" s="735"/>
      <c r="WAA661" s="734"/>
      <c r="WAB661" s="733"/>
      <c r="WAC661" s="734"/>
      <c r="WAD661" s="735"/>
      <c r="WAE661" s="734"/>
      <c r="WAF661" s="733"/>
      <c r="WAG661" s="734"/>
      <c r="WAH661" s="735"/>
      <c r="WAI661" s="734"/>
      <c r="WAJ661" s="733"/>
      <c r="WAK661" s="734"/>
      <c r="WAL661" s="735"/>
      <c r="WAM661" s="734"/>
      <c r="WAN661" s="733"/>
      <c r="WAO661" s="734"/>
      <c r="WAP661" s="735"/>
      <c r="WAQ661" s="734"/>
      <c r="WAR661" s="733"/>
      <c r="WAS661" s="734"/>
      <c r="WAT661" s="735"/>
      <c r="WAU661" s="734"/>
      <c r="WAV661" s="733"/>
      <c r="WAW661" s="734"/>
      <c r="WAX661" s="735"/>
      <c r="WAY661" s="734"/>
      <c r="WAZ661" s="733"/>
      <c r="WBA661" s="734"/>
      <c r="WBB661" s="735"/>
      <c r="WBC661" s="734"/>
      <c r="WBD661" s="733"/>
      <c r="WBE661" s="734"/>
      <c r="WBF661" s="735"/>
      <c r="WBG661" s="734"/>
      <c r="WBH661" s="733"/>
      <c r="WBI661" s="734"/>
      <c r="WBJ661" s="735"/>
      <c r="WBK661" s="734"/>
      <c r="WBL661" s="733"/>
      <c r="WBM661" s="734"/>
      <c r="WBN661" s="735"/>
      <c r="WBO661" s="734"/>
      <c r="WBP661" s="733"/>
      <c r="WBQ661" s="734"/>
      <c r="WBR661" s="735"/>
      <c r="WBS661" s="734"/>
      <c r="WBT661" s="733"/>
      <c r="WBU661" s="734"/>
      <c r="WBV661" s="735"/>
      <c r="WBW661" s="734"/>
      <c r="WBX661" s="733"/>
      <c r="WBY661" s="734"/>
      <c r="WBZ661" s="735"/>
      <c r="WCA661" s="734"/>
      <c r="WCB661" s="733"/>
      <c r="WCC661" s="734"/>
      <c r="WCD661" s="735"/>
      <c r="WCE661" s="734"/>
      <c r="WCF661" s="733"/>
      <c r="WCG661" s="734"/>
      <c r="WCH661" s="735"/>
      <c r="WCI661" s="734"/>
      <c r="WCJ661" s="733"/>
      <c r="WCK661" s="734"/>
      <c r="WCL661" s="735"/>
      <c r="WCM661" s="734"/>
      <c r="WCN661" s="733"/>
      <c r="WCO661" s="734"/>
      <c r="WCP661" s="735"/>
      <c r="WCQ661" s="734"/>
      <c r="WCR661" s="733"/>
      <c r="WCS661" s="734"/>
      <c r="WCT661" s="735"/>
      <c r="WCU661" s="734"/>
      <c r="WCV661" s="733"/>
      <c r="WCW661" s="734"/>
      <c r="WCX661" s="735"/>
      <c r="WCY661" s="734"/>
      <c r="WCZ661" s="733"/>
      <c r="WDA661" s="734"/>
      <c r="WDB661" s="735"/>
      <c r="WDC661" s="734"/>
      <c r="WDD661" s="733"/>
      <c r="WDE661" s="734"/>
      <c r="WDF661" s="735"/>
      <c r="WDG661" s="734"/>
      <c r="WDH661" s="733"/>
      <c r="WDI661" s="734"/>
      <c r="WDJ661" s="735"/>
      <c r="WDK661" s="734"/>
      <c r="WDL661" s="733"/>
      <c r="WDM661" s="734"/>
      <c r="WDN661" s="735"/>
      <c r="WDO661" s="734"/>
      <c r="WDP661" s="733"/>
      <c r="WDQ661" s="734"/>
      <c r="WDR661" s="735"/>
      <c r="WDS661" s="734"/>
      <c r="WDT661" s="733"/>
      <c r="WDU661" s="734"/>
      <c r="WDV661" s="735"/>
      <c r="WDW661" s="734"/>
      <c r="WDX661" s="733"/>
      <c r="WDY661" s="734"/>
      <c r="WDZ661" s="735"/>
      <c r="WEA661" s="734"/>
      <c r="WEB661" s="733"/>
      <c r="WEC661" s="734"/>
      <c r="WED661" s="735"/>
      <c r="WEE661" s="734"/>
      <c r="WEF661" s="733"/>
      <c r="WEG661" s="734"/>
      <c r="WEH661" s="735"/>
      <c r="WEI661" s="734"/>
      <c r="WEJ661" s="733"/>
      <c r="WEK661" s="734"/>
      <c r="WEL661" s="735"/>
      <c r="WEM661" s="734"/>
      <c r="WEN661" s="733"/>
      <c r="WEO661" s="734"/>
      <c r="WEP661" s="735"/>
      <c r="WEQ661" s="734"/>
      <c r="WER661" s="733"/>
      <c r="WES661" s="734"/>
      <c r="WET661" s="735"/>
      <c r="WEU661" s="734"/>
      <c r="WEV661" s="733"/>
      <c r="WEW661" s="734"/>
      <c r="WEX661" s="735"/>
      <c r="WEY661" s="734"/>
      <c r="WEZ661" s="733"/>
      <c r="WFA661" s="734"/>
      <c r="WFB661" s="735"/>
      <c r="WFC661" s="734"/>
      <c r="WFD661" s="733"/>
      <c r="WFE661" s="734"/>
      <c r="WFF661" s="735"/>
      <c r="WFG661" s="734"/>
      <c r="WFH661" s="733"/>
      <c r="WFI661" s="734"/>
      <c r="WFJ661" s="735"/>
      <c r="WFK661" s="734"/>
      <c r="WFL661" s="733"/>
      <c r="WFM661" s="734"/>
      <c r="WFN661" s="735"/>
      <c r="WFO661" s="734"/>
      <c r="WFP661" s="733"/>
      <c r="WFQ661" s="734"/>
      <c r="WFR661" s="735"/>
      <c r="WFS661" s="734"/>
      <c r="WFT661" s="733"/>
      <c r="WFU661" s="734"/>
      <c r="WFV661" s="735"/>
      <c r="WFW661" s="734"/>
      <c r="WFX661" s="733"/>
      <c r="WFY661" s="734"/>
      <c r="WFZ661" s="735"/>
      <c r="WGA661" s="734"/>
      <c r="WGB661" s="733"/>
      <c r="WGC661" s="734"/>
      <c r="WGD661" s="735"/>
      <c r="WGE661" s="734"/>
      <c r="WGF661" s="733"/>
      <c r="WGG661" s="734"/>
      <c r="WGH661" s="735"/>
      <c r="WGI661" s="734"/>
      <c r="WGJ661" s="733"/>
      <c r="WGK661" s="734"/>
      <c r="WGL661" s="735"/>
      <c r="WGM661" s="734"/>
      <c r="WGN661" s="733"/>
      <c r="WGO661" s="734"/>
      <c r="WGP661" s="735"/>
      <c r="WGQ661" s="734"/>
      <c r="WGR661" s="733"/>
      <c r="WGS661" s="734"/>
      <c r="WGT661" s="735"/>
      <c r="WGU661" s="734"/>
      <c r="WGV661" s="733"/>
      <c r="WGW661" s="734"/>
      <c r="WGX661" s="735"/>
      <c r="WGY661" s="734"/>
      <c r="WGZ661" s="733"/>
      <c r="WHA661" s="734"/>
      <c r="WHB661" s="735"/>
      <c r="WHC661" s="734"/>
      <c r="WHD661" s="733"/>
      <c r="WHE661" s="734"/>
      <c r="WHF661" s="735"/>
      <c r="WHG661" s="734"/>
      <c r="WHH661" s="733"/>
      <c r="WHI661" s="734"/>
      <c r="WHJ661" s="735"/>
      <c r="WHK661" s="734"/>
      <c r="WHL661" s="733"/>
      <c r="WHM661" s="734"/>
      <c r="WHN661" s="735"/>
      <c r="WHO661" s="734"/>
      <c r="WHP661" s="733"/>
      <c r="WHQ661" s="734"/>
      <c r="WHR661" s="735"/>
      <c r="WHS661" s="734"/>
      <c r="WHT661" s="733"/>
      <c r="WHU661" s="734"/>
      <c r="WHV661" s="735"/>
      <c r="WHW661" s="734"/>
      <c r="WHX661" s="733"/>
      <c r="WHY661" s="734"/>
      <c r="WHZ661" s="735"/>
      <c r="WIA661" s="734"/>
      <c r="WIB661" s="733"/>
      <c r="WIC661" s="734"/>
      <c r="WID661" s="735"/>
      <c r="WIE661" s="734"/>
      <c r="WIF661" s="733"/>
      <c r="WIG661" s="734"/>
      <c r="WIH661" s="735"/>
      <c r="WII661" s="734"/>
      <c r="WIJ661" s="733"/>
      <c r="WIK661" s="734"/>
      <c r="WIL661" s="735"/>
      <c r="WIM661" s="734"/>
      <c r="WIN661" s="733"/>
      <c r="WIO661" s="734"/>
      <c r="WIP661" s="735"/>
      <c r="WIQ661" s="734"/>
      <c r="WIR661" s="733"/>
      <c r="WIS661" s="734"/>
      <c r="WIT661" s="735"/>
      <c r="WIU661" s="734"/>
      <c r="WIV661" s="733"/>
      <c r="WIW661" s="734"/>
      <c r="WIX661" s="735"/>
      <c r="WIY661" s="734"/>
      <c r="WIZ661" s="733"/>
      <c r="WJA661" s="734"/>
      <c r="WJB661" s="735"/>
      <c r="WJC661" s="734"/>
      <c r="WJD661" s="733"/>
      <c r="WJE661" s="734"/>
      <c r="WJF661" s="735"/>
      <c r="WJG661" s="734"/>
      <c r="WJH661" s="733"/>
      <c r="WJI661" s="734"/>
      <c r="WJJ661" s="735"/>
      <c r="WJK661" s="734"/>
      <c r="WJL661" s="733"/>
      <c r="WJM661" s="734"/>
      <c r="WJN661" s="735"/>
      <c r="WJO661" s="734"/>
      <c r="WJP661" s="733"/>
      <c r="WJQ661" s="734"/>
      <c r="WJR661" s="735"/>
      <c r="WJS661" s="734"/>
      <c r="WJT661" s="733"/>
      <c r="WJU661" s="734"/>
      <c r="WJV661" s="735"/>
      <c r="WJW661" s="734"/>
      <c r="WJX661" s="733"/>
      <c r="WJY661" s="734"/>
      <c r="WJZ661" s="735"/>
      <c r="WKA661" s="734"/>
      <c r="WKB661" s="733"/>
      <c r="WKC661" s="734"/>
      <c r="WKD661" s="735"/>
      <c r="WKE661" s="734"/>
      <c r="WKF661" s="733"/>
      <c r="WKG661" s="734"/>
      <c r="WKH661" s="735"/>
      <c r="WKI661" s="734"/>
      <c r="WKJ661" s="733"/>
      <c r="WKK661" s="734"/>
      <c r="WKL661" s="735"/>
      <c r="WKM661" s="734"/>
      <c r="WKN661" s="733"/>
      <c r="WKO661" s="734"/>
      <c r="WKP661" s="735"/>
      <c r="WKQ661" s="734"/>
      <c r="WKR661" s="733"/>
      <c r="WKS661" s="734"/>
      <c r="WKT661" s="735"/>
      <c r="WKU661" s="734"/>
      <c r="WKV661" s="733"/>
      <c r="WKW661" s="734"/>
      <c r="WKX661" s="735"/>
      <c r="WKY661" s="734"/>
      <c r="WKZ661" s="733"/>
      <c r="WLA661" s="734"/>
      <c r="WLB661" s="735"/>
      <c r="WLC661" s="734"/>
      <c r="WLD661" s="733"/>
      <c r="WLE661" s="734"/>
      <c r="WLF661" s="735"/>
      <c r="WLG661" s="734"/>
      <c r="WLH661" s="733"/>
      <c r="WLI661" s="734"/>
      <c r="WLJ661" s="735"/>
      <c r="WLK661" s="734"/>
      <c r="WLL661" s="733"/>
      <c r="WLM661" s="734"/>
      <c r="WLN661" s="735"/>
      <c r="WLO661" s="734"/>
      <c r="WLP661" s="733"/>
      <c r="WLQ661" s="734"/>
      <c r="WLR661" s="735"/>
      <c r="WLS661" s="734"/>
      <c r="WLT661" s="733"/>
      <c r="WLU661" s="734"/>
      <c r="WLV661" s="735"/>
      <c r="WLW661" s="734"/>
      <c r="WLX661" s="733"/>
      <c r="WLY661" s="734"/>
      <c r="WLZ661" s="735"/>
      <c r="WMA661" s="734"/>
      <c r="WMB661" s="733"/>
      <c r="WMC661" s="734"/>
      <c r="WMD661" s="735"/>
      <c r="WME661" s="734"/>
      <c r="WMF661" s="733"/>
      <c r="WMG661" s="734"/>
      <c r="WMH661" s="735"/>
      <c r="WMI661" s="734"/>
      <c r="WMJ661" s="733"/>
      <c r="WMK661" s="734"/>
      <c r="WML661" s="735"/>
      <c r="WMM661" s="734"/>
      <c r="WMN661" s="733"/>
      <c r="WMO661" s="734"/>
      <c r="WMP661" s="735"/>
      <c r="WMQ661" s="734"/>
      <c r="WMR661" s="733"/>
      <c r="WMS661" s="734"/>
      <c r="WMT661" s="735"/>
      <c r="WMU661" s="734"/>
      <c r="WMV661" s="733"/>
      <c r="WMW661" s="734"/>
      <c r="WMX661" s="735"/>
      <c r="WMY661" s="734"/>
      <c r="WMZ661" s="733"/>
      <c r="WNA661" s="734"/>
      <c r="WNB661" s="735"/>
      <c r="WNC661" s="734"/>
      <c r="WND661" s="733"/>
      <c r="WNE661" s="734"/>
      <c r="WNF661" s="735"/>
      <c r="WNG661" s="734"/>
      <c r="WNH661" s="733"/>
      <c r="WNI661" s="734"/>
      <c r="WNJ661" s="735"/>
      <c r="WNK661" s="734"/>
      <c r="WNL661" s="733"/>
      <c r="WNM661" s="734"/>
      <c r="WNN661" s="735"/>
      <c r="WNO661" s="734"/>
      <c r="WNP661" s="733"/>
      <c r="WNQ661" s="734"/>
      <c r="WNR661" s="735"/>
      <c r="WNS661" s="734"/>
      <c r="WNT661" s="733"/>
      <c r="WNU661" s="734"/>
      <c r="WNV661" s="735"/>
      <c r="WNW661" s="734"/>
      <c r="WNX661" s="733"/>
      <c r="WNY661" s="734"/>
      <c r="WNZ661" s="735"/>
      <c r="WOA661" s="734"/>
      <c r="WOB661" s="733"/>
      <c r="WOC661" s="734"/>
      <c r="WOD661" s="735"/>
      <c r="WOE661" s="734"/>
      <c r="WOF661" s="733"/>
      <c r="WOG661" s="734"/>
      <c r="WOH661" s="735"/>
      <c r="WOI661" s="734"/>
      <c r="WOJ661" s="733"/>
      <c r="WOK661" s="734"/>
      <c r="WOL661" s="735"/>
      <c r="WOM661" s="734"/>
      <c r="WON661" s="733"/>
      <c r="WOO661" s="734"/>
      <c r="WOP661" s="735"/>
      <c r="WOQ661" s="734"/>
      <c r="WOR661" s="733"/>
      <c r="WOS661" s="734"/>
      <c r="WOT661" s="735"/>
      <c r="WOU661" s="734"/>
      <c r="WOV661" s="733"/>
      <c r="WOW661" s="734"/>
      <c r="WOX661" s="735"/>
      <c r="WOY661" s="734"/>
      <c r="WOZ661" s="733"/>
      <c r="WPA661" s="734"/>
      <c r="WPB661" s="735"/>
      <c r="WPC661" s="734"/>
      <c r="WPD661" s="733"/>
      <c r="WPE661" s="734"/>
      <c r="WPF661" s="735"/>
      <c r="WPG661" s="734"/>
      <c r="WPH661" s="733"/>
      <c r="WPI661" s="734"/>
      <c r="WPJ661" s="735"/>
      <c r="WPK661" s="734"/>
      <c r="WPL661" s="733"/>
      <c r="WPM661" s="734"/>
      <c r="WPN661" s="735"/>
      <c r="WPO661" s="734"/>
      <c r="WPP661" s="733"/>
      <c r="WPQ661" s="734"/>
      <c r="WPR661" s="735"/>
      <c r="WPS661" s="734"/>
      <c r="WPT661" s="733"/>
      <c r="WPU661" s="734"/>
      <c r="WPV661" s="735"/>
      <c r="WPW661" s="734"/>
      <c r="WPX661" s="733"/>
      <c r="WPY661" s="734"/>
      <c r="WPZ661" s="735"/>
      <c r="WQA661" s="734"/>
      <c r="WQB661" s="733"/>
      <c r="WQC661" s="734"/>
      <c r="WQD661" s="735"/>
      <c r="WQE661" s="734"/>
      <c r="WQF661" s="733"/>
      <c r="WQG661" s="734"/>
      <c r="WQH661" s="735"/>
      <c r="WQI661" s="734"/>
      <c r="WQJ661" s="733"/>
      <c r="WQK661" s="734"/>
      <c r="WQL661" s="735"/>
      <c r="WQM661" s="734"/>
      <c r="WQN661" s="733"/>
      <c r="WQO661" s="734"/>
      <c r="WQP661" s="735"/>
      <c r="WQQ661" s="734"/>
      <c r="WQR661" s="733"/>
      <c r="WQS661" s="734"/>
      <c r="WQT661" s="735"/>
      <c r="WQU661" s="734"/>
      <c r="WQV661" s="733"/>
      <c r="WQW661" s="734"/>
      <c r="WQX661" s="735"/>
      <c r="WQY661" s="734"/>
      <c r="WQZ661" s="733"/>
      <c r="WRA661" s="734"/>
      <c r="WRB661" s="735"/>
      <c r="WRC661" s="734"/>
      <c r="WRD661" s="733"/>
      <c r="WRE661" s="734"/>
      <c r="WRF661" s="735"/>
      <c r="WRG661" s="734"/>
      <c r="WRH661" s="733"/>
      <c r="WRI661" s="734"/>
      <c r="WRJ661" s="735"/>
      <c r="WRK661" s="734"/>
      <c r="WRL661" s="733"/>
      <c r="WRM661" s="734"/>
      <c r="WRN661" s="735"/>
      <c r="WRO661" s="734"/>
      <c r="WRP661" s="733"/>
      <c r="WRQ661" s="734"/>
      <c r="WRR661" s="735"/>
      <c r="WRS661" s="734"/>
      <c r="WRT661" s="733"/>
      <c r="WRU661" s="734"/>
      <c r="WRV661" s="735"/>
      <c r="WRW661" s="734"/>
      <c r="WRX661" s="733"/>
      <c r="WRY661" s="734"/>
      <c r="WRZ661" s="735"/>
      <c r="WSA661" s="734"/>
      <c r="WSB661" s="733"/>
      <c r="WSC661" s="734"/>
      <c r="WSD661" s="735"/>
      <c r="WSE661" s="734"/>
      <c r="WSF661" s="733"/>
      <c r="WSG661" s="734"/>
      <c r="WSH661" s="735"/>
      <c r="WSI661" s="734"/>
      <c r="WSJ661" s="733"/>
      <c r="WSK661" s="734"/>
      <c r="WSL661" s="735"/>
      <c r="WSM661" s="734"/>
      <c r="WSN661" s="733"/>
      <c r="WSO661" s="734"/>
      <c r="WSP661" s="735"/>
      <c r="WSQ661" s="734"/>
      <c r="WSR661" s="733"/>
      <c r="WSS661" s="734"/>
      <c r="WST661" s="735"/>
      <c r="WSU661" s="734"/>
      <c r="WSV661" s="733"/>
      <c r="WSW661" s="734"/>
      <c r="WSX661" s="735"/>
      <c r="WSY661" s="734"/>
      <c r="WSZ661" s="733"/>
      <c r="WTA661" s="734"/>
      <c r="WTB661" s="735"/>
      <c r="WTC661" s="734"/>
      <c r="WTD661" s="733"/>
      <c r="WTE661" s="734"/>
      <c r="WTF661" s="735"/>
      <c r="WTG661" s="734"/>
      <c r="WTH661" s="733"/>
      <c r="WTI661" s="734"/>
      <c r="WTJ661" s="735"/>
      <c r="WTK661" s="734"/>
      <c r="WTL661" s="733"/>
      <c r="WTM661" s="734"/>
      <c r="WTN661" s="735"/>
      <c r="WTO661" s="734"/>
      <c r="WTP661" s="733"/>
      <c r="WTQ661" s="734"/>
      <c r="WTR661" s="735"/>
      <c r="WTS661" s="734"/>
      <c r="WTT661" s="733"/>
      <c r="WTU661" s="734"/>
      <c r="WTV661" s="735"/>
      <c r="WTW661" s="734"/>
      <c r="WTX661" s="733"/>
      <c r="WTY661" s="734"/>
      <c r="WTZ661" s="735"/>
      <c r="WUA661" s="734"/>
      <c r="WUB661" s="733"/>
      <c r="WUC661" s="734"/>
      <c r="WUD661" s="735"/>
      <c r="WUE661" s="734"/>
      <c r="WUF661" s="733"/>
      <c r="WUG661" s="734"/>
      <c r="WUH661" s="735"/>
      <c r="WUI661" s="734"/>
      <c r="WUJ661" s="733"/>
      <c r="WUK661" s="734"/>
      <c r="WUL661" s="735"/>
      <c r="WUM661" s="734"/>
      <c r="WUN661" s="733"/>
      <c r="WUO661" s="734"/>
      <c r="WUP661" s="735"/>
      <c r="WUQ661" s="734"/>
      <c r="WUR661" s="733"/>
      <c r="WUS661" s="734"/>
      <c r="WUT661" s="735"/>
      <c r="WUU661" s="734"/>
      <c r="WUV661" s="733"/>
      <c r="WUW661" s="734"/>
      <c r="WUX661" s="735"/>
      <c r="WUY661" s="734"/>
      <c r="WUZ661" s="733"/>
      <c r="WVA661" s="734"/>
      <c r="WVB661" s="735"/>
      <c r="WVC661" s="734"/>
      <c r="WVD661" s="733"/>
      <c r="WVE661" s="734"/>
      <c r="WVF661" s="735"/>
      <c r="WVG661" s="734"/>
      <c r="WVH661" s="733"/>
      <c r="WVI661" s="734"/>
      <c r="WVJ661" s="735"/>
      <c r="WVK661" s="734"/>
      <c r="WVL661" s="733"/>
      <c r="WVM661" s="734"/>
      <c r="WVN661" s="735"/>
      <c r="WVO661" s="734"/>
      <c r="WVP661" s="733"/>
      <c r="WVQ661" s="734"/>
      <c r="WVR661" s="735"/>
      <c r="WVS661" s="734"/>
      <c r="WVT661" s="733"/>
      <c r="WVU661" s="734"/>
      <c r="WVV661" s="735"/>
      <c r="WVW661" s="734"/>
      <c r="WVX661" s="733"/>
      <c r="WVY661" s="734"/>
      <c r="WVZ661" s="735"/>
      <c r="WWA661" s="734"/>
      <c r="WWB661" s="733"/>
      <c r="WWC661" s="734"/>
      <c r="WWD661" s="735"/>
      <c r="WWE661" s="734"/>
      <c r="WWF661" s="733"/>
      <c r="WWG661" s="734"/>
      <c r="WWH661" s="735"/>
      <c r="WWI661" s="734"/>
      <c r="WWJ661" s="733"/>
      <c r="WWK661" s="734"/>
      <c r="WWL661" s="735"/>
      <c r="WWM661" s="734"/>
      <c r="WWN661" s="733"/>
      <c r="WWO661" s="734"/>
      <c r="WWP661" s="735"/>
      <c r="WWQ661" s="734"/>
      <c r="WWR661" s="733"/>
      <c r="WWS661" s="734"/>
      <c r="WWT661" s="735"/>
      <c r="WWU661" s="734"/>
      <c r="WWV661" s="733"/>
      <c r="WWW661" s="734"/>
      <c r="WWX661" s="735"/>
      <c r="WWY661" s="734"/>
      <c r="WWZ661" s="733"/>
      <c r="WXA661" s="734"/>
      <c r="WXB661" s="735"/>
      <c r="WXC661" s="734"/>
      <c r="WXD661" s="733"/>
      <c r="WXE661" s="734"/>
      <c r="WXF661" s="735"/>
      <c r="WXG661" s="734"/>
      <c r="WXH661" s="733"/>
      <c r="WXI661" s="734"/>
      <c r="WXJ661" s="735"/>
      <c r="WXK661" s="734"/>
      <c r="WXL661" s="733"/>
      <c r="WXM661" s="734"/>
      <c r="WXN661" s="735"/>
      <c r="WXO661" s="734"/>
      <c r="WXP661" s="733"/>
      <c r="WXQ661" s="734"/>
      <c r="WXR661" s="735"/>
      <c r="WXS661" s="734"/>
      <c r="WXT661" s="733"/>
      <c r="WXU661" s="734"/>
      <c r="WXV661" s="735"/>
      <c r="WXW661" s="734"/>
      <c r="WXX661" s="733"/>
      <c r="WXY661" s="734"/>
      <c r="WXZ661" s="735"/>
      <c r="WYA661" s="734"/>
      <c r="WYB661" s="733"/>
      <c r="WYC661" s="734"/>
      <c r="WYD661" s="735"/>
      <c r="WYE661" s="734"/>
      <c r="WYF661" s="733"/>
      <c r="WYG661" s="734"/>
      <c r="WYH661" s="735"/>
      <c r="WYI661" s="734"/>
      <c r="WYJ661" s="733"/>
      <c r="WYK661" s="734"/>
      <c r="WYL661" s="735"/>
      <c r="WYM661" s="734"/>
      <c r="WYN661" s="733"/>
      <c r="WYO661" s="734"/>
      <c r="WYP661" s="735"/>
      <c r="WYQ661" s="734"/>
      <c r="WYR661" s="733"/>
      <c r="WYS661" s="734"/>
      <c r="WYT661" s="735"/>
      <c r="WYU661" s="734"/>
      <c r="WYV661" s="733"/>
      <c r="WYW661" s="734"/>
      <c r="WYX661" s="735"/>
      <c r="WYY661" s="734"/>
      <c r="WYZ661" s="733"/>
      <c r="WZA661" s="734"/>
      <c r="WZB661" s="735"/>
      <c r="WZC661" s="734"/>
      <c r="WZD661" s="733"/>
      <c r="WZE661" s="734"/>
      <c r="WZF661" s="735"/>
      <c r="WZG661" s="734"/>
      <c r="WZH661" s="733"/>
      <c r="WZI661" s="734"/>
      <c r="WZJ661" s="735"/>
      <c r="WZK661" s="734"/>
      <c r="WZL661" s="733"/>
      <c r="WZM661" s="734"/>
      <c r="WZN661" s="735"/>
      <c r="WZO661" s="734"/>
      <c r="WZP661" s="733"/>
      <c r="WZQ661" s="734"/>
      <c r="WZR661" s="735"/>
      <c r="WZS661" s="734"/>
      <c r="WZT661" s="733"/>
      <c r="WZU661" s="734"/>
      <c r="WZV661" s="735"/>
      <c r="WZW661" s="734"/>
      <c r="WZX661" s="733"/>
      <c r="WZY661" s="734"/>
      <c r="WZZ661" s="735"/>
      <c r="XAA661" s="734"/>
      <c r="XAB661" s="733"/>
      <c r="XAC661" s="734"/>
      <c r="XAD661" s="735"/>
      <c r="XAE661" s="734"/>
      <c r="XAF661" s="733"/>
      <c r="XAG661" s="734"/>
      <c r="XAH661" s="735"/>
      <c r="XAI661" s="734"/>
      <c r="XAJ661" s="733"/>
      <c r="XAK661" s="734"/>
      <c r="XAL661" s="735"/>
      <c r="XAM661" s="734"/>
      <c r="XAN661" s="733"/>
      <c r="XAO661" s="734"/>
      <c r="XAP661" s="735"/>
      <c r="XAQ661" s="734"/>
      <c r="XAR661" s="733"/>
      <c r="XAS661" s="734"/>
      <c r="XAT661" s="735"/>
      <c r="XAU661" s="734"/>
      <c r="XAV661" s="733"/>
      <c r="XAW661" s="734"/>
      <c r="XAX661" s="735"/>
      <c r="XAY661" s="734"/>
      <c r="XAZ661" s="733"/>
      <c r="XBA661" s="734"/>
      <c r="XBB661" s="735"/>
      <c r="XBC661" s="734"/>
      <c r="XBD661" s="733"/>
      <c r="XBE661" s="734"/>
      <c r="XBF661" s="735"/>
      <c r="XBG661" s="734"/>
      <c r="XBH661" s="733"/>
      <c r="XBI661" s="734"/>
      <c r="XBJ661" s="735"/>
      <c r="XBK661" s="734"/>
      <c r="XBL661" s="733"/>
      <c r="XBM661" s="734"/>
      <c r="XBN661" s="735"/>
      <c r="XBO661" s="734"/>
      <c r="XBP661" s="733"/>
      <c r="XBQ661" s="734"/>
      <c r="XBR661" s="735"/>
      <c r="XBS661" s="734"/>
      <c r="XBT661" s="733"/>
      <c r="XBU661" s="734"/>
      <c r="XBV661" s="735"/>
      <c r="XBW661" s="734"/>
      <c r="XBX661" s="733"/>
      <c r="XBY661" s="734"/>
      <c r="XBZ661" s="735"/>
      <c r="XCA661" s="734"/>
      <c r="XCB661" s="733"/>
      <c r="XCC661" s="734"/>
      <c r="XCD661" s="735"/>
      <c r="XCE661" s="734"/>
      <c r="XCF661" s="733"/>
      <c r="XCG661" s="734"/>
      <c r="XCH661" s="735"/>
      <c r="XCI661" s="734"/>
      <c r="XCJ661" s="733"/>
      <c r="XCK661" s="734"/>
      <c r="XCL661" s="735"/>
      <c r="XCM661" s="734"/>
      <c r="XCN661" s="733"/>
      <c r="XCO661" s="734"/>
      <c r="XCP661" s="735"/>
      <c r="XCQ661" s="734"/>
      <c r="XCR661" s="733"/>
      <c r="XCS661" s="734"/>
      <c r="XCT661" s="735"/>
      <c r="XCU661" s="734"/>
      <c r="XCV661" s="733"/>
      <c r="XCW661" s="734"/>
      <c r="XCX661" s="735"/>
      <c r="XCY661" s="734"/>
      <c r="XCZ661" s="733"/>
      <c r="XDA661" s="734"/>
      <c r="XDB661" s="735"/>
      <c r="XDC661" s="734"/>
      <c r="XDD661" s="733"/>
      <c r="XDE661" s="734"/>
      <c r="XDF661" s="735"/>
      <c r="XDG661" s="734"/>
      <c r="XDH661" s="733"/>
      <c r="XDI661" s="734"/>
      <c r="XDJ661" s="735"/>
      <c r="XDK661" s="734"/>
      <c r="XDL661" s="733"/>
      <c r="XDM661" s="734"/>
      <c r="XDN661" s="735"/>
      <c r="XDO661" s="734"/>
      <c r="XDP661" s="733"/>
      <c r="XDQ661" s="734"/>
      <c r="XDR661" s="735"/>
      <c r="XDS661" s="734"/>
      <c r="XDT661" s="733"/>
      <c r="XDU661" s="734"/>
      <c r="XDV661" s="735"/>
      <c r="XDW661" s="734"/>
      <c r="XDX661" s="733"/>
      <c r="XDY661" s="734"/>
      <c r="XDZ661" s="735"/>
      <c r="XEA661" s="734"/>
      <c r="XEB661" s="733"/>
      <c r="XEC661" s="734"/>
      <c r="XED661" s="735"/>
      <c r="XEE661" s="734"/>
      <c r="XEF661" s="733"/>
      <c r="XEG661" s="734"/>
      <c r="XEH661" s="735"/>
      <c r="XEI661" s="734"/>
      <c r="XEJ661" s="733"/>
      <c r="XEK661" s="734"/>
      <c r="XEL661" s="735"/>
      <c r="XEM661" s="734"/>
      <c r="XEN661" s="733"/>
      <c r="XEO661" s="734"/>
      <c r="XEP661" s="735"/>
      <c r="XEQ661" s="734"/>
      <c r="XER661" s="733"/>
      <c r="XES661" s="734"/>
      <c r="XET661" s="735"/>
      <c r="XEU661" s="734"/>
      <c r="XEV661" s="733"/>
      <c r="XEW661" s="734"/>
      <c r="XEX661" s="735"/>
      <c r="XEY661" s="734"/>
      <c r="XEZ661" s="733"/>
      <c r="XFA661" s="734"/>
      <c r="XFB661" s="735"/>
      <c r="XFC661" s="734"/>
      <c r="XFD661" s="733"/>
    </row>
    <row r="662" spans="1:16384" s="712" customFormat="1" x14ac:dyDescent="0.3">
      <c r="A662" s="714">
        <v>3074</v>
      </c>
      <c r="B662" s="715" t="s">
        <v>1191</v>
      </c>
      <c r="C662" s="714">
        <v>9436475911</v>
      </c>
      <c r="D662" s="716"/>
      <c r="F662" s="713"/>
    </row>
    <row r="663" spans="1:16384" s="712" customFormat="1" x14ac:dyDescent="0.25">
      <c r="A663" s="714">
        <v>3077</v>
      </c>
      <c r="B663" s="715" t="s">
        <v>1192</v>
      </c>
      <c r="C663" s="714">
        <v>9863346781</v>
      </c>
      <c r="D663" s="718" t="s">
        <v>573</v>
      </c>
      <c r="F663" s="713"/>
    </row>
    <row r="664" spans="1:16384" s="712" customFormat="1" x14ac:dyDescent="0.3">
      <c r="A664" s="714">
        <v>3079</v>
      </c>
      <c r="B664" s="715" t="s">
        <v>1193</v>
      </c>
      <c r="C664" s="714">
        <v>9436184247</v>
      </c>
      <c r="D664" s="716"/>
      <c r="F664" s="713"/>
    </row>
    <row r="665" spans="1:16384" s="712" customFormat="1" x14ac:dyDescent="0.25">
      <c r="A665" s="714">
        <v>3081</v>
      </c>
      <c r="B665" s="715" t="s">
        <v>1194</v>
      </c>
      <c r="C665" s="714">
        <v>3824222217</v>
      </c>
      <c r="D665" s="718" t="s">
        <v>574</v>
      </c>
      <c r="F665" s="713"/>
    </row>
    <row r="666" spans="1:16384" s="712" customFormat="1" x14ac:dyDescent="0.25">
      <c r="A666" s="714">
        <v>3085</v>
      </c>
      <c r="B666" s="715" t="s">
        <v>1195</v>
      </c>
      <c r="C666" s="714">
        <v>9612119156</v>
      </c>
      <c r="D666" s="718" t="s">
        <v>575</v>
      </c>
      <c r="F666" s="713"/>
    </row>
    <row r="667" spans="1:16384" s="712" customFormat="1" x14ac:dyDescent="0.25">
      <c r="A667" s="714">
        <v>3091</v>
      </c>
      <c r="B667" s="715" t="s">
        <v>1196</v>
      </c>
      <c r="C667" s="714">
        <v>9863376781</v>
      </c>
      <c r="D667" s="718" t="s">
        <v>576</v>
      </c>
      <c r="F667" s="713"/>
    </row>
    <row r="668" spans="1:16384" s="712" customFormat="1" x14ac:dyDescent="0.25">
      <c r="A668" s="714">
        <v>3093</v>
      </c>
      <c r="B668" s="715" t="s">
        <v>1197</v>
      </c>
      <c r="C668" s="714">
        <v>9436583338</v>
      </c>
      <c r="D668" s="718" t="s">
        <v>577</v>
      </c>
      <c r="F668" s="713"/>
    </row>
    <row r="669" spans="1:16384" s="712" customFormat="1" x14ac:dyDescent="0.25">
      <c r="A669" s="714">
        <v>3102</v>
      </c>
      <c r="B669" s="715" t="s">
        <v>1198</v>
      </c>
      <c r="C669" s="714">
        <v>9436509804</v>
      </c>
      <c r="D669" s="718" t="s">
        <v>578</v>
      </c>
      <c r="F669" s="713"/>
    </row>
    <row r="670" spans="1:16384" s="712" customFormat="1" x14ac:dyDescent="0.3">
      <c r="A670" s="714">
        <v>3103</v>
      </c>
      <c r="B670" s="715" t="s">
        <v>1199</v>
      </c>
      <c r="C670" s="714">
        <v>9402351493</v>
      </c>
      <c r="D670" s="716"/>
      <c r="F670" s="713"/>
    </row>
    <row r="671" spans="1:16384" s="712" customFormat="1" x14ac:dyDescent="0.3">
      <c r="A671" s="714">
        <v>3110</v>
      </c>
      <c r="B671" s="715" t="s">
        <v>1200</v>
      </c>
      <c r="C671" s="714">
        <v>9402527853</v>
      </c>
      <c r="D671" s="716"/>
      <c r="F671" s="713"/>
    </row>
    <row r="672" spans="1:16384" s="712" customFormat="1" x14ac:dyDescent="0.25">
      <c r="A672" s="714">
        <v>3114</v>
      </c>
      <c r="B672" s="715" t="s">
        <v>1201</v>
      </c>
      <c r="C672" s="714">
        <v>9856093236</v>
      </c>
      <c r="D672" s="718" t="s">
        <v>579</v>
      </c>
      <c r="F672" s="713"/>
    </row>
    <row r="673" spans="1:4" x14ac:dyDescent="0.3">
      <c r="A673" s="714">
        <v>3115</v>
      </c>
      <c r="B673" s="715" t="s">
        <v>1202</v>
      </c>
      <c r="C673" s="714">
        <v>8131862437</v>
      </c>
      <c r="D673" s="716"/>
    </row>
    <row r="674" spans="1:4" x14ac:dyDescent="0.3">
      <c r="A674" s="714">
        <v>3117</v>
      </c>
      <c r="B674" s="715" t="s">
        <v>1203</v>
      </c>
      <c r="C674" s="726"/>
      <c r="D674" s="716"/>
    </row>
    <row r="675" spans="1:4" x14ac:dyDescent="0.25">
      <c r="A675" s="714">
        <v>4004</v>
      </c>
      <c r="B675" s="715" t="s">
        <v>1204</v>
      </c>
      <c r="C675" s="714">
        <v>9436134446</v>
      </c>
      <c r="D675" s="718" t="s">
        <v>580</v>
      </c>
    </row>
    <row r="676" spans="1:4" x14ac:dyDescent="0.25">
      <c r="A676" s="714">
        <v>4005</v>
      </c>
      <c r="B676" s="715" t="s">
        <v>1205</v>
      </c>
      <c r="C676" s="714">
        <v>3824262333</v>
      </c>
      <c r="D676" s="718" t="s">
        <v>581</v>
      </c>
    </row>
    <row r="677" spans="1:4" x14ac:dyDescent="0.25">
      <c r="A677" s="714">
        <v>4016</v>
      </c>
      <c r="B677" s="715" t="s">
        <v>1206</v>
      </c>
      <c r="C677" s="714">
        <v>3824264211</v>
      </c>
      <c r="D677" s="718" t="s">
        <v>582</v>
      </c>
    </row>
    <row r="678" spans="1:4" x14ac:dyDescent="0.25">
      <c r="A678" s="714">
        <v>4017</v>
      </c>
      <c r="B678" s="715" t="s">
        <v>1207</v>
      </c>
      <c r="C678" s="714">
        <v>3824264413</v>
      </c>
      <c r="D678" s="718" t="s">
        <v>583</v>
      </c>
    </row>
    <row r="679" spans="1:4" x14ac:dyDescent="0.25">
      <c r="A679" s="714">
        <v>4018</v>
      </c>
      <c r="B679" s="720" t="s">
        <v>584</v>
      </c>
      <c r="C679" s="721">
        <v>9862649730</v>
      </c>
      <c r="D679" s="718" t="s">
        <v>585</v>
      </c>
    </row>
    <row r="680" spans="1:4" x14ac:dyDescent="0.25">
      <c r="A680" s="714">
        <v>4019</v>
      </c>
      <c r="B680" s="715" t="s">
        <v>1208</v>
      </c>
      <c r="C680" s="714">
        <v>8787742209</v>
      </c>
      <c r="D680" s="718" t="s">
        <v>586</v>
      </c>
    </row>
    <row r="681" spans="1:4" x14ac:dyDescent="0.25">
      <c r="A681" s="714">
        <v>4026</v>
      </c>
      <c r="B681" s="715" t="s">
        <v>1209</v>
      </c>
      <c r="C681" s="714">
        <v>9436582854</v>
      </c>
      <c r="D681" s="718" t="s">
        <v>587</v>
      </c>
    </row>
    <row r="682" spans="1:4" x14ac:dyDescent="0.25">
      <c r="A682" s="714">
        <v>4028</v>
      </c>
      <c r="B682" s="720" t="s">
        <v>588</v>
      </c>
      <c r="C682" s="721">
        <v>9436291475</v>
      </c>
      <c r="D682" s="718" t="s">
        <v>589</v>
      </c>
    </row>
    <row r="683" spans="1:4" x14ac:dyDescent="0.25">
      <c r="A683" s="714">
        <v>4029</v>
      </c>
      <c r="B683" s="715" t="s">
        <v>1210</v>
      </c>
      <c r="C683" s="714">
        <v>3824262640</v>
      </c>
      <c r="D683" s="718" t="s">
        <v>590</v>
      </c>
    </row>
    <row r="684" spans="1:4" x14ac:dyDescent="0.25">
      <c r="A684" s="714">
        <v>4032</v>
      </c>
      <c r="B684" s="720" t="s">
        <v>591</v>
      </c>
      <c r="C684" s="714">
        <v>9774553220</v>
      </c>
      <c r="D684" s="718" t="s">
        <v>592</v>
      </c>
    </row>
    <row r="685" spans="1:4" x14ac:dyDescent="0.25">
      <c r="A685" s="714">
        <v>4033</v>
      </c>
      <c r="B685" s="715" t="s">
        <v>1211</v>
      </c>
      <c r="C685" s="714">
        <v>3824262229</v>
      </c>
      <c r="D685" s="718" t="s">
        <v>593</v>
      </c>
    </row>
    <row r="686" spans="1:4" x14ac:dyDescent="0.25">
      <c r="A686" s="714">
        <v>4035</v>
      </c>
      <c r="B686" s="715" t="s">
        <v>1212</v>
      </c>
      <c r="C686" s="714">
        <v>8974766440</v>
      </c>
      <c r="D686" s="718" t="s">
        <v>594</v>
      </c>
    </row>
    <row r="687" spans="1:4" x14ac:dyDescent="0.25">
      <c r="A687" s="714">
        <v>4039</v>
      </c>
      <c r="B687" s="715" t="s">
        <v>1213</v>
      </c>
      <c r="C687" s="714">
        <v>9436544337</v>
      </c>
      <c r="D687" s="718" t="s">
        <v>595</v>
      </c>
    </row>
    <row r="688" spans="1:4" x14ac:dyDescent="0.25">
      <c r="A688" s="714">
        <v>4040</v>
      </c>
      <c r="B688" s="715" t="s">
        <v>1214</v>
      </c>
      <c r="C688" s="714">
        <v>9436453920</v>
      </c>
      <c r="D688" s="718" t="s">
        <v>596</v>
      </c>
    </row>
    <row r="689" spans="1:4" x14ac:dyDescent="0.25">
      <c r="A689" s="714">
        <v>4099</v>
      </c>
      <c r="B689" s="715" t="s">
        <v>1215</v>
      </c>
      <c r="C689" s="714">
        <v>9774553220</v>
      </c>
      <c r="D689" s="718" t="s">
        <v>597</v>
      </c>
    </row>
    <row r="690" spans="1:4" x14ac:dyDescent="0.25">
      <c r="A690" s="714">
        <v>5004</v>
      </c>
      <c r="B690" s="715" t="s">
        <v>1216</v>
      </c>
      <c r="C690" s="714">
        <v>8787484729</v>
      </c>
      <c r="D690" s="718" t="s">
        <v>598</v>
      </c>
    </row>
    <row r="691" spans="1:4" x14ac:dyDescent="0.25">
      <c r="A691" s="714">
        <v>5005</v>
      </c>
      <c r="B691" s="715" t="s">
        <v>1217</v>
      </c>
      <c r="C691" s="714">
        <v>9436568559</v>
      </c>
      <c r="D691" s="718" t="s">
        <v>599</v>
      </c>
    </row>
    <row r="692" spans="1:4" x14ac:dyDescent="0.25">
      <c r="A692" s="714">
        <v>5011</v>
      </c>
      <c r="B692" s="720" t="s">
        <v>600</v>
      </c>
      <c r="C692" s="714">
        <v>9612108961</v>
      </c>
      <c r="D692" s="718" t="s">
        <v>601</v>
      </c>
    </row>
    <row r="693" spans="1:4" x14ac:dyDescent="0.25">
      <c r="A693" s="714">
        <v>5012</v>
      </c>
      <c r="B693" s="715" t="s">
        <v>1218</v>
      </c>
      <c r="C693" s="714">
        <v>8014314600</v>
      </c>
      <c r="D693" s="718" t="s">
        <v>602</v>
      </c>
    </row>
    <row r="694" spans="1:4" x14ac:dyDescent="0.25">
      <c r="A694" s="714">
        <v>5015</v>
      </c>
      <c r="B694" s="715" t="s">
        <v>1219</v>
      </c>
      <c r="C694" s="714">
        <v>9436450335</v>
      </c>
      <c r="D694" s="718" t="s">
        <v>603</v>
      </c>
    </row>
    <row r="695" spans="1:4" x14ac:dyDescent="0.25">
      <c r="A695" s="714">
        <v>5016</v>
      </c>
      <c r="B695" s="720" t="s">
        <v>604</v>
      </c>
      <c r="C695" s="721">
        <v>9862780400</v>
      </c>
      <c r="D695" s="718" t="s">
        <v>605</v>
      </c>
    </row>
    <row r="696" spans="1:4" x14ac:dyDescent="0.25">
      <c r="A696" s="714">
        <v>5017</v>
      </c>
      <c r="B696" s="720" t="s">
        <v>606</v>
      </c>
      <c r="C696" s="721">
        <v>9485161407</v>
      </c>
      <c r="D696" s="718" t="s">
        <v>607</v>
      </c>
    </row>
    <row r="697" spans="1:4" x14ac:dyDescent="0.25">
      <c r="A697" s="714">
        <v>5018</v>
      </c>
      <c r="B697" s="715" t="s">
        <v>1220</v>
      </c>
      <c r="C697" s="714">
        <v>9436168164</v>
      </c>
      <c r="D697" s="718" t="s">
        <v>608</v>
      </c>
    </row>
    <row r="698" spans="1:4" x14ac:dyDescent="0.25">
      <c r="A698" s="714">
        <v>5020</v>
      </c>
      <c r="B698" s="715" t="s">
        <v>1221</v>
      </c>
      <c r="C698" s="714">
        <v>9862650288</v>
      </c>
      <c r="D698" s="718" t="s">
        <v>609</v>
      </c>
    </row>
    <row r="699" spans="1:4" x14ac:dyDescent="0.25">
      <c r="A699" s="714">
        <v>5021</v>
      </c>
      <c r="B699" s="715" t="s">
        <v>1222</v>
      </c>
      <c r="C699" s="714">
        <v>9436582499</v>
      </c>
      <c r="D699" s="718" t="s">
        <v>610</v>
      </c>
    </row>
    <row r="700" spans="1:4" x14ac:dyDescent="0.25">
      <c r="A700" s="714">
        <v>5023</v>
      </c>
      <c r="B700" s="715" t="s">
        <v>1223</v>
      </c>
      <c r="C700" s="714">
        <v>3826222315</v>
      </c>
      <c r="D700" s="718" t="s">
        <v>611</v>
      </c>
    </row>
    <row r="701" spans="1:4" x14ac:dyDescent="0.25">
      <c r="A701" s="714">
        <v>5024</v>
      </c>
      <c r="B701" s="715" t="s">
        <v>1224</v>
      </c>
      <c r="C701" s="714">
        <v>9436126382</v>
      </c>
      <c r="D701" s="718" t="s">
        <v>612</v>
      </c>
    </row>
    <row r="702" spans="1:4" x14ac:dyDescent="0.25">
      <c r="A702" s="714">
        <v>5025</v>
      </c>
      <c r="B702" s="715" t="s">
        <v>1225</v>
      </c>
      <c r="C702" s="714">
        <v>9436477299</v>
      </c>
      <c r="D702" s="718" t="s">
        <v>613</v>
      </c>
    </row>
    <row r="703" spans="1:4" x14ac:dyDescent="0.25">
      <c r="A703" s="714">
        <v>5026</v>
      </c>
      <c r="B703" s="715" t="s">
        <v>1226</v>
      </c>
      <c r="C703" s="714">
        <v>9436501956</v>
      </c>
      <c r="D703" s="718" t="s">
        <v>614</v>
      </c>
    </row>
    <row r="704" spans="1:4" x14ac:dyDescent="0.25">
      <c r="A704" s="714">
        <v>5027</v>
      </c>
      <c r="B704" s="715" t="s">
        <v>1227</v>
      </c>
      <c r="C704" s="714">
        <v>9436494508</v>
      </c>
      <c r="D704" s="718" t="s">
        <v>615</v>
      </c>
    </row>
    <row r="705" spans="1:4" x14ac:dyDescent="0.25">
      <c r="A705" s="714">
        <v>5037</v>
      </c>
      <c r="B705" s="715" t="s">
        <v>1228</v>
      </c>
      <c r="C705" s="714">
        <v>9402572138</v>
      </c>
      <c r="D705" s="718" t="s">
        <v>616</v>
      </c>
    </row>
    <row r="706" spans="1:4" x14ac:dyDescent="0.25">
      <c r="A706" s="714">
        <v>5043</v>
      </c>
      <c r="B706" s="715" t="s">
        <v>1229</v>
      </c>
      <c r="C706" s="714">
        <v>9436531414</v>
      </c>
      <c r="D706" s="718" t="s">
        <v>617</v>
      </c>
    </row>
    <row r="707" spans="1:4" x14ac:dyDescent="0.25">
      <c r="A707" s="714">
        <v>5044</v>
      </c>
      <c r="B707" s="715" t="s">
        <v>1230</v>
      </c>
      <c r="C707" s="714">
        <v>8974458892</v>
      </c>
      <c r="D707" s="718" t="s">
        <v>618</v>
      </c>
    </row>
    <row r="708" spans="1:4" x14ac:dyDescent="0.25">
      <c r="A708" s="714">
        <v>5045</v>
      </c>
      <c r="B708" s="715" t="s">
        <v>1231</v>
      </c>
      <c r="C708" s="714">
        <v>8414800574</v>
      </c>
      <c r="D708" s="718" t="s">
        <v>619</v>
      </c>
    </row>
    <row r="709" spans="1:4" x14ac:dyDescent="0.3">
      <c r="A709" s="714">
        <v>5046</v>
      </c>
      <c r="B709" s="715" t="s">
        <v>1232</v>
      </c>
      <c r="C709" s="714">
        <v>3826222270</v>
      </c>
      <c r="D709" s="716"/>
    </row>
    <row r="710" spans="1:4" x14ac:dyDescent="0.25">
      <c r="A710" s="714">
        <v>5047</v>
      </c>
      <c r="B710" s="715" t="s">
        <v>1233</v>
      </c>
      <c r="C710" s="714">
        <v>9436498313</v>
      </c>
      <c r="D710" s="718" t="s">
        <v>620</v>
      </c>
    </row>
    <row r="711" spans="1:4" x14ac:dyDescent="0.25">
      <c r="A711" s="714">
        <v>5048</v>
      </c>
      <c r="B711" s="720" t="s">
        <v>621</v>
      </c>
      <c r="C711" s="721">
        <v>9436498313</v>
      </c>
      <c r="D711" s="718" t="s">
        <v>622</v>
      </c>
    </row>
    <row r="712" spans="1:4" x14ac:dyDescent="0.25">
      <c r="A712" s="714">
        <v>5050</v>
      </c>
      <c r="B712" s="715" t="s">
        <v>1234</v>
      </c>
      <c r="C712" s="714">
        <v>9862650288</v>
      </c>
      <c r="D712" s="718" t="s">
        <v>623</v>
      </c>
    </row>
    <row r="713" spans="1:4" x14ac:dyDescent="0.25">
      <c r="A713" s="714">
        <v>5055</v>
      </c>
      <c r="B713" s="715" t="s">
        <v>1235</v>
      </c>
      <c r="C713" s="714">
        <v>9402153722</v>
      </c>
      <c r="D713" s="718" t="s">
        <v>624</v>
      </c>
    </row>
    <row r="714" spans="1:4" x14ac:dyDescent="0.25">
      <c r="A714" s="714">
        <v>5057</v>
      </c>
      <c r="B714" s="720" t="s">
        <v>625</v>
      </c>
      <c r="C714" s="721">
        <v>9436455387</v>
      </c>
      <c r="D714" s="718" t="s">
        <v>626</v>
      </c>
    </row>
    <row r="715" spans="1:4" x14ac:dyDescent="0.25">
      <c r="A715" s="714">
        <v>5058</v>
      </c>
      <c r="B715" s="720" t="s">
        <v>627</v>
      </c>
      <c r="C715" s="721">
        <v>8974006696</v>
      </c>
      <c r="D715" s="718" t="s">
        <v>628</v>
      </c>
    </row>
    <row r="716" spans="1:4" x14ac:dyDescent="0.25">
      <c r="A716" s="714">
        <v>5059</v>
      </c>
      <c r="B716" s="720" t="s">
        <v>629</v>
      </c>
      <c r="C716" s="721">
        <v>7085907396</v>
      </c>
      <c r="D716" s="718" t="s">
        <v>630</v>
      </c>
    </row>
    <row r="717" spans="1:4" x14ac:dyDescent="0.25">
      <c r="A717" s="714">
        <v>5060</v>
      </c>
      <c r="B717" s="715" t="s">
        <v>1236</v>
      </c>
      <c r="C717" s="714">
        <v>9436506908</v>
      </c>
      <c r="D717" s="718" t="s">
        <v>631</v>
      </c>
    </row>
    <row r="718" spans="1:4" x14ac:dyDescent="0.25">
      <c r="A718" s="714">
        <v>5061</v>
      </c>
      <c r="B718" s="715" t="s">
        <v>1237</v>
      </c>
      <c r="C718" s="714">
        <v>8794816153</v>
      </c>
      <c r="D718" s="718" t="s">
        <v>632</v>
      </c>
    </row>
    <row r="719" spans="1:4" x14ac:dyDescent="0.3">
      <c r="A719" s="714">
        <v>5062</v>
      </c>
      <c r="B719" s="715" t="s">
        <v>1238</v>
      </c>
      <c r="C719" s="714">
        <v>9402339341</v>
      </c>
      <c r="D719" s="716"/>
    </row>
    <row r="720" spans="1:4" x14ac:dyDescent="0.25">
      <c r="A720" s="714">
        <v>5063</v>
      </c>
      <c r="B720" s="715" t="s">
        <v>1239</v>
      </c>
      <c r="C720" s="714">
        <v>9436461818</v>
      </c>
      <c r="D720" s="718" t="s">
        <v>633</v>
      </c>
    </row>
    <row r="721" spans="1:4" x14ac:dyDescent="0.25">
      <c r="A721" s="714">
        <v>5064</v>
      </c>
      <c r="B721" s="715" t="s">
        <v>1240</v>
      </c>
      <c r="C721" s="714">
        <v>98626611668</v>
      </c>
      <c r="D721" s="718" t="s">
        <v>634</v>
      </c>
    </row>
    <row r="722" spans="1:4" x14ac:dyDescent="0.25">
      <c r="A722" s="714">
        <v>5065</v>
      </c>
      <c r="B722" s="715" t="s">
        <v>1241</v>
      </c>
      <c r="C722" s="714">
        <v>8787357143</v>
      </c>
      <c r="D722" s="718" t="s">
        <v>635</v>
      </c>
    </row>
    <row r="723" spans="1:4" x14ac:dyDescent="0.25">
      <c r="A723" s="714">
        <v>5069</v>
      </c>
      <c r="B723" s="720" t="s">
        <v>636</v>
      </c>
      <c r="C723" s="714">
        <v>9436925870</v>
      </c>
      <c r="D723" s="718" t="s">
        <v>637</v>
      </c>
    </row>
    <row r="724" spans="1:4" x14ac:dyDescent="0.25">
      <c r="A724" s="714">
        <v>5071</v>
      </c>
      <c r="B724" s="715" t="s">
        <v>1242</v>
      </c>
      <c r="C724" s="714">
        <v>9862970782</v>
      </c>
      <c r="D724" s="718" t="s">
        <v>638</v>
      </c>
    </row>
    <row r="725" spans="1:4" x14ac:dyDescent="0.25">
      <c r="A725" s="714">
        <v>5074</v>
      </c>
      <c r="B725" s="715" t="s">
        <v>1243</v>
      </c>
      <c r="C725" s="714">
        <v>8729849717</v>
      </c>
      <c r="D725" s="718" t="s">
        <v>639</v>
      </c>
    </row>
    <row r="726" spans="1:4" x14ac:dyDescent="0.25">
      <c r="A726" s="714">
        <v>5075</v>
      </c>
      <c r="B726" s="715" t="s">
        <v>1244</v>
      </c>
      <c r="C726" s="714">
        <v>9402166701</v>
      </c>
      <c r="D726" s="718" t="s">
        <v>640</v>
      </c>
    </row>
    <row r="727" spans="1:4" x14ac:dyDescent="0.25">
      <c r="A727" s="714">
        <v>5080</v>
      </c>
      <c r="B727" s="715" t="s">
        <v>1245</v>
      </c>
      <c r="C727" s="714">
        <v>9612271539</v>
      </c>
      <c r="D727" s="718" t="s">
        <v>641</v>
      </c>
    </row>
    <row r="728" spans="1:4" x14ac:dyDescent="0.25">
      <c r="A728" s="714">
        <v>5081</v>
      </c>
      <c r="B728" s="715" t="s">
        <v>1246</v>
      </c>
      <c r="C728" s="714">
        <v>8118930672</v>
      </c>
      <c r="D728" s="718" t="s">
        <v>642</v>
      </c>
    </row>
    <row r="729" spans="1:4" x14ac:dyDescent="0.25">
      <c r="A729" s="714">
        <v>5082</v>
      </c>
      <c r="B729" s="715" t="s">
        <v>1247</v>
      </c>
      <c r="C729" s="714">
        <v>9436450026</v>
      </c>
      <c r="D729" s="718" t="s">
        <v>643</v>
      </c>
    </row>
    <row r="730" spans="1:4" x14ac:dyDescent="0.25">
      <c r="A730" s="714">
        <v>6004</v>
      </c>
      <c r="B730" s="720" t="s">
        <v>1613</v>
      </c>
      <c r="C730" s="714">
        <v>3826263353</v>
      </c>
      <c r="D730" s="718" t="s">
        <v>644</v>
      </c>
    </row>
    <row r="731" spans="1:4" x14ac:dyDescent="0.25">
      <c r="A731" s="714">
        <v>6005</v>
      </c>
      <c r="B731" s="715" t="s">
        <v>1248</v>
      </c>
      <c r="C731" s="714">
        <v>3826262239</v>
      </c>
      <c r="D731" s="718" t="s">
        <v>645</v>
      </c>
    </row>
    <row r="732" spans="1:4" x14ac:dyDescent="0.25">
      <c r="A732" s="714">
        <v>6007</v>
      </c>
      <c r="B732" s="715" t="s">
        <v>1249</v>
      </c>
      <c r="C732" s="714">
        <v>3826263212</v>
      </c>
      <c r="D732" s="718" t="s">
        <v>646</v>
      </c>
    </row>
    <row r="733" spans="1:4" x14ac:dyDescent="0.3">
      <c r="A733" s="714">
        <v>6008</v>
      </c>
      <c r="B733" s="715" t="s">
        <v>1250</v>
      </c>
      <c r="C733" s="714">
        <v>3826262166</v>
      </c>
      <c r="D733" s="716"/>
    </row>
    <row r="734" spans="1:4" x14ac:dyDescent="0.3">
      <c r="A734" s="714">
        <v>6028</v>
      </c>
      <c r="B734" s="715" t="s">
        <v>1251</v>
      </c>
      <c r="C734" s="714">
        <v>9436471311</v>
      </c>
      <c r="D734" s="716"/>
    </row>
    <row r="735" spans="1:4" x14ac:dyDescent="0.3">
      <c r="A735" s="714">
        <v>6029</v>
      </c>
      <c r="B735" s="715" t="s">
        <v>1252</v>
      </c>
      <c r="C735" s="726"/>
      <c r="D735" s="716"/>
    </row>
    <row r="736" spans="1:4" x14ac:dyDescent="0.25">
      <c r="A736" s="714">
        <v>6030</v>
      </c>
      <c r="B736" s="715" t="s">
        <v>1253</v>
      </c>
      <c r="C736" s="714">
        <v>3826261624</v>
      </c>
      <c r="D736" s="718" t="s">
        <v>647</v>
      </c>
    </row>
    <row r="737" spans="1:4" x14ac:dyDescent="0.25">
      <c r="A737" s="714">
        <v>6031</v>
      </c>
      <c r="B737" s="720" t="s">
        <v>648</v>
      </c>
      <c r="C737" s="721">
        <v>3826262563</v>
      </c>
      <c r="D737" s="718" t="s">
        <v>649</v>
      </c>
    </row>
    <row r="738" spans="1:4" x14ac:dyDescent="0.3">
      <c r="A738" s="714">
        <v>6033</v>
      </c>
      <c r="B738" s="715" t="s">
        <v>1254</v>
      </c>
      <c r="C738" s="726"/>
      <c r="D738" s="716"/>
    </row>
    <row r="739" spans="1:4" x14ac:dyDescent="0.3">
      <c r="A739" s="714">
        <v>6038</v>
      </c>
      <c r="B739" s="715" t="s">
        <v>1255</v>
      </c>
      <c r="C739" s="714">
        <v>3826262283</v>
      </c>
      <c r="D739" s="716"/>
    </row>
    <row r="740" spans="1:4" x14ac:dyDescent="0.3">
      <c r="A740" s="714">
        <v>6039</v>
      </c>
      <c r="B740" s="715" t="s">
        <v>1256</v>
      </c>
      <c r="C740" s="714">
        <v>3826272029</v>
      </c>
      <c r="D740" s="716"/>
    </row>
    <row r="741" spans="1:4" x14ac:dyDescent="0.3">
      <c r="A741" s="714">
        <v>6040</v>
      </c>
      <c r="B741" s="715" t="s">
        <v>1257</v>
      </c>
      <c r="C741" s="726"/>
      <c r="D741" s="716"/>
    </row>
    <row r="742" spans="1:4" x14ac:dyDescent="0.25">
      <c r="A742" s="714">
        <v>6041</v>
      </c>
      <c r="B742" s="715" t="s">
        <v>1258</v>
      </c>
      <c r="C742" s="714">
        <v>3826262948</v>
      </c>
      <c r="D742" s="718" t="s">
        <v>650</v>
      </c>
    </row>
    <row r="743" spans="1:4" x14ac:dyDescent="0.3">
      <c r="A743" s="714">
        <v>6042</v>
      </c>
      <c r="B743" s="715" t="s">
        <v>1259</v>
      </c>
      <c r="C743" s="714">
        <v>3826262875</v>
      </c>
      <c r="D743" s="716"/>
    </row>
    <row r="744" spans="1:4" x14ac:dyDescent="0.3">
      <c r="A744" s="714">
        <v>6047</v>
      </c>
      <c r="B744" s="715" t="s">
        <v>1260</v>
      </c>
      <c r="C744" s="714">
        <v>3826262222</v>
      </c>
      <c r="D744" s="716"/>
    </row>
    <row r="745" spans="1:4" x14ac:dyDescent="0.3">
      <c r="A745" s="714">
        <v>6048</v>
      </c>
      <c r="B745" s="715" t="s">
        <v>1261</v>
      </c>
      <c r="C745" s="726"/>
      <c r="D745" s="716"/>
    </row>
    <row r="746" spans="1:4" x14ac:dyDescent="0.25">
      <c r="A746" s="714">
        <v>6049</v>
      </c>
      <c r="B746" s="720" t="s">
        <v>651</v>
      </c>
      <c r="C746" s="721">
        <v>9402153722</v>
      </c>
      <c r="D746" s="718" t="s">
        <v>652</v>
      </c>
    </row>
    <row r="747" spans="1:4" x14ac:dyDescent="0.3">
      <c r="A747" s="714">
        <v>6999</v>
      </c>
      <c r="B747" s="715" t="s">
        <v>1262</v>
      </c>
      <c r="C747" s="714">
        <v>3826262802</v>
      </c>
      <c r="D747" s="716"/>
    </row>
    <row r="748" spans="1:4" x14ac:dyDescent="0.25">
      <c r="A748" s="714">
        <v>7009</v>
      </c>
      <c r="B748" s="720" t="s">
        <v>1612</v>
      </c>
      <c r="C748" s="714">
        <v>878736707</v>
      </c>
      <c r="D748" s="718" t="s">
        <v>653</v>
      </c>
    </row>
    <row r="749" spans="1:4" x14ac:dyDescent="0.25">
      <c r="A749" s="714">
        <v>7011</v>
      </c>
      <c r="B749" s="720" t="s">
        <v>654</v>
      </c>
      <c r="C749" s="721">
        <v>9436501362</v>
      </c>
      <c r="D749" s="718" t="s">
        <v>655</v>
      </c>
    </row>
    <row r="750" spans="1:4" x14ac:dyDescent="0.3">
      <c r="A750" s="714">
        <v>7012</v>
      </c>
      <c r="B750" s="715" t="s">
        <v>1263</v>
      </c>
      <c r="C750" s="714">
        <v>222282</v>
      </c>
      <c r="D750" s="716"/>
    </row>
    <row r="751" spans="1:4" x14ac:dyDescent="0.25">
      <c r="A751" s="714">
        <v>7018</v>
      </c>
      <c r="B751" s="715" t="s">
        <v>1264</v>
      </c>
      <c r="C751" s="714">
        <v>9436137854</v>
      </c>
      <c r="D751" s="718" t="s">
        <v>656</v>
      </c>
    </row>
    <row r="752" spans="1:4" x14ac:dyDescent="0.25">
      <c r="A752" s="714">
        <v>7020</v>
      </c>
      <c r="B752" s="715" t="s">
        <v>1265</v>
      </c>
      <c r="C752" s="714">
        <v>9436734475</v>
      </c>
      <c r="D752" s="718" t="s">
        <v>657</v>
      </c>
    </row>
    <row r="753" spans="1:4" x14ac:dyDescent="0.25">
      <c r="A753" s="714">
        <v>7068</v>
      </c>
      <c r="B753" s="720" t="s">
        <v>658</v>
      </c>
      <c r="C753" s="721">
        <v>9436485612</v>
      </c>
      <c r="D753" s="718" t="s">
        <v>659</v>
      </c>
    </row>
    <row r="754" spans="1:4" x14ac:dyDescent="0.25">
      <c r="A754" s="714">
        <v>7070</v>
      </c>
      <c r="B754" s="715" t="s">
        <v>1266</v>
      </c>
      <c r="C754" s="714">
        <v>9436585070</v>
      </c>
      <c r="D754" s="718" t="s">
        <v>660</v>
      </c>
    </row>
    <row r="755" spans="1:4" x14ac:dyDescent="0.25">
      <c r="A755" s="714">
        <v>7071</v>
      </c>
      <c r="B755" s="720" t="s">
        <v>661</v>
      </c>
      <c r="C755" s="714">
        <v>9436501362</v>
      </c>
      <c r="D755" s="718" t="s">
        <v>662</v>
      </c>
    </row>
    <row r="756" spans="1:4" x14ac:dyDescent="0.25">
      <c r="A756" s="714">
        <v>7073</v>
      </c>
      <c r="B756" s="715" t="s">
        <v>1267</v>
      </c>
      <c r="C756" s="714">
        <v>9436476680</v>
      </c>
      <c r="D756" s="718" t="s">
        <v>663</v>
      </c>
    </row>
    <row r="757" spans="1:4" x14ac:dyDescent="0.25">
      <c r="A757" s="714">
        <v>7076</v>
      </c>
      <c r="B757" s="715" t="s">
        <v>1268</v>
      </c>
      <c r="C757" s="714">
        <v>7005166497</v>
      </c>
      <c r="D757" s="718" t="s">
        <v>664</v>
      </c>
    </row>
    <row r="758" spans="1:4" x14ac:dyDescent="0.25">
      <c r="A758" s="714">
        <v>7079</v>
      </c>
      <c r="B758" s="715" t="s">
        <v>1269</v>
      </c>
      <c r="C758" s="714">
        <v>9436794282</v>
      </c>
      <c r="D758" s="718" t="s">
        <v>665</v>
      </c>
    </row>
    <row r="759" spans="1:4" x14ac:dyDescent="0.25">
      <c r="A759" s="714">
        <v>7081</v>
      </c>
      <c r="B759" s="720" t="s">
        <v>666</v>
      </c>
      <c r="C759" s="721">
        <v>9862216598</v>
      </c>
      <c r="D759" s="718" t="s">
        <v>667</v>
      </c>
    </row>
    <row r="760" spans="1:4" x14ac:dyDescent="0.25">
      <c r="A760" s="714">
        <v>7085</v>
      </c>
      <c r="B760" s="715" t="s">
        <v>1270</v>
      </c>
      <c r="C760" s="714">
        <v>9436495646</v>
      </c>
      <c r="D760" s="718" t="s">
        <v>668</v>
      </c>
    </row>
    <row r="761" spans="1:4" x14ac:dyDescent="0.25">
      <c r="A761" s="714">
        <v>7090</v>
      </c>
      <c r="B761" s="715" t="s">
        <v>1271</v>
      </c>
      <c r="C761" s="714">
        <v>9436126728</v>
      </c>
      <c r="D761" s="718" t="s">
        <v>669</v>
      </c>
    </row>
    <row r="762" spans="1:4" x14ac:dyDescent="0.25">
      <c r="A762" s="714">
        <v>7092</v>
      </c>
      <c r="B762" s="715" t="s">
        <v>1272</v>
      </c>
      <c r="C762" s="714">
        <v>9436476590</v>
      </c>
      <c r="D762" s="718" t="s">
        <v>670</v>
      </c>
    </row>
    <row r="763" spans="1:4" x14ac:dyDescent="0.25">
      <c r="A763" s="714">
        <v>7094</v>
      </c>
      <c r="B763" s="715" t="s">
        <v>1273</v>
      </c>
      <c r="C763" s="714">
        <v>9436794282</v>
      </c>
      <c r="D763" s="718" t="s">
        <v>671</v>
      </c>
    </row>
    <row r="764" spans="1:4" x14ac:dyDescent="0.25">
      <c r="A764" s="714">
        <v>7109</v>
      </c>
      <c r="B764" s="715" t="s">
        <v>1274</v>
      </c>
      <c r="C764" s="714">
        <v>9436495646</v>
      </c>
      <c r="D764" s="718" t="s">
        <v>672</v>
      </c>
    </row>
    <row r="765" spans="1:4" x14ac:dyDescent="0.25">
      <c r="A765" s="714">
        <v>7112</v>
      </c>
      <c r="B765" s="720" t="s">
        <v>673</v>
      </c>
      <c r="C765" s="721">
        <v>9436773487</v>
      </c>
      <c r="D765" s="718" t="s">
        <v>674</v>
      </c>
    </row>
    <row r="766" spans="1:4" x14ac:dyDescent="0.3">
      <c r="A766" s="714">
        <v>7113</v>
      </c>
      <c r="B766" s="715" t="s">
        <v>1275</v>
      </c>
      <c r="C766" s="714">
        <v>9436773487</v>
      </c>
      <c r="D766" s="716"/>
    </row>
    <row r="767" spans="1:4" x14ac:dyDescent="0.25">
      <c r="A767" s="714">
        <v>7114</v>
      </c>
      <c r="B767" s="715" t="s">
        <v>1276</v>
      </c>
      <c r="C767" s="714">
        <v>9436505877</v>
      </c>
      <c r="D767" s="718" t="s">
        <v>675</v>
      </c>
    </row>
    <row r="768" spans="1:4" x14ac:dyDescent="0.25">
      <c r="A768" s="714">
        <v>7116</v>
      </c>
      <c r="B768" s="715" t="s">
        <v>1277</v>
      </c>
      <c r="C768" s="714">
        <v>9402148393</v>
      </c>
      <c r="D768" s="718" t="s">
        <v>676</v>
      </c>
    </row>
    <row r="769" spans="1:4" x14ac:dyDescent="0.25">
      <c r="A769" s="714">
        <v>7119</v>
      </c>
      <c r="B769" s="715" t="s">
        <v>1278</v>
      </c>
      <c r="C769" s="714">
        <v>9436124428</v>
      </c>
      <c r="D769" s="718" t="s">
        <v>677</v>
      </c>
    </row>
    <row r="770" spans="1:4" x14ac:dyDescent="0.25">
      <c r="A770" s="714">
        <v>7121</v>
      </c>
      <c r="B770" s="715" t="s">
        <v>1279</v>
      </c>
      <c r="C770" s="714">
        <v>9436464785</v>
      </c>
      <c r="D770" s="718" t="s">
        <v>678</v>
      </c>
    </row>
    <row r="771" spans="1:4" x14ac:dyDescent="0.25">
      <c r="A771" s="714">
        <v>7125</v>
      </c>
      <c r="B771" s="715" t="s">
        <v>1280</v>
      </c>
      <c r="C771" s="714">
        <v>9862167210</v>
      </c>
      <c r="D771" s="718" t="s">
        <v>679</v>
      </c>
    </row>
    <row r="772" spans="1:4" x14ac:dyDescent="0.25">
      <c r="A772" s="714">
        <v>7126</v>
      </c>
      <c r="B772" s="720" t="s">
        <v>680</v>
      </c>
      <c r="C772" s="721">
        <v>9774427411</v>
      </c>
      <c r="D772" s="718" t="s">
        <v>681</v>
      </c>
    </row>
    <row r="773" spans="1:4" x14ac:dyDescent="0.25">
      <c r="A773" s="714">
        <v>7127</v>
      </c>
      <c r="B773" s="720" t="s">
        <v>682</v>
      </c>
      <c r="C773" s="714">
        <v>9436126514</v>
      </c>
      <c r="D773" s="718" t="s">
        <v>683</v>
      </c>
    </row>
    <row r="774" spans="1:4" x14ac:dyDescent="0.25">
      <c r="A774" s="714">
        <v>7129</v>
      </c>
      <c r="B774" s="715" t="s">
        <v>1281</v>
      </c>
      <c r="C774" s="714">
        <v>9612281131</v>
      </c>
      <c r="D774" s="718" t="s">
        <v>684</v>
      </c>
    </row>
    <row r="775" spans="1:4" x14ac:dyDescent="0.25">
      <c r="A775" s="714">
        <v>7130</v>
      </c>
      <c r="B775" s="720" t="s">
        <v>685</v>
      </c>
      <c r="C775" s="714">
        <v>9436124523</v>
      </c>
      <c r="D775" s="718" t="s">
        <v>686</v>
      </c>
    </row>
    <row r="776" spans="1:4" x14ac:dyDescent="0.3">
      <c r="A776" s="714">
        <v>7132</v>
      </c>
      <c r="B776" s="715" t="s">
        <v>1282</v>
      </c>
      <c r="C776" s="726"/>
      <c r="D776" s="716"/>
    </row>
    <row r="777" spans="1:4" x14ac:dyDescent="0.25">
      <c r="A777" s="714">
        <v>7133</v>
      </c>
      <c r="B777" s="715" t="s">
        <v>1283</v>
      </c>
      <c r="C777" s="714">
        <v>9436451108</v>
      </c>
      <c r="D777" s="718" t="s">
        <v>687</v>
      </c>
    </row>
    <row r="778" spans="1:4" x14ac:dyDescent="0.3">
      <c r="A778" s="714">
        <v>8005</v>
      </c>
      <c r="B778" s="715" t="s">
        <v>1284</v>
      </c>
      <c r="C778" s="714">
        <v>3812413358</v>
      </c>
      <c r="D778" s="716"/>
    </row>
    <row r="779" spans="1:4" x14ac:dyDescent="0.3">
      <c r="A779" s="714">
        <v>8006</v>
      </c>
      <c r="B779" s="715" t="s">
        <v>1285</v>
      </c>
      <c r="C779" s="714">
        <v>3812314024</v>
      </c>
      <c r="D779" s="716"/>
    </row>
    <row r="780" spans="1:4" x14ac:dyDescent="0.25">
      <c r="A780" s="714">
        <v>8007</v>
      </c>
      <c r="B780" s="715" t="s">
        <v>1286</v>
      </c>
      <c r="C780" s="714">
        <v>3812325501</v>
      </c>
      <c r="D780" s="718" t="s">
        <v>688</v>
      </c>
    </row>
    <row r="781" spans="1:4" x14ac:dyDescent="0.3">
      <c r="A781" s="714">
        <v>8030</v>
      </c>
      <c r="B781" s="715" t="s">
        <v>1287</v>
      </c>
      <c r="C781" s="714">
        <v>3812325997</v>
      </c>
      <c r="D781" s="716"/>
    </row>
    <row r="782" spans="1:4" x14ac:dyDescent="0.25">
      <c r="A782" s="714">
        <v>8031</v>
      </c>
      <c r="B782" s="715" t="s">
        <v>1288</v>
      </c>
      <c r="C782" s="714">
        <v>3812314522</v>
      </c>
      <c r="D782" s="718" t="s">
        <v>689</v>
      </c>
    </row>
    <row r="783" spans="1:4" x14ac:dyDescent="0.3">
      <c r="A783" s="714">
        <v>8046</v>
      </c>
      <c r="B783" s="715" t="s">
        <v>1289</v>
      </c>
      <c r="C783" s="726"/>
      <c r="D783" s="718" t="s">
        <v>690</v>
      </c>
    </row>
    <row r="784" spans="1:4" x14ac:dyDescent="0.3">
      <c r="A784" s="714">
        <v>8049</v>
      </c>
      <c r="B784" s="715" t="s">
        <v>1290</v>
      </c>
      <c r="C784" s="726"/>
      <c r="D784" s="716"/>
    </row>
    <row r="785" spans="1:4" x14ac:dyDescent="0.3">
      <c r="A785" s="714">
        <v>8071</v>
      </c>
      <c r="B785" s="720" t="s">
        <v>691</v>
      </c>
      <c r="C785" s="721">
        <v>3812373131</v>
      </c>
      <c r="D785" s="716"/>
    </row>
    <row r="786" spans="1:4" x14ac:dyDescent="0.25">
      <c r="A786" s="714">
        <v>8072</v>
      </c>
      <c r="B786" s="720" t="s">
        <v>692</v>
      </c>
      <c r="C786" s="721">
        <v>8787769855</v>
      </c>
      <c r="D786" s="718" t="s">
        <v>693</v>
      </c>
    </row>
    <row r="787" spans="1:4" x14ac:dyDescent="0.25">
      <c r="A787" s="714">
        <v>8073</v>
      </c>
      <c r="B787" s="720" t="s">
        <v>694</v>
      </c>
      <c r="C787" s="721">
        <v>3812370589</v>
      </c>
      <c r="D787" s="718" t="s">
        <v>695</v>
      </c>
    </row>
    <row r="788" spans="1:4" x14ac:dyDescent="0.3">
      <c r="A788" s="714">
        <v>8074</v>
      </c>
      <c r="B788" s="715" t="s">
        <v>1291</v>
      </c>
      <c r="C788" s="714">
        <v>3812415385</v>
      </c>
      <c r="D788" s="716"/>
    </row>
    <row r="789" spans="1:4" x14ac:dyDescent="0.25">
      <c r="A789" s="714">
        <v>8078</v>
      </c>
      <c r="B789" s="715" t="s">
        <v>1292</v>
      </c>
      <c r="C789" s="714">
        <v>9436134912</v>
      </c>
      <c r="D789" s="718" t="s">
        <v>696</v>
      </c>
    </row>
    <row r="790" spans="1:4" x14ac:dyDescent="0.25">
      <c r="A790" s="714">
        <v>8080</v>
      </c>
      <c r="B790" s="715" t="s">
        <v>1293</v>
      </c>
      <c r="C790" s="714">
        <v>3812371920</v>
      </c>
      <c r="D790" s="718" t="s">
        <v>697</v>
      </c>
    </row>
    <row r="791" spans="1:4" x14ac:dyDescent="0.3">
      <c r="A791" s="714">
        <v>8081</v>
      </c>
      <c r="B791" s="715" t="s">
        <v>1294</v>
      </c>
      <c r="C791" s="714">
        <v>3812325875</v>
      </c>
      <c r="D791" s="716"/>
    </row>
    <row r="792" spans="1:4" x14ac:dyDescent="0.3">
      <c r="A792" s="714">
        <v>8082</v>
      </c>
      <c r="B792" s="715" t="s">
        <v>1295</v>
      </c>
      <c r="C792" s="714">
        <v>9402121486</v>
      </c>
      <c r="D792" s="716"/>
    </row>
    <row r="793" spans="1:4" x14ac:dyDescent="0.25">
      <c r="A793" s="714">
        <v>8084</v>
      </c>
      <c r="B793" s="715" t="s">
        <v>1296</v>
      </c>
      <c r="C793" s="714">
        <v>3812329358</v>
      </c>
      <c r="D793" s="718" t="s">
        <v>698</v>
      </c>
    </row>
    <row r="794" spans="1:4" x14ac:dyDescent="0.3">
      <c r="A794" s="714">
        <v>8085</v>
      </c>
      <c r="B794" s="715" t="s">
        <v>1297</v>
      </c>
      <c r="C794" s="714">
        <v>3812325988</v>
      </c>
      <c r="D794" s="716"/>
    </row>
    <row r="795" spans="1:4" x14ac:dyDescent="0.25">
      <c r="A795" s="714">
        <v>8086</v>
      </c>
      <c r="B795" s="715" t="s">
        <v>1298</v>
      </c>
      <c r="C795" s="714">
        <v>3812309395</v>
      </c>
      <c r="D795" s="718" t="s">
        <v>699</v>
      </c>
    </row>
    <row r="796" spans="1:4" x14ac:dyDescent="0.25">
      <c r="A796" s="714">
        <v>8203</v>
      </c>
      <c r="B796" s="715" t="s">
        <v>1299</v>
      </c>
      <c r="C796" s="714">
        <v>3812325231</v>
      </c>
      <c r="D796" s="718" t="s">
        <v>700</v>
      </c>
    </row>
    <row r="797" spans="1:4" x14ac:dyDescent="0.3">
      <c r="A797" s="714">
        <v>8208</v>
      </c>
      <c r="B797" s="715" t="s">
        <v>1300</v>
      </c>
      <c r="C797" s="714">
        <v>3812325544</v>
      </c>
      <c r="D797" s="716"/>
    </row>
    <row r="798" spans="1:4" x14ac:dyDescent="0.3">
      <c r="A798" s="714">
        <v>8213</v>
      </c>
      <c r="B798" s="715" t="s">
        <v>1301</v>
      </c>
      <c r="C798" s="714">
        <v>3812418090</v>
      </c>
      <c r="D798" s="716"/>
    </row>
    <row r="799" spans="1:4" x14ac:dyDescent="0.25">
      <c r="A799" s="714">
        <v>8227</v>
      </c>
      <c r="B799" s="715" t="s">
        <v>1302</v>
      </c>
      <c r="C799" s="714">
        <v>9774554660</v>
      </c>
      <c r="D799" s="718" t="s">
        <v>701</v>
      </c>
    </row>
    <row r="800" spans="1:4" x14ac:dyDescent="0.3">
      <c r="A800" s="714">
        <v>8228</v>
      </c>
      <c r="B800" s="715" t="s">
        <v>1303</v>
      </c>
      <c r="C800" s="714">
        <v>9436183270</v>
      </c>
      <c r="D800" s="716"/>
    </row>
    <row r="801" spans="1:4" x14ac:dyDescent="0.3">
      <c r="A801" s="714">
        <v>8229</v>
      </c>
      <c r="B801" s="715" t="s">
        <v>1304</v>
      </c>
      <c r="C801" s="726"/>
      <c r="D801" s="716"/>
    </row>
    <row r="802" spans="1:4" x14ac:dyDescent="0.25">
      <c r="A802" s="714">
        <v>8231</v>
      </c>
      <c r="B802" s="720" t="s">
        <v>702</v>
      </c>
      <c r="C802" s="721">
        <v>3812325565</v>
      </c>
      <c r="D802" s="718" t="s">
        <v>703</v>
      </c>
    </row>
    <row r="803" spans="1:4" x14ac:dyDescent="0.25">
      <c r="A803" s="714">
        <v>8232</v>
      </c>
      <c r="B803" s="720" t="s">
        <v>704</v>
      </c>
      <c r="C803" s="721">
        <v>3812342257</v>
      </c>
      <c r="D803" s="718" t="s">
        <v>705</v>
      </c>
    </row>
    <row r="804" spans="1:4" x14ac:dyDescent="0.25">
      <c r="A804" s="714">
        <v>8233</v>
      </c>
      <c r="B804" s="715" t="s">
        <v>1305</v>
      </c>
      <c r="C804" s="721"/>
      <c r="D804" s="718" t="s">
        <v>706</v>
      </c>
    </row>
    <row r="805" spans="1:4" x14ac:dyDescent="0.25">
      <c r="A805" s="714">
        <v>8237</v>
      </c>
      <c r="B805" s="715" t="s">
        <v>1306</v>
      </c>
      <c r="C805" s="714">
        <v>3812354867</v>
      </c>
      <c r="D805" s="718" t="s">
        <v>707</v>
      </c>
    </row>
    <row r="806" spans="1:4" x14ac:dyDescent="0.3">
      <c r="A806" s="714">
        <v>8238</v>
      </c>
      <c r="B806" s="715" t="s">
        <v>1307</v>
      </c>
      <c r="C806" s="714">
        <v>2370944</v>
      </c>
      <c r="D806" s="716"/>
    </row>
    <row r="807" spans="1:4" x14ac:dyDescent="0.25">
      <c r="A807" s="714">
        <v>8242</v>
      </c>
      <c r="B807" s="720" t="s">
        <v>708</v>
      </c>
      <c r="C807" s="714">
        <v>2416021</v>
      </c>
      <c r="D807" s="718" t="s">
        <v>709</v>
      </c>
    </row>
    <row r="808" spans="1:4" x14ac:dyDescent="0.3">
      <c r="A808" s="714">
        <v>8243</v>
      </c>
      <c r="B808" s="715" t="s">
        <v>1308</v>
      </c>
      <c r="C808" s="714">
        <v>3812410099</v>
      </c>
      <c r="D808" s="716"/>
    </row>
    <row r="809" spans="1:4" x14ac:dyDescent="0.25">
      <c r="A809" s="714">
        <v>8256</v>
      </c>
      <c r="B809" s="715" t="s">
        <v>1309</v>
      </c>
      <c r="C809" s="714">
        <v>3812323742</v>
      </c>
      <c r="D809" s="718" t="s">
        <v>710</v>
      </c>
    </row>
    <row r="810" spans="1:4" x14ac:dyDescent="0.3">
      <c r="A810" s="714">
        <v>8260</v>
      </c>
      <c r="B810" s="715" t="s">
        <v>1310</v>
      </c>
      <c r="C810" s="714">
        <v>3812323544</v>
      </c>
      <c r="D810" s="716"/>
    </row>
    <row r="811" spans="1:4" x14ac:dyDescent="0.3">
      <c r="A811" s="714">
        <v>8261</v>
      </c>
      <c r="B811" s="715" t="s">
        <v>1311</v>
      </c>
      <c r="C811" s="714">
        <v>3812418099</v>
      </c>
      <c r="D811" s="716"/>
    </row>
    <row r="812" spans="1:4" x14ac:dyDescent="0.3">
      <c r="A812" s="714">
        <v>8265</v>
      </c>
      <c r="B812" s="715" t="s">
        <v>1312</v>
      </c>
      <c r="C812" s="714">
        <v>3812341266</v>
      </c>
      <c r="D812" s="716"/>
    </row>
    <row r="813" spans="1:4" x14ac:dyDescent="0.3">
      <c r="A813" s="714">
        <v>8269</v>
      </c>
      <c r="B813" s="715" t="s">
        <v>1313</v>
      </c>
      <c r="C813" s="714">
        <v>9863411460</v>
      </c>
      <c r="D813" s="716"/>
    </row>
    <row r="814" spans="1:4" x14ac:dyDescent="0.25">
      <c r="A814" s="714">
        <v>8271</v>
      </c>
      <c r="B814" s="715" t="s">
        <v>1314</v>
      </c>
      <c r="C814" s="714">
        <v>9436505174</v>
      </c>
      <c r="D814" s="718" t="s">
        <v>711</v>
      </c>
    </row>
    <row r="815" spans="1:4" x14ac:dyDescent="0.3">
      <c r="A815" s="714">
        <v>8273</v>
      </c>
      <c r="B815" s="715" t="s">
        <v>1315</v>
      </c>
      <c r="C815" s="726"/>
      <c r="D815" s="716"/>
    </row>
    <row r="816" spans="1:4" x14ac:dyDescent="0.3">
      <c r="A816" s="714">
        <v>8283</v>
      </c>
      <c r="B816" s="715" t="s">
        <v>1316</v>
      </c>
      <c r="C816" s="721"/>
      <c r="D816" s="716"/>
    </row>
    <row r="817" spans="1:4" x14ac:dyDescent="0.3">
      <c r="A817" s="714">
        <v>8287</v>
      </c>
      <c r="B817" s="715" t="s">
        <v>1317</v>
      </c>
      <c r="C817" s="721"/>
      <c r="D817" s="716"/>
    </row>
    <row r="818" spans="1:4" x14ac:dyDescent="0.3">
      <c r="A818" s="714">
        <v>8288</v>
      </c>
      <c r="B818" s="715" t="s">
        <v>1318</v>
      </c>
      <c r="C818" s="714">
        <v>3812325839</v>
      </c>
      <c r="D818" s="716"/>
    </row>
    <row r="819" spans="1:4" x14ac:dyDescent="0.3">
      <c r="A819" s="714">
        <v>8289</v>
      </c>
      <c r="B819" s="715" t="s">
        <v>1319</v>
      </c>
      <c r="C819" s="714">
        <v>3812325503</v>
      </c>
      <c r="D819" s="716"/>
    </row>
    <row r="820" spans="1:4" x14ac:dyDescent="0.25">
      <c r="A820" s="714">
        <v>8290</v>
      </c>
      <c r="B820" s="715" t="s">
        <v>1320</v>
      </c>
      <c r="C820" s="714">
        <v>3812325574</v>
      </c>
      <c r="D820" s="718" t="s">
        <v>712</v>
      </c>
    </row>
    <row r="821" spans="1:4" x14ac:dyDescent="0.25">
      <c r="A821" s="714">
        <v>8300</v>
      </c>
      <c r="B821" s="715" t="s">
        <v>1321</v>
      </c>
      <c r="C821" s="714">
        <v>3812325534</v>
      </c>
      <c r="D821" s="718" t="s">
        <v>713</v>
      </c>
    </row>
    <row r="822" spans="1:4" x14ac:dyDescent="0.3">
      <c r="A822" s="714">
        <v>8308</v>
      </c>
      <c r="B822" s="715" t="s">
        <v>1322</v>
      </c>
      <c r="C822" s="714">
        <v>3812325997</v>
      </c>
      <c r="D822" s="716"/>
    </row>
    <row r="823" spans="1:4" x14ac:dyDescent="0.25">
      <c r="A823" s="714">
        <v>8315</v>
      </c>
      <c r="B823" s="720" t="s">
        <v>714</v>
      </c>
      <c r="C823" s="721">
        <v>8414843132</v>
      </c>
      <c r="D823" s="718" t="s">
        <v>715</v>
      </c>
    </row>
    <row r="824" spans="1:4" x14ac:dyDescent="0.25">
      <c r="A824" s="714">
        <v>8318</v>
      </c>
      <c r="B824" s="720" t="s">
        <v>716</v>
      </c>
      <c r="C824" s="721">
        <v>9436550516</v>
      </c>
      <c r="D824" s="718" t="s">
        <v>717</v>
      </c>
    </row>
    <row r="825" spans="1:4" x14ac:dyDescent="0.25">
      <c r="A825" s="714">
        <v>8332</v>
      </c>
      <c r="B825" s="720" t="s">
        <v>718</v>
      </c>
      <c r="C825" s="721">
        <v>3812342175</v>
      </c>
      <c r="D825" s="718" t="s">
        <v>719</v>
      </c>
    </row>
    <row r="826" spans="1:4" x14ac:dyDescent="0.25">
      <c r="A826" s="714">
        <v>8351</v>
      </c>
      <c r="B826" s="715" t="s">
        <v>1323</v>
      </c>
      <c r="C826" s="714">
        <v>3812317985</v>
      </c>
      <c r="D826" s="718" t="s">
        <v>720</v>
      </c>
    </row>
    <row r="827" spans="1:4" x14ac:dyDescent="0.25">
      <c r="A827" s="714">
        <v>8352</v>
      </c>
      <c r="B827" s="715" t="s">
        <v>1324</v>
      </c>
      <c r="C827" s="714">
        <v>9862616024</v>
      </c>
      <c r="D827" s="718" t="s">
        <v>721</v>
      </c>
    </row>
    <row r="828" spans="1:4" x14ac:dyDescent="0.3">
      <c r="A828" s="714">
        <v>8353</v>
      </c>
      <c r="B828" s="720" t="s">
        <v>722</v>
      </c>
      <c r="C828" s="714">
        <v>3812326161</v>
      </c>
      <c r="D828" s="716"/>
    </row>
    <row r="829" spans="1:4" x14ac:dyDescent="0.3">
      <c r="A829" s="714">
        <v>8364</v>
      </c>
      <c r="B829" s="720" t="s">
        <v>723</v>
      </c>
      <c r="C829" s="721">
        <v>3812323514</v>
      </c>
      <c r="D829" s="716"/>
    </row>
    <row r="830" spans="1:4" x14ac:dyDescent="0.3">
      <c r="A830" s="714">
        <v>8368</v>
      </c>
      <c r="B830" s="720" t="s">
        <v>724</v>
      </c>
      <c r="C830" s="721">
        <v>9436124470</v>
      </c>
      <c r="D830" s="716"/>
    </row>
    <row r="831" spans="1:4" x14ac:dyDescent="0.3">
      <c r="A831" s="714">
        <v>8369</v>
      </c>
      <c r="B831" s="720" t="s">
        <v>725</v>
      </c>
      <c r="C831" s="721">
        <v>9436124470</v>
      </c>
      <c r="D831" s="716"/>
    </row>
    <row r="832" spans="1:4" x14ac:dyDescent="0.3">
      <c r="A832" s="714">
        <v>8370</v>
      </c>
      <c r="B832" s="720" t="s">
        <v>726</v>
      </c>
      <c r="C832" s="721">
        <v>9436138195</v>
      </c>
      <c r="D832" s="716"/>
    </row>
    <row r="833" spans="1:4" x14ac:dyDescent="0.3">
      <c r="A833" s="714">
        <v>8371</v>
      </c>
      <c r="B833" s="720" t="s">
        <v>727</v>
      </c>
      <c r="C833" s="721">
        <v>9436938370</v>
      </c>
      <c r="D833" s="716"/>
    </row>
    <row r="834" spans="1:4" x14ac:dyDescent="0.3">
      <c r="A834" s="714">
        <v>8372</v>
      </c>
      <c r="B834" s="715" t="s">
        <v>1325</v>
      </c>
      <c r="C834" s="721"/>
      <c r="D834" s="716"/>
    </row>
    <row r="835" spans="1:4" x14ac:dyDescent="0.3">
      <c r="A835" s="714">
        <v>8373</v>
      </c>
      <c r="B835" s="720" t="s">
        <v>728</v>
      </c>
      <c r="C835" s="721">
        <v>9436124113</v>
      </c>
      <c r="D835" s="716"/>
    </row>
    <row r="836" spans="1:4" x14ac:dyDescent="0.3">
      <c r="A836" s="714">
        <v>8374</v>
      </c>
      <c r="B836" s="720" t="s">
        <v>729</v>
      </c>
      <c r="C836" s="721">
        <v>9436455692</v>
      </c>
      <c r="D836" s="716"/>
    </row>
    <row r="837" spans="1:4" x14ac:dyDescent="0.3">
      <c r="A837" s="714">
        <v>8375</v>
      </c>
      <c r="B837" s="720" t="s">
        <v>730</v>
      </c>
      <c r="C837" s="721">
        <v>9436120861</v>
      </c>
      <c r="D837" s="716"/>
    </row>
    <row r="838" spans="1:4" x14ac:dyDescent="0.3">
      <c r="A838" s="714">
        <v>8376</v>
      </c>
      <c r="B838" s="720" t="s">
        <v>731</v>
      </c>
      <c r="C838" s="721">
        <v>9436464437</v>
      </c>
      <c r="D838" s="716"/>
    </row>
    <row r="839" spans="1:4" x14ac:dyDescent="0.3">
      <c r="A839" s="714">
        <v>8378</v>
      </c>
      <c r="B839" s="715" t="s">
        <v>1326</v>
      </c>
      <c r="C839" s="714">
        <v>3812315791</v>
      </c>
      <c r="D839" s="716"/>
    </row>
    <row r="840" spans="1:4" x14ac:dyDescent="0.3">
      <c r="A840" s="714">
        <v>8379</v>
      </c>
      <c r="B840" s="720" t="s">
        <v>732</v>
      </c>
      <c r="C840" s="721">
        <v>2329150</v>
      </c>
      <c r="D840" s="716"/>
    </row>
    <row r="841" spans="1:4" x14ac:dyDescent="0.25">
      <c r="A841" s="714">
        <v>8380</v>
      </c>
      <c r="B841" s="720" t="s">
        <v>733</v>
      </c>
      <c r="C841" s="721">
        <v>9436453556</v>
      </c>
      <c r="D841" s="718" t="s">
        <v>734</v>
      </c>
    </row>
    <row r="842" spans="1:4" x14ac:dyDescent="0.3">
      <c r="A842" s="714">
        <v>8382</v>
      </c>
      <c r="B842" s="715" t="s">
        <v>1327</v>
      </c>
      <c r="C842" s="726"/>
      <c r="D842" s="718" t="s">
        <v>735</v>
      </c>
    </row>
    <row r="843" spans="1:4" x14ac:dyDescent="0.3">
      <c r="A843" s="714">
        <v>8388</v>
      </c>
      <c r="B843" s="720" t="s">
        <v>736</v>
      </c>
      <c r="C843" s="721">
        <v>3812372684</v>
      </c>
      <c r="D843" s="716"/>
    </row>
    <row r="844" spans="1:4" x14ac:dyDescent="0.25">
      <c r="A844" s="714">
        <v>9002</v>
      </c>
      <c r="B844" s="715" t="s">
        <v>1328</v>
      </c>
      <c r="C844" s="714">
        <v>9436136500</v>
      </c>
      <c r="D844" s="718" t="s">
        <v>737</v>
      </c>
    </row>
    <row r="845" spans="1:4" x14ac:dyDescent="0.25">
      <c r="A845" s="714">
        <v>9003</v>
      </c>
      <c r="B845" s="715" t="s">
        <v>1329</v>
      </c>
      <c r="C845" s="714">
        <v>9436456243</v>
      </c>
      <c r="D845" s="718" t="s">
        <v>738</v>
      </c>
    </row>
    <row r="846" spans="1:4" x14ac:dyDescent="0.25">
      <c r="A846" s="714">
        <v>9004</v>
      </c>
      <c r="B846" s="715" t="s">
        <v>1330</v>
      </c>
      <c r="C846" s="714">
        <v>9436129823</v>
      </c>
      <c r="D846" s="718" t="s">
        <v>739</v>
      </c>
    </row>
    <row r="847" spans="1:4" x14ac:dyDescent="0.25">
      <c r="A847" s="714">
        <v>9006</v>
      </c>
      <c r="B847" s="715" t="s">
        <v>1331</v>
      </c>
      <c r="C847" s="714">
        <v>8414015908</v>
      </c>
      <c r="D847" s="718" t="s">
        <v>740</v>
      </c>
    </row>
    <row r="848" spans="1:4" x14ac:dyDescent="0.25">
      <c r="A848" s="714">
        <v>9007</v>
      </c>
      <c r="B848" s="720" t="s">
        <v>741</v>
      </c>
      <c r="C848" s="721">
        <v>9436514726</v>
      </c>
      <c r="D848" s="718" t="s">
        <v>742</v>
      </c>
    </row>
    <row r="849" spans="1:4" x14ac:dyDescent="0.25">
      <c r="A849" s="714">
        <v>9010</v>
      </c>
      <c r="B849" s="720" t="s">
        <v>743</v>
      </c>
      <c r="C849" s="714">
        <v>3812323883</v>
      </c>
      <c r="D849" s="718" t="s">
        <v>744</v>
      </c>
    </row>
    <row r="850" spans="1:4" x14ac:dyDescent="0.25">
      <c r="A850" s="714">
        <v>9013</v>
      </c>
      <c r="B850" s="720" t="s">
        <v>745</v>
      </c>
      <c r="C850" s="714">
        <v>2326618</v>
      </c>
      <c r="D850" s="718" t="s">
        <v>746</v>
      </c>
    </row>
    <row r="851" spans="1:4" x14ac:dyDescent="0.25">
      <c r="A851" s="714">
        <v>9014</v>
      </c>
      <c r="B851" s="720" t="s">
        <v>747</v>
      </c>
      <c r="C851" s="721">
        <v>2324739</v>
      </c>
      <c r="D851" s="718" t="s">
        <v>748</v>
      </c>
    </row>
    <row r="852" spans="1:4" x14ac:dyDescent="0.25">
      <c r="A852" s="714">
        <v>9015</v>
      </c>
      <c r="B852" s="720" t="s">
        <v>749</v>
      </c>
      <c r="C852" s="714">
        <v>3812325592</v>
      </c>
      <c r="D852" s="718" t="s">
        <v>750</v>
      </c>
    </row>
    <row r="853" spans="1:4" x14ac:dyDescent="0.25">
      <c r="A853" s="714">
        <v>9016</v>
      </c>
      <c r="B853" s="720" t="s">
        <v>751</v>
      </c>
      <c r="C853" s="721">
        <v>9436581249</v>
      </c>
      <c r="D853" s="718" t="s">
        <v>752</v>
      </c>
    </row>
    <row r="854" spans="1:4" x14ac:dyDescent="0.25">
      <c r="A854" s="714">
        <v>9018</v>
      </c>
      <c r="B854" s="715" t="s">
        <v>1332</v>
      </c>
      <c r="C854" s="714">
        <v>2312282</v>
      </c>
      <c r="D854" s="718" t="s">
        <v>753</v>
      </c>
    </row>
    <row r="855" spans="1:4" x14ac:dyDescent="0.25">
      <c r="A855" s="714">
        <v>9020</v>
      </c>
      <c r="B855" s="715" t="s">
        <v>1333</v>
      </c>
      <c r="C855" s="714">
        <v>3812381012</v>
      </c>
      <c r="D855" s="718" t="s">
        <v>754</v>
      </c>
    </row>
    <row r="856" spans="1:4" x14ac:dyDescent="0.25">
      <c r="A856" s="714">
        <v>9024</v>
      </c>
      <c r="B856" s="715" t="s">
        <v>1334</v>
      </c>
      <c r="C856" s="714">
        <v>3812323302</v>
      </c>
      <c r="D856" s="718" t="s">
        <v>755</v>
      </c>
    </row>
    <row r="857" spans="1:4" x14ac:dyDescent="0.25">
      <c r="A857" s="714">
        <v>9025</v>
      </c>
      <c r="B857" s="715" t="s">
        <v>1335</v>
      </c>
      <c r="C857" s="714">
        <v>3812410515</v>
      </c>
      <c r="D857" s="718" t="s">
        <v>756</v>
      </c>
    </row>
    <row r="858" spans="1:4" x14ac:dyDescent="0.25">
      <c r="A858" s="714">
        <v>9028</v>
      </c>
      <c r="B858" s="720" t="s">
        <v>757</v>
      </c>
      <c r="C858" s="714">
        <v>9402185549</v>
      </c>
      <c r="D858" s="718" t="s">
        <v>758</v>
      </c>
    </row>
    <row r="859" spans="1:4" x14ac:dyDescent="0.25">
      <c r="A859" s="714">
        <v>9029</v>
      </c>
      <c r="B859" s="715" t="s">
        <v>1336</v>
      </c>
      <c r="C859" s="714">
        <v>9436129823</v>
      </c>
      <c r="D859" s="718" t="s">
        <v>739</v>
      </c>
    </row>
    <row r="860" spans="1:4" x14ac:dyDescent="0.25">
      <c r="A860" s="714">
        <v>9031</v>
      </c>
      <c r="B860" s="720" t="s">
        <v>759</v>
      </c>
      <c r="C860" s="721">
        <v>9612020772</v>
      </c>
      <c r="D860" s="718" t="s">
        <v>760</v>
      </c>
    </row>
    <row r="861" spans="1:4" x14ac:dyDescent="0.25">
      <c r="A861" s="714">
        <v>9032</v>
      </c>
      <c r="B861" s="715" t="s">
        <v>1337</v>
      </c>
      <c r="C861" s="714">
        <v>9402169769</v>
      </c>
      <c r="D861" s="718" t="s">
        <v>761</v>
      </c>
    </row>
    <row r="862" spans="1:4" x14ac:dyDescent="0.25">
      <c r="A862" s="714">
        <v>9034</v>
      </c>
      <c r="B862" s="715" t="s">
        <v>762</v>
      </c>
      <c r="C862" s="714"/>
      <c r="D862" s="718"/>
    </row>
    <row r="863" spans="1:4" x14ac:dyDescent="0.25">
      <c r="A863" s="714">
        <v>9035</v>
      </c>
      <c r="B863" s="720" t="s">
        <v>763</v>
      </c>
      <c r="C863" s="721">
        <v>9436465168</v>
      </c>
      <c r="D863" s="718" t="s">
        <v>764</v>
      </c>
    </row>
    <row r="864" spans="1:4" x14ac:dyDescent="0.3">
      <c r="A864" s="714">
        <v>9036</v>
      </c>
      <c r="B864" s="715" t="s">
        <v>1338</v>
      </c>
      <c r="C864" s="726"/>
      <c r="D864" s="718" t="s">
        <v>765</v>
      </c>
    </row>
    <row r="865" spans="1:4" x14ac:dyDescent="0.25">
      <c r="A865" s="714">
        <v>9039</v>
      </c>
      <c r="B865" s="715" t="s">
        <v>1339</v>
      </c>
      <c r="C865" s="714">
        <v>2324601</v>
      </c>
      <c r="D865" s="718" t="s">
        <v>766</v>
      </c>
    </row>
    <row r="866" spans="1:4" x14ac:dyDescent="0.3">
      <c r="A866" s="714">
        <v>9040</v>
      </c>
      <c r="B866" s="715" t="s">
        <v>1340</v>
      </c>
      <c r="C866" s="714">
        <v>3812355751</v>
      </c>
      <c r="D866" s="716"/>
    </row>
    <row r="867" spans="1:4" x14ac:dyDescent="0.25">
      <c r="A867" s="714">
        <v>9041</v>
      </c>
      <c r="B867" s="715" t="s">
        <v>1341</v>
      </c>
      <c r="C867" s="714">
        <v>8794740217</v>
      </c>
      <c r="D867" s="718" t="s">
        <v>767</v>
      </c>
    </row>
    <row r="868" spans="1:4" x14ac:dyDescent="0.25">
      <c r="A868" s="714">
        <v>9043</v>
      </c>
      <c r="B868" s="715" t="s">
        <v>1342</v>
      </c>
      <c r="C868" s="714">
        <v>9436530726</v>
      </c>
      <c r="D868" s="718" t="s">
        <v>768</v>
      </c>
    </row>
    <row r="869" spans="1:4" x14ac:dyDescent="0.25">
      <c r="A869" s="714">
        <v>9044</v>
      </c>
      <c r="B869" s="715" t="s">
        <v>1343</v>
      </c>
      <c r="C869" s="714">
        <v>9436135001</v>
      </c>
      <c r="D869" s="718" t="s">
        <v>769</v>
      </c>
    </row>
    <row r="870" spans="1:4" x14ac:dyDescent="0.25">
      <c r="A870" s="714">
        <v>9045</v>
      </c>
      <c r="B870" s="715" t="s">
        <v>1344</v>
      </c>
      <c r="C870" s="714">
        <v>9436502484</v>
      </c>
      <c r="D870" s="718" t="s">
        <v>770</v>
      </c>
    </row>
    <row r="871" spans="1:4" x14ac:dyDescent="0.25">
      <c r="A871" s="714">
        <v>9046</v>
      </c>
      <c r="B871" s="715" t="s">
        <v>1345</v>
      </c>
      <c r="C871" s="714">
        <v>9436123837</v>
      </c>
      <c r="D871" s="718" t="s">
        <v>771</v>
      </c>
    </row>
    <row r="872" spans="1:4" x14ac:dyDescent="0.25">
      <c r="A872" s="714">
        <v>9048</v>
      </c>
      <c r="B872" s="715" t="s">
        <v>1346</v>
      </c>
      <c r="C872" s="714">
        <v>3812397016</v>
      </c>
      <c r="D872" s="718" t="s">
        <v>772</v>
      </c>
    </row>
    <row r="873" spans="1:4" x14ac:dyDescent="0.3">
      <c r="A873" s="714">
        <v>9049</v>
      </c>
      <c r="B873" s="715" t="s">
        <v>1347</v>
      </c>
      <c r="C873" s="714">
        <v>3812397614</v>
      </c>
      <c r="D873" s="716"/>
    </row>
    <row r="874" spans="1:4" x14ac:dyDescent="0.25">
      <c r="A874" s="714">
        <v>9050</v>
      </c>
      <c r="B874" s="715" t="s">
        <v>1348</v>
      </c>
      <c r="C874" s="714">
        <v>9402307944</v>
      </c>
      <c r="D874" s="718" t="s">
        <v>773</v>
      </c>
    </row>
    <row r="875" spans="1:4" x14ac:dyDescent="0.25">
      <c r="A875" s="714">
        <v>9051</v>
      </c>
      <c r="B875" s="715" t="s">
        <v>1349</v>
      </c>
      <c r="C875" s="714">
        <v>9436168836</v>
      </c>
      <c r="D875" s="718" t="s">
        <v>774</v>
      </c>
    </row>
    <row r="876" spans="1:4" x14ac:dyDescent="0.25">
      <c r="A876" s="714">
        <v>9052</v>
      </c>
      <c r="B876" s="715" t="s">
        <v>1350</v>
      </c>
      <c r="C876" s="714">
        <v>9436567007</v>
      </c>
      <c r="D876" s="718" t="s">
        <v>775</v>
      </c>
    </row>
    <row r="877" spans="1:4" x14ac:dyDescent="0.25">
      <c r="A877" s="714">
        <v>9053</v>
      </c>
      <c r="B877" s="715" t="s">
        <v>1351</v>
      </c>
      <c r="C877" s="714">
        <v>9436123033</v>
      </c>
      <c r="D877" s="718" t="s">
        <v>776</v>
      </c>
    </row>
    <row r="878" spans="1:4" x14ac:dyDescent="0.25">
      <c r="A878" s="714">
        <v>9055</v>
      </c>
      <c r="B878" s="715" t="s">
        <v>1352</v>
      </c>
      <c r="C878" s="714">
        <v>3812326244</v>
      </c>
      <c r="D878" s="718" t="s">
        <v>777</v>
      </c>
    </row>
    <row r="879" spans="1:4" x14ac:dyDescent="0.25">
      <c r="A879" s="714">
        <v>9057</v>
      </c>
      <c r="B879" s="715" t="s">
        <v>1353</v>
      </c>
      <c r="C879" s="714">
        <v>8787698009</v>
      </c>
      <c r="D879" s="718" t="s">
        <v>778</v>
      </c>
    </row>
    <row r="880" spans="1:4" x14ac:dyDescent="0.3">
      <c r="A880" s="714">
        <v>9058</v>
      </c>
      <c r="B880" s="720" t="s">
        <v>779</v>
      </c>
      <c r="C880" s="714">
        <v>2323461</v>
      </c>
      <c r="D880" s="716"/>
    </row>
    <row r="881" spans="1:4" x14ac:dyDescent="0.25">
      <c r="A881" s="714">
        <v>9059</v>
      </c>
      <c r="B881" s="715" t="s">
        <v>1354</v>
      </c>
      <c r="C881" s="714">
        <v>9436139351</v>
      </c>
      <c r="D881" s="718" t="s">
        <v>780</v>
      </c>
    </row>
    <row r="882" spans="1:4" x14ac:dyDescent="0.25">
      <c r="A882" s="714">
        <v>9064</v>
      </c>
      <c r="B882" s="715" t="s">
        <v>1355</v>
      </c>
      <c r="C882" s="714">
        <v>9436457379</v>
      </c>
      <c r="D882" s="718" t="s">
        <v>781</v>
      </c>
    </row>
    <row r="883" spans="1:4" x14ac:dyDescent="0.25">
      <c r="A883" s="714">
        <v>9066</v>
      </c>
      <c r="B883" s="720" t="s">
        <v>782</v>
      </c>
      <c r="C883" s="714">
        <v>9436456968</v>
      </c>
      <c r="D883" s="718" t="s">
        <v>783</v>
      </c>
    </row>
    <row r="884" spans="1:4" x14ac:dyDescent="0.25">
      <c r="A884" s="714">
        <v>9067</v>
      </c>
      <c r="B884" s="715" t="s">
        <v>1356</v>
      </c>
      <c r="C884" s="714">
        <v>9436457990</v>
      </c>
      <c r="D884" s="718" t="s">
        <v>784</v>
      </c>
    </row>
    <row r="885" spans="1:4" x14ac:dyDescent="0.25">
      <c r="A885" s="714">
        <v>9068</v>
      </c>
      <c r="B885" s="720" t="s">
        <v>785</v>
      </c>
      <c r="C885" s="714">
        <v>9774716173</v>
      </c>
      <c r="D885" s="718" t="s">
        <v>786</v>
      </c>
    </row>
    <row r="886" spans="1:4" x14ac:dyDescent="0.25">
      <c r="A886" s="714">
        <v>9070</v>
      </c>
      <c r="B886" s="715" t="s">
        <v>1357</v>
      </c>
      <c r="C886" s="714">
        <v>9436125632</v>
      </c>
      <c r="D886" s="718" t="s">
        <v>787</v>
      </c>
    </row>
    <row r="887" spans="1:4" x14ac:dyDescent="0.25">
      <c r="A887" s="714">
        <v>9071</v>
      </c>
      <c r="B887" s="715" t="s">
        <v>1358</v>
      </c>
      <c r="C887" s="714">
        <v>9436137788</v>
      </c>
      <c r="D887" s="718" t="s">
        <v>788</v>
      </c>
    </row>
    <row r="888" spans="1:4" x14ac:dyDescent="0.25">
      <c r="A888" s="714">
        <v>9072</v>
      </c>
      <c r="B888" s="715" t="s">
        <v>1359</v>
      </c>
      <c r="C888" s="714">
        <v>9774544684</v>
      </c>
      <c r="D888" s="718" t="s">
        <v>789</v>
      </c>
    </row>
    <row r="889" spans="1:4" x14ac:dyDescent="0.25">
      <c r="A889" s="714">
        <v>9077</v>
      </c>
      <c r="B889" s="715" t="s">
        <v>1360</v>
      </c>
      <c r="C889" s="714">
        <v>3812320699</v>
      </c>
      <c r="D889" s="718" t="s">
        <v>790</v>
      </c>
    </row>
    <row r="890" spans="1:4" x14ac:dyDescent="0.25">
      <c r="A890" s="714">
        <v>9080</v>
      </c>
      <c r="B890" s="715" t="s">
        <v>1361</v>
      </c>
      <c r="C890" s="714">
        <v>9436472921</v>
      </c>
      <c r="D890" s="718" t="s">
        <v>791</v>
      </c>
    </row>
    <row r="891" spans="1:4" x14ac:dyDescent="0.25">
      <c r="A891" s="714">
        <v>9082</v>
      </c>
      <c r="B891" s="715" t="s">
        <v>1362</v>
      </c>
      <c r="C891" s="714">
        <v>9402162433</v>
      </c>
      <c r="D891" s="718" t="s">
        <v>792</v>
      </c>
    </row>
    <row r="892" spans="1:4" x14ac:dyDescent="0.25">
      <c r="A892" s="714">
        <v>9083</v>
      </c>
      <c r="B892" s="720" t="s">
        <v>793</v>
      </c>
      <c r="C892" s="721">
        <v>2205067</v>
      </c>
      <c r="D892" s="718" t="s">
        <v>794</v>
      </c>
    </row>
    <row r="893" spans="1:4" x14ac:dyDescent="0.25">
      <c r="A893" s="714">
        <v>9085</v>
      </c>
      <c r="B893" s="720" t="s">
        <v>795</v>
      </c>
      <c r="C893" s="721">
        <v>9402331674</v>
      </c>
      <c r="D893" s="718" t="s">
        <v>796</v>
      </c>
    </row>
    <row r="894" spans="1:4" x14ac:dyDescent="0.25">
      <c r="A894" s="714">
        <v>9086</v>
      </c>
      <c r="B894" s="715" t="s">
        <v>1363</v>
      </c>
      <c r="C894" s="714">
        <v>9436790996</v>
      </c>
      <c r="D894" s="718" t="s">
        <v>797</v>
      </c>
    </row>
    <row r="895" spans="1:4" x14ac:dyDescent="0.25">
      <c r="A895" s="714">
        <v>9087</v>
      </c>
      <c r="B895" s="715" t="s">
        <v>1364</v>
      </c>
      <c r="C895" s="714">
        <v>3812321347</v>
      </c>
      <c r="D895" s="718" t="s">
        <v>798</v>
      </c>
    </row>
    <row r="896" spans="1:4" x14ac:dyDescent="0.25">
      <c r="A896" s="714">
        <v>9088</v>
      </c>
      <c r="B896" s="720" t="s">
        <v>799</v>
      </c>
      <c r="C896" s="721">
        <v>9612020772</v>
      </c>
      <c r="D896" s="718" t="s">
        <v>760</v>
      </c>
    </row>
    <row r="897" spans="1:4" x14ac:dyDescent="0.25">
      <c r="A897" s="714">
        <v>9092</v>
      </c>
      <c r="B897" s="715" t="s">
        <v>1365</v>
      </c>
      <c r="C897" s="714">
        <v>3812300425</v>
      </c>
      <c r="D897" s="718" t="s">
        <v>800</v>
      </c>
    </row>
    <row r="898" spans="1:4" x14ac:dyDescent="0.25">
      <c r="A898" s="714">
        <v>9094</v>
      </c>
      <c r="B898" s="715" t="s">
        <v>1366</v>
      </c>
      <c r="C898" s="714">
        <v>9436538108</v>
      </c>
      <c r="D898" s="718" t="s">
        <v>801</v>
      </c>
    </row>
    <row r="899" spans="1:4" x14ac:dyDescent="0.25">
      <c r="A899" s="714">
        <v>9095</v>
      </c>
      <c r="B899" s="715" t="s">
        <v>1367</v>
      </c>
      <c r="C899" s="714">
        <v>9436541368</v>
      </c>
      <c r="D899" s="718" t="s">
        <v>802</v>
      </c>
    </row>
    <row r="900" spans="1:4" x14ac:dyDescent="0.25">
      <c r="A900" s="714">
        <v>9097</v>
      </c>
      <c r="B900" s="715" t="s">
        <v>1368</v>
      </c>
      <c r="C900" s="714">
        <v>3812355628</v>
      </c>
      <c r="D900" s="718" t="s">
        <v>803</v>
      </c>
    </row>
    <row r="901" spans="1:4" x14ac:dyDescent="0.25">
      <c r="A901" s="714">
        <v>9098</v>
      </c>
      <c r="B901" s="715" t="s">
        <v>1369</v>
      </c>
      <c r="C901" s="714">
        <v>9612651823</v>
      </c>
      <c r="D901" s="718" t="s">
        <v>804</v>
      </c>
    </row>
    <row r="902" spans="1:4" x14ac:dyDescent="0.25">
      <c r="A902" s="714">
        <v>9099</v>
      </c>
      <c r="B902" s="715" t="s">
        <v>1370</v>
      </c>
      <c r="C902" s="714">
        <v>9436189503</v>
      </c>
      <c r="D902" s="718" t="s">
        <v>805</v>
      </c>
    </row>
    <row r="903" spans="1:4" x14ac:dyDescent="0.25">
      <c r="A903" s="714">
        <v>9100</v>
      </c>
      <c r="B903" s="715" t="s">
        <v>806</v>
      </c>
      <c r="C903" s="714">
        <v>9436994944</v>
      </c>
      <c r="D903" s="718" t="s">
        <v>807</v>
      </c>
    </row>
    <row r="904" spans="1:4" x14ac:dyDescent="0.25">
      <c r="A904" s="714">
        <v>9101</v>
      </c>
      <c r="B904" s="715" t="s">
        <v>1371</v>
      </c>
      <c r="C904" s="714">
        <v>9436501883</v>
      </c>
      <c r="D904" s="718" t="s">
        <v>808</v>
      </c>
    </row>
    <row r="905" spans="1:4" x14ac:dyDescent="0.25">
      <c r="A905" s="714">
        <v>9105</v>
      </c>
      <c r="B905" s="715" t="s">
        <v>1372</v>
      </c>
      <c r="C905" s="714">
        <v>8837409087</v>
      </c>
      <c r="D905" s="718" t="s">
        <v>809</v>
      </c>
    </row>
    <row r="906" spans="1:4" x14ac:dyDescent="0.25">
      <c r="A906" s="714">
        <v>9108</v>
      </c>
      <c r="B906" s="715" t="s">
        <v>1373</v>
      </c>
      <c r="C906" s="714">
        <v>8730925936</v>
      </c>
      <c r="D906" s="718" t="s">
        <v>810</v>
      </c>
    </row>
    <row r="907" spans="1:4" x14ac:dyDescent="0.25">
      <c r="A907" s="714">
        <v>9111</v>
      </c>
      <c r="B907" s="715" t="s">
        <v>1374</v>
      </c>
      <c r="C907" s="714">
        <v>3812356469</v>
      </c>
      <c r="D907" s="718" t="s">
        <v>811</v>
      </c>
    </row>
    <row r="908" spans="1:4" x14ac:dyDescent="0.25">
      <c r="A908" s="714">
        <v>9112</v>
      </c>
      <c r="B908" s="715" t="s">
        <v>1375</v>
      </c>
      <c r="C908" s="714">
        <v>9774051043</v>
      </c>
      <c r="D908" s="718" t="s">
        <v>812</v>
      </c>
    </row>
    <row r="909" spans="1:4" x14ac:dyDescent="0.25">
      <c r="A909" s="714">
        <v>9113</v>
      </c>
      <c r="B909" s="715" t="s">
        <v>1376</v>
      </c>
      <c r="C909" s="714">
        <v>9436579620</v>
      </c>
      <c r="D909" s="718" t="s">
        <v>813</v>
      </c>
    </row>
    <row r="910" spans="1:4" x14ac:dyDescent="0.25">
      <c r="A910" s="714">
        <v>9114</v>
      </c>
      <c r="B910" s="715" t="s">
        <v>1377</v>
      </c>
      <c r="C910" s="714">
        <v>9436502980</v>
      </c>
      <c r="D910" s="718" t="s">
        <v>814</v>
      </c>
    </row>
    <row r="911" spans="1:4" x14ac:dyDescent="0.25">
      <c r="A911" s="714">
        <v>9115</v>
      </c>
      <c r="B911" s="715" t="s">
        <v>1378</v>
      </c>
      <c r="C911" s="714">
        <v>9862525712</v>
      </c>
      <c r="D911" s="718" t="s">
        <v>815</v>
      </c>
    </row>
    <row r="912" spans="1:4" x14ac:dyDescent="0.25">
      <c r="A912" s="714">
        <v>9119</v>
      </c>
      <c r="B912" s="715" t="s">
        <v>1379</v>
      </c>
      <c r="C912" s="714">
        <v>9436168775</v>
      </c>
      <c r="D912" s="718" t="s">
        <v>816</v>
      </c>
    </row>
    <row r="913" spans="1:4" x14ac:dyDescent="0.3">
      <c r="A913" s="714">
        <v>9120</v>
      </c>
      <c r="B913" s="715" t="s">
        <v>1380</v>
      </c>
      <c r="C913" s="714">
        <v>2326786</v>
      </c>
      <c r="D913" s="716"/>
    </row>
    <row r="914" spans="1:4" x14ac:dyDescent="0.25">
      <c r="A914" s="714">
        <v>9121</v>
      </c>
      <c r="B914" s="720" t="s">
        <v>817</v>
      </c>
      <c r="C914" s="721">
        <v>7005265449</v>
      </c>
      <c r="D914" s="718" t="s">
        <v>818</v>
      </c>
    </row>
    <row r="915" spans="1:4" x14ac:dyDescent="0.25">
      <c r="A915" s="714">
        <v>9125</v>
      </c>
      <c r="B915" s="715" t="s">
        <v>1381</v>
      </c>
      <c r="C915" s="714">
        <v>3812325839</v>
      </c>
      <c r="D915" s="718" t="s">
        <v>819</v>
      </c>
    </row>
    <row r="916" spans="1:4" x14ac:dyDescent="0.25">
      <c r="A916" s="714">
        <v>9127</v>
      </c>
      <c r="B916" s="720" t="s">
        <v>820</v>
      </c>
      <c r="C916" s="721">
        <v>3812418076</v>
      </c>
      <c r="D916" s="718" t="s">
        <v>821</v>
      </c>
    </row>
    <row r="917" spans="1:4" x14ac:dyDescent="0.25">
      <c r="A917" s="714">
        <v>9128</v>
      </c>
      <c r="B917" s="715" t="s">
        <v>1382</v>
      </c>
      <c r="C917" s="714">
        <v>2326507</v>
      </c>
      <c r="D917" s="718" t="s">
        <v>822</v>
      </c>
    </row>
    <row r="918" spans="1:4" x14ac:dyDescent="0.25">
      <c r="A918" s="714">
        <v>9130</v>
      </c>
      <c r="B918" s="720" t="s">
        <v>823</v>
      </c>
      <c r="C918" s="714">
        <v>9774303127</v>
      </c>
      <c r="D918" s="718" t="s">
        <v>824</v>
      </c>
    </row>
    <row r="919" spans="1:4" x14ac:dyDescent="0.25">
      <c r="A919" s="714">
        <v>9133</v>
      </c>
      <c r="B919" s="715" t="s">
        <v>1383</v>
      </c>
      <c r="C919" s="714">
        <v>9863312736</v>
      </c>
      <c r="D919" s="718" t="s">
        <v>825</v>
      </c>
    </row>
    <row r="920" spans="1:4" x14ac:dyDescent="0.25">
      <c r="A920" s="714">
        <v>9134</v>
      </c>
      <c r="B920" s="715" t="s">
        <v>1384</v>
      </c>
      <c r="C920" s="714">
        <v>9436125136</v>
      </c>
      <c r="D920" s="718" t="s">
        <v>826</v>
      </c>
    </row>
    <row r="921" spans="1:4" x14ac:dyDescent="0.3">
      <c r="A921" s="714">
        <v>9136</v>
      </c>
      <c r="B921" s="720" t="s">
        <v>827</v>
      </c>
      <c r="C921" s="714">
        <v>3812323541</v>
      </c>
      <c r="D921" s="716"/>
    </row>
    <row r="922" spans="1:4" x14ac:dyDescent="0.25">
      <c r="A922" s="714">
        <v>9137</v>
      </c>
      <c r="B922" s="720" t="s">
        <v>828</v>
      </c>
      <c r="C922" s="721">
        <v>9436136020</v>
      </c>
      <c r="D922" s="718" t="s">
        <v>829</v>
      </c>
    </row>
    <row r="923" spans="1:4" x14ac:dyDescent="0.25">
      <c r="A923" s="714">
        <v>9138</v>
      </c>
      <c r="B923" s="720" t="s">
        <v>830</v>
      </c>
      <c r="C923" s="721">
        <v>9436457398</v>
      </c>
      <c r="D923" s="718" t="s">
        <v>831</v>
      </c>
    </row>
    <row r="924" spans="1:4" x14ac:dyDescent="0.25">
      <c r="A924" s="714">
        <v>9139</v>
      </c>
      <c r="B924" s="720" t="s">
        <v>832</v>
      </c>
      <c r="C924" s="721">
        <v>6033132078</v>
      </c>
      <c r="D924" s="718" t="s">
        <v>833</v>
      </c>
    </row>
    <row r="925" spans="1:4" x14ac:dyDescent="0.25">
      <c r="A925" s="714">
        <v>9141</v>
      </c>
      <c r="B925" s="720" t="s">
        <v>834</v>
      </c>
      <c r="C925" s="721">
        <v>3825295999</v>
      </c>
      <c r="D925" s="718" t="s">
        <v>835</v>
      </c>
    </row>
    <row r="926" spans="1:4" x14ac:dyDescent="0.3">
      <c r="A926" s="714">
        <v>9142</v>
      </c>
      <c r="B926" s="720" t="s">
        <v>836</v>
      </c>
      <c r="C926" s="721">
        <v>3812353279</v>
      </c>
      <c r="D926" s="716"/>
    </row>
    <row r="927" spans="1:4" x14ac:dyDescent="0.25">
      <c r="A927" s="714">
        <v>9143</v>
      </c>
      <c r="B927" s="720" t="s">
        <v>837</v>
      </c>
      <c r="C927" s="721">
        <v>3812370282</v>
      </c>
      <c r="D927" s="718" t="s">
        <v>838</v>
      </c>
    </row>
    <row r="928" spans="1:4" x14ac:dyDescent="0.25">
      <c r="A928" s="714">
        <v>9144</v>
      </c>
      <c r="B928" s="720" t="s">
        <v>839</v>
      </c>
      <c r="C928" s="721">
        <v>3812320896</v>
      </c>
      <c r="D928" s="718" t="s">
        <v>840</v>
      </c>
    </row>
    <row r="929" spans="1:4" x14ac:dyDescent="0.25">
      <c r="A929" s="714">
        <v>9145</v>
      </c>
      <c r="B929" s="720" t="s">
        <v>841</v>
      </c>
      <c r="C929" s="721">
        <v>8787695605</v>
      </c>
      <c r="D929" s="718" t="s">
        <v>842</v>
      </c>
    </row>
    <row r="930" spans="1:4" x14ac:dyDescent="0.25">
      <c r="A930" s="714">
        <v>9146</v>
      </c>
      <c r="B930" s="720" t="s">
        <v>843</v>
      </c>
      <c r="C930" s="721">
        <v>9436451316</v>
      </c>
      <c r="D930" s="718" t="s">
        <v>844</v>
      </c>
    </row>
    <row r="931" spans="1:4" x14ac:dyDescent="0.25">
      <c r="A931" s="714">
        <v>9147</v>
      </c>
      <c r="B931" s="720" t="s">
        <v>845</v>
      </c>
      <c r="C931" s="721">
        <v>9436139311</v>
      </c>
      <c r="D931" s="718" t="s">
        <v>846</v>
      </c>
    </row>
    <row r="932" spans="1:4" x14ac:dyDescent="0.25">
      <c r="A932" s="714">
        <v>9148</v>
      </c>
      <c r="B932" s="715" t="s">
        <v>1385</v>
      </c>
      <c r="C932" s="714">
        <v>9436542069</v>
      </c>
      <c r="D932" s="718" t="s">
        <v>847</v>
      </c>
    </row>
    <row r="933" spans="1:4" x14ac:dyDescent="0.25">
      <c r="A933" s="714">
        <v>9149</v>
      </c>
      <c r="B933" s="715" t="s">
        <v>1386</v>
      </c>
      <c r="C933" s="714">
        <v>9436484812</v>
      </c>
      <c r="D933" s="718" t="s">
        <v>848</v>
      </c>
    </row>
    <row r="934" spans="1:4" x14ac:dyDescent="0.25">
      <c r="A934" s="714">
        <v>9150</v>
      </c>
      <c r="B934" s="720" t="s">
        <v>849</v>
      </c>
      <c r="C934" s="714">
        <v>9436129449</v>
      </c>
      <c r="D934" s="718" t="s">
        <v>850</v>
      </c>
    </row>
    <row r="935" spans="1:4" x14ac:dyDescent="0.25">
      <c r="A935" s="714">
        <v>9151</v>
      </c>
      <c r="B935" s="720" t="s">
        <v>851</v>
      </c>
      <c r="C935" s="721">
        <v>3812300137</v>
      </c>
      <c r="D935" s="718" t="s">
        <v>852</v>
      </c>
    </row>
    <row r="936" spans="1:4" x14ac:dyDescent="0.25">
      <c r="A936" s="714">
        <v>9153</v>
      </c>
      <c r="B936" s="720" t="s">
        <v>853</v>
      </c>
      <c r="C936" s="721">
        <v>3812750608</v>
      </c>
      <c r="D936" s="718" t="s">
        <v>854</v>
      </c>
    </row>
    <row r="937" spans="1:4" x14ac:dyDescent="0.25">
      <c r="A937" s="714">
        <v>9154</v>
      </c>
      <c r="B937" s="715" t="s">
        <v>1387</v>
      </c>
      <c r="C937" s="714">
        <v>3812415874</v>
      </c>
      <c r="D937" s="718" t="s">
        <v>855</v>
      </c>
    </row>
    <row r="938" spans="1:4" x14ac:dyDescent="0.3">
      <c r="A938" s="714">
        <v>9155</v>
      </c>
      <c r="B938" s="715" t="s">
        <v>1388</v>
      </c>
      <c r="C938" s="714">
        <v>3812356721</v>
      </c>
      <c r="D938" s="716"/>
    </row>
    <row r="939" spans="1:4" x14ac:dyDescent="0.25">
      <c r="A939" s="724">
        <v>9158</v>
      </c>
      <c r="B939" s="715" t="s">
        <v>856</v>
      </c>
      <c r="C939" s="721"/>
      <c r="D939" s="727" t="s">
        <v>857</v>
      </c>
    </row>
    <row r="940" spans="1:4" x14ac:dyDescent="0.3">
      <c r="A940" s="714">
        <v>9161</v>
      </c>
      <c r="B940" s="715" t="s">
        <v>1389</v>
      </c>
      <c r="C940" s="714">
        <v>2325734</v>
      </c>
      <c r="D940" s="716"/>
    </row>
    <row r="941" spans="1:4" x14ac:dyDescent="0.25">
      <c r="A941" s="714">
        <v>9162</v>
      </c>
      <c r="B941" s="720" t="s">
        <v>858</v>
      </c>
      <c r="C941" s="721">
        <v>8787500277</v>
      </c>
      <c r="D941" s="718" t="s">
        <v>859</v>
      </c>
    </row>
    <row r="942" spans="1:4" x14ac:dyDescent="0.25">
      <c r="A942" s="714">
        <v>9165</v>
      </c>
      <c r="B942" s="720" t="s">
        <v>860</v>
      </c>
      <c r="C942" s="721">
        <v>9436450501</v>
      </c>
      <c r="D942" s="718" t="s">
        <v>861</v>
      </c>
    </row>
    <row r="943" spans="1:4" x14ac:dyDescent="0.25">
      <c r="A943" s="714">
        <v>9166</v>
      </c>
      <c r="B943" s="720" t="s">
        <v>862</v>
      </c>
      <c r="C943" s="721">
        <v>9436926331</v>
      </c>
      <c r="D943" s="718" t="s">
        <v>863</v>
      </c>
    </row>
    <row r="944" spans="1:4" x14ac:dyDescent="0.25">
      <c r="A944" s="714">
        <v>9167</v>
      </c>
      <c r="B944" s="720" t="s">
        <v>864</v>
      </c>
      <c r="C944" s="721">
        <v>9436451555</v>
      </c>
      <c r="D944" s="718" t="s">
        <v>865</v>
      </c>
    </row>
    <row r="945" spans="1:4" x14ac:dyDescent="0.3">
      <c r="A945" s="714">
        <v>9168</v>
      </c>
      <c r="B945" s="720" t="s">
        <v>866</v>
      </c>
      <c r="C945" s="721">
        <v>3825265573</v>
      </c>
      <c r="D945" s="716"/>
    </row>
    <row r="946" spans="1:4" x14ac:dyDescent="0.25">
      <c r="A946" s="714">
        <v>9169</v>
      </c>
      <c r="B946" s="720" t="s">
        <v>867</v>
      </c>
      <c r="C946" s="721">
        <v>7005709452</v>
      </c>
      <c r="D946" s="718" t="s">
        <v>868</v>
      </c>
    </row>
    <row r="947" spans="1:4" x14ac:dyDescent="0.3">
      <c r="A947" s="714">
        <v>9172</v>
      </c>
      <c r="B947" s="715" t="s">
        <v>1390</v>
      </c>
      <c r="C947" s="714">
        <v>3812328232</v>
      </c>
      <c r="D947" s="716"/>
    </row>
    <row r="948" spans="1:4" x14ac:dyDescent="0.25">
      <c r="A948" s="714">
        <v>9176</v>
      </c>
      <c r="B948" s="715" t="s">
        <v>1391</v>
      </c>
      <c r="C948" s="714">
        <v>3812324919</v>
      </c>
      <c r="D948" s="718" t="s">
        <v>869</v>
      </c>
    </row>
    <row r="949" spans="1:4" x14ac:dyDescent="0.3">
      <c r="A949" s="714">
        <v>9183</v>
      </c>
      <c r="B949" s="715" t="s">
        <v>1392</v>
      </c>
      <c r="C949" s="714">
        <v>3812325930</v>
      </c>
      <c r="D949" s="716"/>
    </row>
    <row r="950" spans="1:4" x14ac:dyDescent="0.3">
      <c r="A950" s="714">
        <v>9185</v>
      </c>
      <c r="B950" s="715" t="s">
        <v>1393</v>
      </c>
      <c r="C950" s="714">
        <v>3812329034</v>
      </c>
      <c r="D950" s="716"/>
    </row>
    <row r="951" spans="1:4" x14ac:dyDescent="0.25">
      <c r="A951" s="714">
        <v>9186</v>
      </c>
      <c r="B951" s="715" t="s">
        <v>1394</v>
      </c>
      <c r="C951" s="714">
        <v>9402173960</v>
      </c>
      <c r="D951" s="718" t="s">
        <v>870</v>
      </c>
    </row>
    <row r="952" spans="1:4" x14ac:dyDescent="0.3">
      <c r="A952" s="714">
        <v>9188</v>
      </c>
      <c r="B952" s="715" t="s">
        <v>1395</v>
      </c>
      <c r="C952" s="714">
        <v>9436454355</v>
      </c>
      <c r="D952" s="716"/>
    </row>
    <row r="953" spans="1:4" x14ac:dyDescent="0.3">
      <c r="A953" s="714">
        <v>9189</v>
      </c>
      <c r="B953" s="715" t="s">
        <v>1396</v>
      </c>
      <c r="C953" s="714">
        <v>3812326252</v>
      </c>
      <c r="D953" s="716"/>
    </row>
    <row r="954" spans="1:4" x14ac:dyDescent="0.3">
      <c r="A954" s="714">
        <v>9190</v>
      </c>
      <c r="B954" s="715" t="s">
        <v>1397</v>
      </c>
      <c r="C954" s="714">
        <v>3812317061</v>
      </c>
      <c r="D954" s="716"/>
    </row>
    <row r="955" spans="1:4" x14ac:dyDescent="0.25">
      <c r="A955" s="714">
        <v>9191</v>
      </c>
      <c r="B955" s="715" t="s">
        <v>1398</v>
      </c>
      <c r="C955" s="714">
        <v>3812412214</v>
      </c>
      <c r="D955" s="718" t="s">
        <v>871</v>
      </c>
    </row>
    <row r="956" spans="1:4" x14ac:dyDescent="0.3">
      <c r="A956" s="714">
        <v>9193</v>
      </c>
      <c r="B956" s="715" t="s">
        <v>1399</v>
      </c>
      <c r="C956" s="714">
        <v>9436475646</v>
      </c>
      <c r="D956" s="716"/>
    </row>
    <row r="957" spans="1:4" x14ac:dyDescent="0.25">
      <c r="A957" s="714">
        <v>9194</v>
      </c>
      <c r="B957" s="715" t="s">
        <v>1400</v>
      </c>
      <c r="C957" s="714">
        <v>9436928284</v>
      </c>
      <c r="D957" s="718" t="s">
        <v>872</v>
      </c>
    </row>
    <row r="958" spans="1:4" x14ac:dyDescent="0.3">
      <c r="A958" s="714">
        <v>9195</v>
      </c>
      <c r="B958" s="715" t="s">
        <v>1401</v>
      </c>
      <c r="C958" s="726"/>
      <c r="D958" s="716"/>
    </row>
    <row r="959" spans="1:4" x14ac:dyDescent="0.25">
      <c r="A959" s="714">
        <v>9196</v>
      </c>
      <c r="B959" s="720" t="s">
        <v>873</v>
      </c>
      <c r="C959" s="721">
        <v>6033131629</v>
      </c>
      <c r="D959" s="718" t="s">
        <v>874</v>
      </c>
    </row>
    <row r="960" spans="1:4" x14ac:dyDescent="0.3">
      <c r="A960" s="714">
        <v>9226</v>
      </c>
      <c r="B960" s="715" t="s">
        <v>1402</v>
      </c>
      <c r="C960" s="714">
        <v>9436189503</v>
      </c>
      <c r="D960" s="716"/>
    </row>
    <row r="961" spans="1:4" x14ac:dyDescent="0.3">
      <c r="A961" s="714">
        <v>10001</v>
      </c>
      <c r="B961" s="715" t="s">
        <v>1403</v>
      </c>
      <c r="C961" s="714">
        <v>3812750222</v>
      </c>
      <c r="D961" s="716"/>
    </row>
    <row r="962" spans="1:4" x14ac:dyDescent="0.3">
      <c r="A962" s="714">
        <v>10003</v>
      </c>
      <c r="B962" s="720" t="s">
        <v>1611</v>
      </c>
      <c r="C962" s="714">
        <v>9436495576</v>
      </c>
      <c r="D962" s="716"/>
    </row>
    <row r="963" spans="1:4" x14ac:dyDescent="0.3">
      <c r="A963" s="714">
        <v>10004</v>
      </c>
      <c r="B963" s="715" t="s">
        <v>1404</v>
      </c>
      <c r="C963" s="714">
        <v>9856356498</v>
      </c>
      <c r="D963" s="716"/>
    </row>
    <row r="964" spans="1:4" x14ac:dyDescent="0.25">
      <c r="A964" s="714">
        <v>10008</v>
      </c>
      <c r="B964" s="715" t="s">
        <v>1405</v>
      </c>
      <c r="C964" s="714">
        <v>3812524626</v>
      </c>
      <c r="D964" s="718" t="s">
        <v>875</v>
      </c>
    </row>
    <row r="965" spans="1:4" x14ac:dyDescent="0.3">
      <c r="A965" s="714">
        <v>10012</v>
      </c>
      <c r="B965" s="720" t="s">
        <v>876</v>
      </c>
      <c r="C965" s="714">
        <v>9436132297</v>
      </c>
      <c r="D965" s="716"/>
    </row>
    <row r="966" spans="1:4" x14ac:dyDescent="0.3">
      <c r="A966" s="714">
        <v>10039</v>
      </c>
      <c r="B966" s="715" t="s">
        <v>1406</v>
      </c>
      <c r="C966" s="714">
        <v>9402332512</v>
      </c>
      <c r="D966" s="716"/>
    </row>
    <row r="967" spans="1:4" x14ac:dyDescent="0.3">
      <c r="A967" s="714">
        <v>10040</v>
      </c>
      <c r="B967" s="715" t="s">
        <v>1407</v>
      </c>
      <c r="C967" s="714">
        <v>9402140059</v>
      </c>
      <c r="D967" s="716"/>
    </row>
    <row r="968" spans="1:4" x14ac:dyDescent="0.25">
      <c r="A968" s="714">
        <v>10041</v>
      </c>
      <c r="B968" s="715" t="s">
        <v>1408</v>
      </c>
      <c r="C968" s="714">
        <v>9436470252</v>
      </c>
      <c r="D968" s="718" t="s">
        <v>877</v>
      </c>
    </row>
    <row r="969" spans="1:4" x14ac:dyDescent="0.3">
      <c r="A969" s="714">
        <v>10042</v>
      </c>
      <c r="B969" s="720" t="s">
        <v>878</v>
      </c>
      <c r="C969" s="721">
        <v>9436459659</v>
      </c>
      <c r="D969" s="716"/>
    </row>
    <row r="970" spans="1:4" x14ac:dyDescent="0.25">
      <c r="A970" s="714">
        <v>10044</v>
      </c>
      <c r="B970" s="715" t="s">
        <v>1409</v>
      </c>
      <c r="C970" s="714">
        <v>8415890564</v>
      </c>
      <c r="D970" s="718" t="s">
        <v>879</v>
      </c>
    </row>
    <row r="971" spans="1:4" x14ac:dyDescent="0.25">
      <c r="A971" s="714">
        <v>10045</v>
      </c>
      <c r="B971" s="720" t="s">
        <v>880</v>
      </c>
      <c r="C971" s="721">
        <v>8416015160</v>
      </c>
      <c r="D971" s="718" t="s">
        <v>881</v>
      </c>
    </row>
    <row r="972" spans="1:4" x14ac:dyDescent="0.3">
      <c r="A972" s="714">
        <v>10047</v>
      </c>
      <c r="B972" s="715" t="s">
        <v>1410</v>
      </c>
      <c r="C972" s="714">
        <v>9436473162</v>
      </c>
      <c r="D972" s="716"/>
    </row>
    <row r="973" spans="1:4" x14ac:dyDescent="0.3">
      <c r="A973" s="714">
        <v>10053</v>
      </c>
      <c r="B973" s="720" t="s">
        <v>882</v>
      </c>
      <c r="C973" s="721">
        <v>9862482698</v>
      </c>
      <c r="D973" s="716"/>
    </row>
    <row r="974" spans="1:4" x14ac:dyDescent="0.25">
      <c r="A974" s="714">
        <v>10054</v>
      </c>
      <c r="B974" s="715" t="s">
        <v>1411</v>
      </c>
      <c r="C974" s="714">
        <v>8414800574</v>
      </c>
      <c r="D974" s="718" t="s">
        <v>883</v>
      </c>
    </row>
    <row r="975" spans="1:4" x14ac:dyDescent="0.3">
      <c r="A975" s="714">
        <v>10069</v>
      </c>
      <c r="B975" s="715" t="s">
        <v>1412</v>
      </c>
      <c r="C975" s="714">
        <v>9436473162</v>
      </c>
      <c r="D975" s="716"/>
    </row>
    <row r="976" spans="1:4" x14ac:dyDescent="0.3">
      <c r="A976" s="714">
        <v>10071</v>
      </c>
      <c r="B976" s="715" t="s">
        <v>1413</v>
      </c>
      <c r="C976" s="714">
        <v>3812750000</v>
      </c>
      <c r="D976" s="716"/>
    </row>
    <row r="977" spans="1:4" x14ac:dyDescent="0.3">
      <c r="A977" s="714">
        <v>10072</v>
      </c>
      <c r="B977" s="715" t="s">
        <v>1414</v>
      </c>
      <c r="C977" s="714">
        <v>9436137650</v>
      </c>
      <c r="D977" s="716"/>
    </row>
    <row r="978" spans="1:4" x14ac:dyDescent="0.3">
      <c r="A978" s="714">
        <v>10073</v>
      </c>
      <c r="B978" s="715" t="s">
        <v>1415</v>
      </c>
      <c r="C978" s="714">
        <v>9436542060</v>
      </c>
      <c r="D978" s="716"/>
    </row>
    <row r="979" spans="1:4" x14ac:dyDescent="0.3">
      <c r="A979" s="714">
        <v>10099</v>
      </c>
      <c r="B979" s="715" t="s">
        <v>1416</v>
      </c>
      <c r="C979" s="714">
        <v>3812750252</v>
      </c>
      <c r="D979" s="716"/>
    </row>
    <row r="980" spans="1:4" x14ac:dyDescent="0.25">
      <c r="A980" s="714">
        <v>11006</v>
      </c>
      <c r="B980" s="715" t="s">
        <v>1417</v>
      </c>
      <c r="C980" s="714">
        <v>3821222331</v>
      </c>
      <c r="D980" s="718" t="s">
        <v>884</v>
      </c>
    </row>
    <row r="981" spans="1:4" x14ac:dyDescent="0.25">
      <c r="A981" s="714">
        <v>11007</v>
      </c>
      <c r="B981" s="715" t="s">
        <v>1418</v>
      </c>
      <c r="C981" s="714">
        <v>3821224052</v>
      </c>
      <c r="D981" s="718" t="s">
        <v>885</v>
      </c>
    </row>
    <row r="982" spans="1:4" x14ac:dyDescent="0.25">
      <c r="A982" s="714">
        <v>11011</v>
      </c>
      <c r="B982" s="715" t="s">
        <v>1419</v>
      </c>
      <c r="C982" s="714">
        <v>9436542401</v>
      </c>
      <c r="D982" s="718" t="s">
        <v>886</v>
      </c>
    </row>
    <row r="983" spans="1:4" x14ac:dyDescent="0.25">
      <c r="A983" s="714">
        <v>11012</v>
      </c>
      <c r="B983" s="720" t="s">
        <v>887</v>
      </c>
      <c r="C983" s="721">
        <v>3821222083</v>
      </c>
      <c r="D983" s="718" t="s">
        <v>888</v>
      </c>
    </row>
    <row r="984" spans="1:4" x14ac:dyDescent="0.3">
      <c r="A984" s="714">
        <v>11014</v>
      </c>
      <c r="B984" s="715" t="s">
        <v>1420</v>
      </c>
      <c r="C984" s="714">
        <v>3821222248</v>
      </c>
      <c r="D984" s="716"/>
    </row>
    <row r="985" spans="1:4" x14ac:dyDescent="0.25">
      <c r="A985" s="714">
        <v>11015</v>
      </c>
      <c r="B985" s="720" t="s">
        <v>889</v>
      </c>
      <c r="C985" s="714">
        <v>9774247689</v>
      </c>
      <c r="D985" s="718" t="s">
        <v>890</v>
      </c>
    </row>
    <row r="986" spans="1:4" x14ac:dyDescent="0.3">
      <c r="A986" s="714">
        <v>11017</v>
      </c>
      <c r="B986" s="715" t="s">
        <v>1421</v>
      </c>
      <c r="C986" s="714">
        <v>3821222243</v>
      </c>
      <c r="D986" s="716"/>
    </row>
    <row r="987" spans="1:4" x14ac:dyDescent="0.25">
      <c r="A987" s="714">
        <v>11018</v>
      </c>
      <c r="B987" s="715" t="s">
        <v>1422</v>
      </c>
      <c r="C987" s="714">
        <v>9436136500</v>
      </c>
      <c r="D987" s="718" t="s">
        <v>891</v>
      </c>
    </row>
    <row r="988" spans="1:4" x14ac:dyDescent="0.3">
      <c r="A988" s="714">
        <v>11019</v>
      </c>
      <c r="B988" s="720" t="s">
        <v>892</v>
      </c>
      <c r="C988" s="721">
        <v>3821223819</v>
      </c>
      <c r="D988" s="716"/>
    </row>
    <row r="989" spans="1:4" x14ac:dyDescent="0.25">
      <c r="A989" s="714">
        <v>11020</v>
      </c>
      <c r="B989" s="715" t="s">
        <v>1423</v>
      </c>
      <c r="C989" s="714">
        <v>3821222250</v>
      </c>
      <c r="D989" s="718" t="s">
        <v>893</v>
      </c>
    </row>
    <row r="990" spans="1:4" x14ac:dyDescent="0.3">
      <c r="A990" s="714">
        <v>11021</v>
      </c>
      <c r="B990" s="720" t="s">
        <v>894</v>
      </c>
      <c r="C990" s="721">
        <v>3821222242</v>
      </c>
      <c r="D990" s="716"/>
    </row>
    <row r="991" spans="1:4" x14ac:dyDescent="0.25">
      <c r="A991" s="714">
        <v>11022</v>
      </c>
      <c r="B991" s="720" t="s">
        <v>895</v>
      </c>
      <c r="C991" s="721">
        <v>3821222224</v>
      </c>
      <c r="D991" s="718" t="s">
        <v>896</v>
      </c>
    </row>
    <row r="992" spans="1:4" x14ac:dyDescent="0.3">
      <c r="A992" s="714">
        <v>11024</v>
      </c>
      <c r="B992" s="715" t="s">
        <v>1424</v>
      </c>
      <c r="C992" s="714">
        <v>3821223497</v>
      </c>
      <c r="D992" s="716"/>
    </row>
    <row r="993" spans="1:4" x14ac:dyDescent="0.3">
      <c r="A993" s="714">
        <v>11025</v>
      </c>
      <c r="B993" s="715" t="s">
        <v>1425</v>
      </c>
      <c r="C993" s="714">
        <v>9436499926</v>
      </c>
      <c r="D993" s="716"/>
    </row>
    <row r="994" spans="1:4" x14ac:dyDescent="0.25">
      <c r="A994" s="714">
        <v>11026</v>
      </c>
      <c r="B994" s="715" t="s">
        <v>1426</v>
      </c>
      <c r="C994" s="714">
        <v>3821223724</v>
      </c>
      <c r="D994" s="728"/>
    </row>
    <row r="995" spans="1:4" x14ac:dyDescent="0.25">
      <c r="A995" s="714">
        <v>11030</v>
      </c>
      <c r="B995" s="720" t="s">
        <v>897</v>
      </c>
      <c r="C995" s="721">
        <v>9436581249</v>
      </c>
      <c r="D995" s="718" t="s">
        <v>898</v>
      </c>
    </row>
    <row r="996" spans="1:4" x14ac:dyDescent="0.3">
      <c r="A996" s="714">
        <v>11031</v>
      </c>
      <c r="B996" s="715" t="s">
        <v>1427</v>
      </c>
      <c r="C996" s="714">
        <v>3821222486</v>
      </c>
      <c r="D996" s="716"/>
    </row>
    <row r="997" spans="1:4" x14ac:dyDescent="0.25">
      <c r="A997" s="714">
        <v>11033</v>
      </c>
      <c r="B997" s="715" t="s">
        <v>1428</v>
      </c>
      <c r="C997" s="714">
        <v>9862174661</v>
      </c>
      <c r="D997" s="718" t="s">
        <v>899</v>
      </c>
    </row>
    <row r="998" spans="1:4" x14ac:dyDescent="0.25">
      <c r="A998" s="714">
        <v>11034</v>
      </c>
      <c r="B998" s="720" t="s">
        <v>900</v>
      </c>
      <c r="C998" s="714">
        <v>3821222274</v>
      </c>
      <c r="D998" s="718" t="s">
        <v>901</v>
      </c>
    </row>
    <row r="999" spans="1:4" x14ac:dyDescent="0.3">
      <c r="A999" s="714">
        <v>11035</v>
      </c>
      <c r="B999" s="715" t="s">
        <v>1429</v>
      </c>
      <c r="C999" s="714">
        <v>3821222415</v>
      </c>
      <c r="D999" s="716"/>
    </row>
    <row r="1000" spans="1:4" x14ac:dyDescent="0.3">
      <c r="A1000" s="714">
        <v>11036</v>
      </c>
      <c r="B1000" s="715" t="s">
        <v>1430</v>
      </c>
      <c r="C1000" s="714">
        <v>3821222238</v>
      </c>
      <c r="D1000" s="716"/>
    </row>
    <row r="1001" spans="1:4" x14ac:dyDescent="0.25">
      <c r="A1001" s="714">
        <v>11037</v>
      </c>
      <c r="B1001" s="715" t="s">
        <v>1431</v>
      </c>
      <c r="C1001" s="714">
        <v>9436133887</v>
      </c>
      <c r="D1001" s="718" t="s">
        <v>902</v>
      </c>
    </row>
    <row r="1002" spans="1:4" x14ac:dyDescent="0.25">
      <c r="A1002" s="714">
        <v>11069</v>
      </c>
      <c r="B1002" s="720" t="s">
        <v>903</v>
      </c>
      <c r="C1002" s="721">
        <v>3821222194</v>
      </c>
      <c r="D1002" s="718" t="s">
        <v>904</v>
      </c>
    </row>
    <row r="1003" spans="1:4" x14ac:dyDescent="0.3">
      <c r="A1003" s="714">
        <v>11071</v>
      </c>
      <c r="B1003" s="720" t="s">
        <v>905</v>
      </c>
      <c r="C1003" s="721">
        <v>9856140969</v>
      </c>
      <c r="D1003" s="716"/>
    </row>
    <row r="1004" spans="1:4" x14ac:dyDescent="0.25">
      <c r="A1004" s="714">
        <v>11073</v>
      </c>
      <c r="B1004" s="715" t="s">
        <v>1432</v>
      </c>
      <c r="C1004" s="714">
        <v>3821222375</v>
      </c>
      <c r="D1004" s="718" t="s">
        <v>906</v>
      </c>
    </row>
    <row r="1005" spans="1:4" x14ac:dyDescent="0.3">
      <c r="A1005" s="714">
        <v>11075</v>
      </c>
      <c r="B1005" s="715" t="s">
        <v>1433</v>
      </c>
      <c r="C1005" s="714">
        <v>3821265227</v>
      </c>
      <c r="D1005" s="716"/>
    </row>
    <row r="1006" spans="1:4" x14ac:dyDescent="0.3">
      <c r="A1006" s="714">
        <v>11078</v>
      </c>
      <c r="B1006" s="720" t="s">
        <v>907</v>
      </c>
      <c r="C1006" s="721">
        <v>9863243222</v>
      </c>
      <c r="D1006" s="716"/>
    </row>
    <row r="1007" spans="1:4" x14ac:dyDescent="0.25">
      <c r="A1007" s="714">
        <v>11079</v>
      </c>
      <c r="B1007" s="715" t="s">
        <v>1434</v>
      </c>
      <c r="C1007" s="714">
        <v>9862519763</v>
      </c>
      <c r="D1007" s="718" t="s">
        <v>908</v>
      </c>
    </row>
    <row r="1008" spans="1:4" x14ac:dyDescent="0.3">
      <c r="A1008" s="714">
        <v>11080</v>
      </c>
      <c r="B1008" s="715" t="s">
        <v>1435</v>
      </c>
      <c r="C1008" s="714">
        <v>9436135419</v>
      </c>
      <c r="D1008" s="716"/>
    </row>
    <row r="1009" spans="1:4" x14ac:dyDescent="0.25">
      <c r="A1009" s="714">
        <v>11081</v>
      </c>
      <c r="B1009" s="720" t="s">
        <v>909</v>
      </c>
      <c r="C1009" s="721">
        <v>3821223524</v>
      </c>
      <c r="D1009" s="718" t="s">
        <v>910</v>
      </c>
    </row>
    <row r="1010" spans="1:4" x14ac:dyDescent="0.25">
      <c r="A1010" s="714">
        <v>11082</v>
      </c>
      <c r="B1010" s="715" t="s">
        <v>1436</v>
      </c>
      <c r="C1010" s="714">
        <v>9436482923</v>
      </c>
      <c r="D1010" s="718" t="s">
        <v>911</v>
      </c>
    </row>
    <row r="1011" spans="1:4" x14ac:dyDescent="0.25">
      <c r="A1011" s="714">
        <v>11083</v>
      </c>
      <c r="B1011" s="715" t="s">
        <v>1437</v>
      </c>
      <c r="C1011" s="714">
        <v>3821222258</v>
      </c>
      <c r="D1011" s="718" t="s">
        <v>912</v>
      </c>
    </row>
    <row r="1012" spans="1:4" x14ac:dyDescent="0.25">
      <c r="A1012" s="714">
        <v>11085</v>
      </c>
      <c r="B1012" s="720" t="s">
        <v>913</v>
      </c>
      <c r="C1012" s="721">
        <v>9436130611</v>
      </c>
      <c r="D1012" s="718" t="s">
        <v>914</v>
      </c>
    </row>
    <row r="1013" spans="1:4" x14ac:dyDescent="0.3">
      <c r="A1013" s="714">
        <v>11088</v>
      </c>
      <c r="B1013" s="715" t="s">
        <v>1438</v>
      </c>
      <c r="C1013" s="714">
        <v>3821222378</v>
      </c>
      <c r="D1013" s="716"/>
    </row>
    <row r="1014" spans="1:4" x14ac:dyDescent="0.3">
      <c r="A1014" s="714">
        <v>11089</v>
      </c>
      <c r="B1014" s="715" t="s">
        <v>1191</v>
      </c>
      <c r="C1014" s="714">
        <v>3821223504</v>
      </c>
      <c r="D1014" s="716"/>
    </row>
    <row r="1015" spans="1:4" x14ac:dyDescent="0.3">
      <c r="A1015" s="714">
        <v>11090</v>
      </c>
      <c r="B1015" s="715" t="s">
        <v>1439</v>
      </c>
      <c r="C1015" s="714">
        <v>3821222265</v>
      </c>
      <c r="D1015" s="716"/>
    </row>
    <row r="1016" spans="1:4" x14ac:dyDescent="0.25">
      <c r="A1016" s="714">
        <v>11093</v>
      </c>
      <c r="B1016" s="715" t="s">
        <v>1440</v>
      </c>
      <c r="C1016" s="714">
        <v>8787837281</v>
      </c>
      <c r="D1016" s="718" t="s">
        <v>915</v>
      </c>
    </row>
    <row r="1017" spans="1:4" x14ac:dyDescent="0.25">
      <c r="A1017" s="714">
        <v>11096</v>
      </c>
      <c r="B1017" s="715" t="s">
        <v>1441</v>
      </c>
      <c r="C1017" s="714">
        <v>9856140969</v>
      </c>
      <c r="D1017" s="718" t="s">
        <v>916</v>
      </c>
    </row>
    <row r="1018" spans="1:4" x14ac:dyDescent="0.25">
      <c r="A1018" s="714">
        <v>11098</v>
      </c>
      <c r="B1018" s="715" t="s">
        <v>1442</v>
      </c>
      <c r="C1018" s="714">
        <v>8732831878</v>
      </c>
      <c r="D1018" s="718" t="s">
        <v>917</v>
      </c>
    </row>
    <row r="1019" spans="1:4" x14ac:dyDescent="0.25">
      <c r="A1019" s="714">
        <v>11099</v>
      </c>
      <c r="B1019" s="715" t="s">
        <v>1443</v>
      </c>
      <c r="C1019" s="714">
        <v>3821225285</v>
      </c>
      <c r="D1019" s="718" t="s">
        <v>918</v>
      </c>
    </row>
    <row r="1020" spans="1:4" x14ac:dyDescent="0.3">
      <c r="A1020" s="714">
        <v>11100</v>
      </c>
      <c r="B1020" s="715" t="s">
        <v>1444</v>
      </c>
      <c r="C1020" s="714">
        <v>9436770023</v>
      </c>
      <c r="D1020" s="716"/>
    </row>
    <row r="1021" spans="1:4" x14ac:dyDescent="0.25">
      <c r="A1021" s="714">
        <v>11101</v>
      </c>
      <c r="B1021" s="720" t="s">
        <v>919</v>
      </c>
      <c r="C1021" s="721">
        <v>9436455961</v>
      </c>
      <c r="D1021" s="718" t="s">
        <v>920</v>
      </c>
    </row>
    <row r="1022" spans="1:4" x14ac:dyDescent="0.25">
      <c r="A1022" s="714">
        <v>11102</v>
      </c>
      <c r="B1022" s="720" t="s">
        <v>921</v>
      </c>
      <c r="C1022" s="721">
        <v>3821222333</v>
      </c>
      <c r="D1022" s="718" t="s">
        <v>922</v>
      </c>
    </row>
    <row r="1023" spans="1:4" x14ac:dyDescent="0.25">
      <c r="A1023" s="714">
        <v>11103</v>
      </c>
      <c r="B1023" s="720" t="s">
        <v>923</v>
      </c>
      <c r="C1023" s="714">
        <v>9436136804</v>
      </c>
      <c r="D1023" s="718" t="s">
        <v>924</v>
      </c>
    </row>
    <row r="1024" spans="1:4" x14ac:dyDescent="0.3">
      <c r="A1024" s="714">
        <v>11105</v>
      </c>
      <c r="B1024" s="715" t="s">
        <v>1445</v>
      </c>
      <c r="C1024" s="714">
        <v>3821225799</v>
      </c>
      <c r="D1024" s="716"/>
    </row>
    <row r="1025" spans="1:4" x14ac:dyDescent="0.25">
      <c r="A1025" s="714">
        <v>11110</v>
      </c>
      <c r="B1025" s="715" t="s">
        <v>1446</v>
      </c>
      <c r="C1025" s="714">
        <v>3823252297</v>
      </c>
      <c r="D1025" s="718" t="s">
        <v>925</v>
      </c>
    </row>
    <row r="1026" spans="1:4" x14ac:dyDescent="0.3">
      <c r="A1026" s="714">
        <v>11111</v>
      </c>
      <c r="B1026" s="720" t="s">
        <v>926</v>
      </c>
      <c r="C1026" s="721">
        <v>3821223195</v>
      </c>
      <c r="D1026" s="716"/>
    </row>
    <row r="1027" spans="1:4" x14ac:dyDescent="0.3">
      <c r="A1027" s="714">
        <v>11112</v>
      </c>
      <c r="B1027" s="715" t="s">
        <v>1447</v>
      </c>
      <c r="C1027" s="714">
        <v>3821222827</v>
      </c>
      <c r="D1027" s="716"/>
    </row>
    <row r="1028" spans="1:4" x14ac:dyDescent="0.25">
      <c r="A1028" s="714">
        <v>11113</v>
      </c>
      <c r="B1028" s="720" t="s">
        <v>927</v>
      </c>
      <c r="C1028" s="721">
        <v>3821222984</v>
      </c>
      <c r="D1028" s="718" t="s">
        <v>924</v>
      </c>
    </row>
    <row r="1029" spans="1:4" x14ac:dyDescent="0.25">
      <c r="A1029" s="714">
        <v>11117</v>
      </c>
      <c r="B1029" s="715" t="s">
        <v>1448</v>
      </c>
      <c r="C1029" s="714">
        <v>9436130106</v>
      </c>
      <c r="D1029" s="718" t="s">
        <v>928</v>
      </c>
    </row>
    <row r="1030" spans="1:4" x14ac:dyDescent="0.25">
      <c r="A1030" s="714">
        <v>11119</v>
      </c>
      <c r="B1030" s="715" t="s">
        <v>1449</v>
      </c>
      <c r="C1030" s="714">
        <v>8119938279</v>
      </c>
      <c r="D1030" s="718" t="s">
        <v>929</v>
      </c>
    </row>
    <row r="1031" spans="1:4" x14ac:dyDescent="0.25">
      <c r="A1031" s="714">
        <v>11120</v>
      </c>
      <c r="B1031" s="715" t="s">
        <v>1450</v>
      </c>
      <c r="C1031" s="714">
        <v>3821224631</v>
      </c>
      <c r="D1031" s="718" t="s">
        <v>930</v>
      </c>
    </row>
    <row r="1032" spans="1:4" x14ac:dyDescent="0.3">
      <c r="A1032" s="714">
        <v>11122</v>
      </c>
      <c r="B1032" s="715" t="s">
        <v>1451</v>
      </c>
      <c r="C1032" s="714">
        <v>9402596568</v>
      </c>
      <c r="D1032" s="716"/>
    </row>
    <row r="1033" spans="1:4" x14ac:dyDescent="0.25">
      <c r="A1033" s="714">
        <v>11123</v>
      </c>
      <c r="B1033" s="715" t="s">
        <v>1452</v>
      </c>
      <c r="C1033" s="714">
        <v>3821222296</v>
      </c>
      <c r="D1033" s="718" t="s">
        <v>931</v>
      </c>
    </row>
    <row r="1034" spans="1:4" x14ac:dyDescent="0.3">
      <c r="A1034" s="714">
        <v>11126</v>
      </c>
      <c r="B1034" s="715" t="s">
        <v>1453</v>
      </c>
      <c r="C1034" s="714">
        <v>3821222441</v>
      </c>
      <c r="D1034" s="716"/>
    </row>
    <row r="1035" spans="1:4" x14ac:dyDescent="0.3">
      <c r="A1035" s="714">
        <v>11127</v>
      </c>
      <c r="B1035" s="715" t="s">
        <v>1454</v>
      </c>
      <c r="C1035" s="714">
        <v>9436182802</v>
      </c>
      <c r="D1035" s="716"/>
    </row>
    <row r="1036" spans="1:4" x14ac:dyDescent="0.3">
      <c r="A1036" s="714">
        <v>11128</v>
      </c>
      <c r="B1036" s="720" t="s">
        <v>932</v>
      </c>
      <c r="C1036" s="721">
        <v>9436524088</v>
      </c>
      <c r="D1036" s="716"/>
    </row>
    <row r="1037" spans="1:4" x14ac:dyDescent="0.3">
      <c r="A1037" s="714">
        <v>11129</v>
      </c>
      <c r="B1037" s="715" t="s">
        <v>1455</v>
      </c>
      <c r="C1037" s="714">
        <v>9862163499</v>
      </c>
      <c r="D1037" s="716"/>
    </row>
    <row r="1038" spans="1:4" x14ac:dyDescent="0.3">
      <c r="A1038" s="714">
        <v>11130</v>
      </c>
      <c r="B1038" s="715" t="s">
        <v>1456</v>
      </c>
      <c r="C1038" s="714">
        <v>9862988977</v>
      </c>
      <c r="D1038" s="716"/>
    </row>
    <row r="1039" spans="1:4" x14ac:dyDescent="0.25">
      <c r="A1039" s="714">
        <v>11131</v>
      </c>
      <c r="B1039" s="720" t="s">
        <v>933</v>
      </c>
      <c r="C1039" s="714">
        <v>9436169660</v>
      </c>
      <c r="D1039" s="718" t="s">
        <v>934</v>
      </c>
    </row>
    <row r="1040" spans="1:4" x14ac:dyDescent="0.25">
      <c r="A1040" s="714">
        <v>12003</v>
      </c>
      <c r="B1040" s="715" t="s">
        <v>1457</v>
      </c>
      <c r="C1040" s="714">
        <v>9436569901</v>
      </c>
      <c r="D1040" s="718" t="s">
        <v>935</v>
      </c>
    </row>
    <row r="1041" spans="1:4" x14ac:dyDescent="0.25">
      <c r="A1041" s="714">
        <v>12004</v>
      </c>
      <c r="B1041" s="715" t="s">
        <v>1458</v>
      </c>
      <c r="C1041" s="714">
        <v>9612285101</v>
      </c>
      <c r="D1041" s="718" t="s">
        <v>936</v>
      </c>
    </row>
    <row r="1042" spans="1:4" x14ac:dyDescent="0.25">
      <c r="A1042" s="714">
        <v>12007</v>
      </c>
      <c r="B1042" s="720" t="s">
        <v>937</v>
      </c>
      <c r="C1042" s="721">
        <v>9402317461</v>
      </c>
      <c r="D1042" s="718" t="s">
        <v>938</v>
      </c>
    </row>
    <row r="1043" spans="1:4" x14ac:dyDescent="0.25">
      <c r="A1043" s="714">
        <v>12008</v>
      </c>
      <c r="B1043" s="720" t="s">
        <v>939</v>
      </c>
      <c r="C1043" s="721">
        <v>8974781477</v>
      </c>
      <c r="D1043" s="718" t="s">
        <v>940</v>
      </c>
    </row>
    <row r="1044" spans="1:4" x14ac:dyDescent="0.25">
      <c r="A1044" s="714">
        <v>12012</v>
      </c>
      <c r="B1044" s="715" t="s">
        <v>1459</v>
      </c>
      <c r="C1044" s="714">
        <v>9436126247</v>
      </c>
      <c r="D1044" s="718" t="s">
        <v>941</v>
      </c>
    </row>
    <row r="1045" spans="1:4" x14ac:dyDescent="0.25">
      <c r="A1045" s="714">
        <v>12025</v>
      </c>
      <c r="B1045" s="715" t="s">
        <v>1460</v>
      </c>
      <c r="C1045" s="714">
        <v>9436365627</v>
      </c>
      <c r="D1045" s="718" t="s">
        <v>942</v>
      </c>
    </row>
    <row r="1046" spans="1:4" x14ac:dyDescent="0.25">
      <c r="A1046" s="714">
        <v>12026</v>
      </c>
      <c r="B1046" s="715" t="s">
        <v>1461</v>
      </c>
      <c r="C1046" s="714">
        <v>9436169961</v>
      </c>
      <c r="D1046" s="718" t="s">
        <v>943</v>
      </c>
    </row>
    <row r="1047" spans="1:4" x14ac:dyDescent="0.25">
      <c r="A1047" s="714">
        <v>12027</v>
      </c>
      <c r="B1047" s="715" t="s">
        <v>1462</v>
      </c>
      <c r="C1047" s="714">
        <v>9862869280</v>
      </c>
      <c r="D1047" s="718" t="s">
        <v>944</v>
      </c>
    </row>
    <row r="1048" spans="1:4" x14ac:dyDescent="0.3">
      <c r="A1048" s="714">
        <v>12028</v>
      </c>
      <c r="B1048" s="715" t="s">
        <v>1463</v>
      </c>
      <c r="C1048" s="714">
        <v>9862040350</v>
      </c>
      <c r="D1048" s="716"/>
    </row>
    <row r="1049" spans="1:4" x14ac:dyDescent="0.3">
      <c r="A1049" s="714">
        <v>12032</v>
      </c>
      <c r="B1049" s="715" t="s">
        <v>1464</v>
      </c>
      <c r="C1049" s="714">
        <v>9436365627</v>
      </c>
      <c r="D1049" s="716"/>
    </row>
    <row r="1050" spans="1:4" x14ac:dyDescent="0.25">
      <c r="A1050" s="714">
        <v>12033</v>
      </c>
      <c r="B1050" s="715" t="s">
        <v>1465</v>
      </c>
      <c r="C1050" s="714">
        <v>9436365627</v>
      </c>
      <c r="D1050" s="718" t="s">
        <v>945</v>
      </c>
    </row>
    <row r="1051" spans="1:4" x14ac:dyDescent="0.25">
      <c r="A1051" s="714">
        <v>12034</v>
      </c>
      <c r="B1051" s="720" t="s">
        <v>946</v>
      </c>
      <c r="C1051" s="721">
        <v>9436473017</v>
      </c>
      <c r="D1051" s="718" t="s">
        <v>947</v>
      </c>
    </row>
    <row r="1052" spans="1:4" x14ac:dyDescent="0.25">
      <c r="A1052" s="714">
        <v>12037</v>
      </c>
      <c r="B1052" s="715" t="s">
        <v>1466</v>
      </c>
      <c r="C1052" s="714">
        <v>9436130611</v>
      </c>
      <c r="D1052" s="728"/>
    </row>
    <row r="1053" spans="1:4" x14ac:dyDescent="0.25">
      <c r="A1053" s="714">
        <v>12040</v>
      </c>
      <c r="B1053" s="720" t="s">
        <v>948</v>
      </c>
      <c r="C1053" s="721">
        <v>8575916261</v>
      </c>
      <c r="D1053" s="718" t="s">
        <v>949</v>
      </c>
    </row>
    <row r="1054" spans="1:4" x14ac:dyDescent="0.3">
      <c r="A1054" s="714">
        <v>12042</v>
      </c>
      <c r="B1054" s="720" t="s">
        <v>950</v>
      </c>
      <c r="C1054" s="721">
        <v>9436188896</v>
      </c>
      <c r="D1054" s="716"/>
    </row>
    <row r="1055" spans="1:4" x14ac:dyDescent="0.25">
      <c r="A1055" s="714">
        <v>12045</v>
      </c>
      <c r="B1055" s="720" t="s">
        <v>951</v>
      </c>
      <c r="C1055" s="721">
        <v>7085393174</v>
      </c>
      <c r="D1055" s="718" t="s">
        <v>952</v>
      </c>
    </row>
    <row r="1056" spans="1:4" x14ac:dyDescent="0.25">
      <c r="A1056" s="714">
        <v>12048</v>
      </c>
      <c r="B1056" s="720" t="s">
        <v>953</v>
      </c>
      <c r="C1056" s="721">
        <v>8119908048</v>
      </c>
      <c r="D1056" s="718" t="s">
        <v>954</v>
      </c>
    </row>
    <row r="1057" spans="1:4" x14ac:dyDescent="0.25">
      <c r="A1057" s="714">
        <v>12049</v>
      </c>
      <c r="B1057" s="720" t="s">
        <v>955</v>
      </c>
      <c r="C1057" s="721">
        <v>9402317461</v>
      </c>
      <c r="D1057" s="718" t="s">
        <v>938</v>
      </c>
    </row>
    <row r="1058" spans="1:4" x14ac:dyDescent="0.25">
      <c r="A1058" s="714">
        <v>12052</v>
      </c>
      <c r="B1058" s="715" t="s">
        <v>1467</v>
      </c>
      <c r="C1058" s="714">
        <v>9402163469</v>
      </c>
      <c r="D1058" s="718" t="s">
        <v>956</v>
      </c>
    </row>
    <row r="1059" spans="1:4" x14ac:dyDescent="0.25">
      <c r="A1059" s="714">
        <v>12055</v>
      </c>
      <c r="B1059" s="715" t="s">
        <v>1468</v>
      </c>
      <c r="C1059" s="714">
        <v>9862629045</v>
      </c>
      <c r="D1059" s="718" t="s">
        <v>957</v>
      </c>
    </row>
    <row r="1060" spans="1:4" x14ac:dyDescent="0.25">
      <c r="A1060" s="714">
        <v>12056</v>
      </c>
      <c r="B1060" s="715" t="s">
        <v>1469</v>
      </c>
      <c r="C1060" s="714">
        <v>9436381052</v>
      </c>
      <c r="D1060" s="718" t="s">
        <v>958</v>
      </c>
    </row>
    <row r="1061" spans="1:4" x14ac:dyDescent="0.25">
      <c r="A1061" s="714">
        <v>12057</v>
      </c>
      <c r="B1061" s="715" t="s">
        <v>1470</v>
      </c>
      <c r="C1061" s="714">
        <v>9436182802</v>
      </c>
      <c r="D1061" s="718" t="s">
        <v>959</v>
      </c>
    </row>
    <row r="1062" spans="1:4" x14ac:dyDescent="0.25">
      <c r="A1062" s="714">
        <v>12058</v>
      </c>
      <c r="B1062" s="715" t="s">
        <v>1471</v>
      </c>
      <c r="C1062" s="714">
        <v>8131892336</v>
      </c>
      <c r="D1062" s="718" t="s">
        <v>960</v>
      </c>
    </row>
    <row r="1063" spans="1:4" x14ac:dyDescent="0.25">
      <c r="A1063" s="714">
        <v>12059</v>
      </c>
      <c r="B1063" s="715" t="s">
        <v>1472</v>
      </c>
      <c r="C1063" s="714">
        <v>9862643764</v>
      </c>
      <c r="D1063" s="718" t="s">
        <v>961</v>
      </c>
    </row>
    <row r="1064" spans="1:4" x14ac:dyDescent="0.25">
      <c r="A1064" s="714">
        <v>12060</v>
      </c>
      <c r="B1064" s="715" t="s">
        <v>1473</v>
      </c>
      <c r="C1064" s="714">
        <v>9615311186</v>
      </c>
      <c r="D1064" s="718" t="s">
        <v>962</v>
      </c>
    </row>
    <row r="1065" spans="1:4" x14ac:dyDescent="0.25">
      <c r="A1065" s="714">
        <v>12070</v>
      </c>
      <c r="B1065" s="715" t="s">
        <v>963</v>
      </c>
      <c r="C1065" s="714"/>
      <c r="D1065" s="718"/>
    </row>
    <row r="1066" spans="1:4" x14ac:dyDescent="0.3">
      <c r="A1066" s="714">
        <v>13006</v>
      </c>
      <c r="B1066" s="715" t="s">
        <v>1474</v>
      </c>
      <c r="C1066" s="726"/>
      <c r="D1066" s="716"/>
    </row>
    <row r="1067" spans="1:4" x14ac:dyDescent="0.3">
      <c r="A1067" s="714">
        <v>13007</v>
      </c>
      <c r="B1067" s="715" t="s">
        <v>1475</v>
      </c>
      <c r="C1067" s="726"/>
      <c r="D1067" s="718" t="s">
        <v>964</v>
      </c>
    </row>
    <row r="1068" spans="1:4" x14ac:dyDescent="0.25">
      <c r="A1068" s="714">
        <v>13012</v>
      </c>
      <c r="B1068" s="715" t="s">
        <v>1476</v>
      </c>
      <c r="C1068" s="721"/>
      <c r="D1068" s="718" t="s">
        <v>965</v>
      </c>
    </row>
    <row r="1069" spans="1:4" x14ac:dyDescent="0.3">
      <c r="A1069" s="714">
        <v>13015</v>
      </c>
      <c r="B1069" s="715" t="s">
        <v>1477</v>
      </c>
      <c r="C1069" s="726"/>
      <c r="D1069" s="716"/>
    </row>
    <row r="1070" spans="1:4" x14ac:dyDescent="0.3">
      <c r="A1070" s="714">
        <v>13043</v>
      </c>
      <c r="B1070" s="720" t="s">
        <v>534</v>
      </c>
      <c r="C1070" s="726"/>
      <c r="D1070" s="716"/>
    </row>
    <row r="1071" spans="1:4" x14ac:dyDescent="0.3">
      <c r="A1071" s="714">
        <v>13045</v>
      </c>
      <c r="B1071" s="715" t="s">
        <v>1478</v>
      </c>
      <c r="C1071" s="726"/>
      <c r="D1071" s="716"/>
    </row>
    <row r="1072" spans="1:4" x14ac:dyDescent="0.3">
      <c r="A1072" s="714">
        <v>13046</v>
      </c>
      <c r="B1072" s="715" t="s">
        <v>1479</v>
      </c>
      <c r="C1072" s="726"/>
      <c r="D1072" s="718" t="s">
        <v>966</v>
      </c>
    </row>
    <row r="1073" spans="1:4" x14ac:dyDescent="0.25">
      <c r="A1073" s="714">
        <v>13047</v>
      </c>
      <c r="B1073" s="720" t="s">
        <v>967</v>
      </c>
      <c r="C1073" s="721">
        <v>9862988729</v>
      </c>
      <c r="D1073" s="718" t="s">
        <v>968</v>
      </c>
    </row>
    <row r="1074" spans="1:4" x14ac:dyDescent="0.3">
      <c r="A1074" s="714">
        <v>13049</v>
      </c>
      <c r="B1074" s="715" t="s">
        <v>1480</v>
      </c>
      <c r="C1074" s="726"/>
      <c r="D1074" s="716"/>
    </row>
    <row r="1075" spans="1:4" x14ac:dyDescent="0.3">
      <c r="A1075" s="714">
        <v>13051</v>
      </c>
      <c r="B1075" s="715" t="s">
        <v>1481</v>
      </c>
      <c r="C1075" s="714">
        <v>3823224812</v>
      </c>
      <c r="D1075" s="716"/>
    </row>
    <row r="1076" spans="1:4" x14ac:dyDescent="0.3">
      <c r="A1076" s="714">
        <v>13052</v>
      </c>
      <c r="B1076" s="715" t="s">
        <v>1482</v>
      </c>
      <c r="C1076" s="726"/>
      <c r="D1076" s="718" t="s">
        <v>969</v>
      </c>
    </row>
    <row r="1077" spans="1:4" x14ac:dyDescent="0.25">
      <c r="A1077" s="714">
        <v>13058</v>
      </c>
      <c r="B1077" s="715" t="s">
        <v>1483</v>
      </c>
      <c r="C1077" s="721"/>
      <c r="D1077" s="718" t="s">
        <v>970</v>
      </c>
    </row>
    <row r="1078" spans="1:4" x14ac:dyDescent="0.3">
      <c r="A1078" s="714">
        <v>13060</v>
      </c>
      <c r="B1078" s="715" t="s">
        <v>1484</v>
      </c>
      <c r="C1078" s="726"/>
      <c r="D1078" s="718" t="s">
        <v>971</v>
      </c>
    </row>
    <row r="1079" spans="1:4" x14ac:dyDescent="0.3">
      <c r="A1079" s="714">
        <v>13066</v>
      </c>
      <c r="B1079" s="715" t="s">
        <v>1485</v>
      </c>
      <c r="C1079" s="714">
        <v>8414839714</v>
      </c>
      <c r="D1079" s="716"/>
    </row>
    <row r="1080" spans="1:4" x14ac:dyDescent="0.25">
      <c r="A1080" s="714">
        <v>13100</v>
      </c>
      <c r="B1080" s="715" t="s">
        <v>1486</v>
      </c>
      <c r="C1080" s="714">
        <v>9402143048</v>
      </c>
      <c r="D1080" s="718" t="s">
        <v>972</v>
      </c>
    </row>
    <row r="1081" spans="1:4" x14ac:dyDescent="0.3">
      <c r="A1081" s="714">
        <v>13102</v>
      </c>
      <c r="B1081" s="715" t="s">
        <v>1487</v>
      </c>
      <c r="C1081" s="721"/>
      <c r="D1081" s="716"/>
    </row>
    <row r="1082" spans="1:4" x14ac:dyDescent="0.3">
      <c r="A1082" s="714">
        <v>13103</v>
      </c>
      <c r="B1082" s="715" t="s">
        <v>1488</v>
      </c>
      <c r="C1082" s="726"/>
      <c r="D1082" s="716"/>
    </row>
    <row r="1083" spans="1:4" x14ac:dyDescent="0.3">
      <c r="A1083" s="714">
        <v>13104</v>
      </c>
      <c r="B1083" s="715" t="s">
        <v>1489</v>
      </c>
      <c r="C1083" s="726"/>
      <c r="D1083" s="718" t="s">
        <v>973</v>
      </c>
    </row>
    <row r="1084" spans="1:4" x14ac:dyDescent="0.3">
      <c r="A1084" s="714">
        <v>13122</v>
      </c>
      <c r="B1084" s="715" t="s">
        <v>1490</v>
      </c>
      <c r="C1084" s="726"/>
      <c r="D1084" s="718" t="s">
        <v>974</v>
      </c>
    </row>
    <row r="1085" spans="1:4" x14ac:dyDescent="0.3">
      <c r="A1085" s="714">
        <v>13123</v>
      </c>
      <c r="B1085" s="715" t="s">
        <v>1319</v>
      </c>
      <c r="C1085" s="726"/>
      <c r="D1085" s="716"/>
    </row>
    <row r="1086" spans="1:4" x14ac:dyDescent="0.3">
      <c r="A1086" s="714">
        <v>13127</v>
      </c>
      <c r="B1086" s="715" t="s">
        <v>1491</v>
      </c>
      <c r="C1086" s="726"/>
      <c r="D1086" s="716"/>
    </row>
    <row r="1087" spans="1:4" x14ac:dyDescent="0.25">
      <c r="A1087" s="714">
        <v>13130</v>
      </c>
      <c r="B1087" s="715" t="s">
        <v>1492</v>
      </c>
      <c r="C1087" s="721"/>
      <c r="D1087" s="718" t="s">
        <v>975</v>
      </c>
    </row>
    <row r="1088" spans="1:4" x14ac:dyDescent="0.3">
      <c r="A1088" s="714">
        <v>13133</v>
      </c>
      <c r="B1088" s="715" t="s">
        <v>1493</v>
      </c>
      <c r="C1088" s="726"/>
      <c r="D1088" s="716"/>
    </row>
    <row r="1089" spans="1:4" x14ac:dyDescent="0.3">
      <c r="A1089" s="714">
        <v>13135</v>
      </c>
      <c r="B1089" s="715" t="s">
        <v>1494</v>
      </c>
      <c r="C1089" s="726"/>
      <c r="D1089" s="718" t="s">
        <v>976</v>
      </c>
    </row>
    <row r="1090" spans="1:4" x14ac:dyDescent="0.3">
      <c r="A1090" s="714">
        <v>13138</v>
      </c>
      <c r="B1090" s="720" t="s">
        <v>977</v>
      </c>
      <c r="C1090" s="721"/>
      <c r="D1090" s="716"/>
    </row>
    <row r="1091" spans="1:4" x14ac:dyDescent="0.3">
      <c r="A1091" s="714">
        <v>13140</v>
      </c>
      <c r="B1091" s="715" t="s">
        <v>1495</v>
      </c>
      <c r="C1091" s="726"/>
      <c r="D1091" s="716"/>
    </row>
    <row r="1092" spans="1:4" x14ac:dyDescent="0.3">
      <c r="A1092" s="714">
        <v>13141</v>
      </c>
      <c r="B1092" s="720" t="s">
        <v>978</v>
      </c>
      <c r="C1092" s="721">
        <v>9436454539</v>
      </c>
      <c r="D1092" s="716"/>
    </row>
    <row r="1093" spans="1:4" x14ac:dyDescent="0.3">
      <c r="A1093" s="714">
        <v>13142</v>
      </c>
      <c r="B1093" s="715" t="s">
        <v>1496</v>
      </c>
      <c r="C1093" s="721"/>
      <c r="D1093" s="716"/>
    </row>
    <row r="1094" spans="1:4" x14ac:dyDescent="0.25">
      <c r="A1094" s="714">
        <v>14003</v>
      </c>
      <c r="B1094" s="720" t="s">
        <v>979</v>
      </c>
      <c r="C1094" s="714">
        <v>9436462812</v>
      </c>
      <c r="D1094" s="718" t="s">
        <v>980</v>
      </c>
    </row>
    <row r="1095" spans="1:4" x14ac:dyDescent="0.25">
      <c r="A1095" s="714">
        <v>14004</v>
      </c>
      <c r="B1095" s="715" t="s">
        <v>1497</v>
      </c>
      <c r="C1095" s="714">
        <v>9612285101</v>
      </c>
      <c r="D1095" s="718" t="s">
        <v>981</v>
      </c>
    </row>
    <row r="1096" spans="1:4" x14ac:dyDescent="0.25">
      <c r="A1096" s="714">
        <v>14007</v>
      </c>
      <c r="B1096" s="720" t="s">
        <v>982</v>
      </c>
      <c r="C1096" s="721">
        <v>9856975585</v>
      </c>
      <c r="D1096" s="718" t="s">
        <v>983</v>
      </c>
    </row>
    <row r="1097" spans="1:4" x14ac:dyDescent="0.25">
      <c r="A1097" s="714">
        <v>14008</v>
      </c>
      <c r="B1097" s="720" t="s">
        <v>984</v>
      </c>
      <c r="C1097" s="721">
        <v>8415925359</v>
      </c>
      <c r="D1097" s="718" t="s">
        <v>985</v>
      </c>
    </row>
    <row r="1098" spans="1:4" x14ac:dyDescent="0.25">
      <c r="A1098" s="714">
        <v>14009</v>
      </c>
      <c r="B1098" s="715" t="s">
        <v>1498</v>
      </c>
      <c r="C1098" s="714">
        <v>9436568043</v>
      </c>
      <c r="D1098" s="718" t="s">
        <v>986</v>
      </c>
    </row>
    <row r="1099" spans="1:4" x14ac:dyDescent="0.25">
      <c r="A1099" s="714">
        <v>14028</v>
      </c>
      <c r="B1099" s="720" t="s">
        <v>987</v>
      </c>
      <c r="C1099" s="721">
        <v>8974333678</v>
      </c>
      <c r="D1099" s="718" t="s">
        <v>988</v>
      </c>
    </row>
    <row r="1100" spans="1:4" x14ac:dyDescent="0.25">
      <c r="A1100" s="714">
        <v>14029</v>
      </c>
      <c r="B1100" s="720" t="s">
        <v>534</v>
      </c>
      <c r="C1100" s="714">
        <v>9862745315</v>
      </c>
      <c r="D1100" s="718" t="s">
        <v>989</v>
      </c>
    </row>
    <row r="1101" spans="1:4" x14ac:dyDescent="0.25">
      <c r="A1101" s="714">
        <v>14030</v>
      </c>
      <c r="B1101" s="720" t="s">
        <v>990</v>
      </c>
      <c r="C1101" s="721">
        <v>9436131128</v>
      </c>
      <c r="D1101" s="718" t="s">
        <v>991</v>
      </c>
    </row>
    <row r="1102" spans="1:4" x14ac:dyDescent="0.25">
      <c r="A1102" s="714">
        <v>14031</v>
      </c>
      <c r="B1102" s="715" t="s">
        <v>1499</v>
      </c>
      <c r="C1102" s="714">
        <v>9612851942</v>
      </c>
      <c r="D1102" s="718" t="s">
        <v>992</v>
      </c>
    </row>
    <row r="1103" spans="1:4" x14ac:dyDescent="0.3">
      <c r="A1103" s="714">
        <v>14033</v>
      </c>
      <c r="B1103" s="715" t="s">
        <v>1500</v>
      </c>
      <c r="C1103" s="726"/>
      <c r="D1103" s="716"/>
    </row>
    <row r="1104" spans="1:4" x14ac:dyDescent="0.3">
      <c r="A1104" s="714">
        <v>14034</v>
      </c>
      <c r="B1104" s="715" t="s">
        <v>1501</v>
      </c>
      <c r="C1104" s="721"/>
      <c r="D1104" s="716"/>
    </row>
    <row r="1105" spans="1:4" x14ac:dyDescent="0.25">
      <c r="A1105" s="714">
        <v>14035</v>
      </c>
      <c r="B1105" s="720" t="s">
        <v>993</v>
      </c>
      <c r="C1105" s="721">
        <v>8732808177</v>
      </c>
      <c r="D1105" s="718" t="s">
        <v>994</v>
      </c>
    </row>
    <row r="1106" spans="1:4" x14ac:dyDescent="0.3">
      <c r="A1106" s="714">
        <v>14037</v>
      </c>
      <c r="B1106" s="715" t="s">
        <v>1466</v>
      </c>
      <c r="C1106" s="726"/>
      <c r="D1106" s="716"/>
    </row>
    <row r="1107" spans="1:4" x14ac:dyDescent="0.25">
      <c r="A1107" s="714">
        <v>14044</v>
      </c>
      <c r="B1107" s="720" t="s">
        <v>995</v>
      </c>
      <c r="C1107" s="721">
        <v>9366474757</v>
      </c>
      <c r="D1107" s="718" t="s">
        <v>996</v>
      </c>
    </row>
    <row r="1108" spans="1:4" x14ac:dyDescent="0.25">
      <c r="A1108" s="714">
        <v>14045</v>
      </c>
      <c r="B1108" s="720" t="s">
        <v>997</v>
      </c>
      <c r="C1108" s="721">
        <v>8415925359</v>
      </c>
      <c r="D1108" s="718" t="s">
        <v>998</v>
      </c>
    </row>
    <row r="1109" spans="1:4" x14ac:dyDescent="0.25">
      <c r="A1109" s="714">
        <v>14047</v>
      </c>
      <c r="B1109" s="715" t="s">
        <v>1502</v>
      </c>
      <c r="C1109" s="714">
        <v>8413805702</v>
      </c>
      <c r="D1109" s="718" t="s">
        <v>999</v>
      </c>
    </row>
    <row r="1110" spans="1:4" x14ac:dyDescent="0.25">
      <c r="A1110" s="714">
        <v>14049</v>
      </c>
      <c r="B1110" s="715" t="s">
        <v>1503</v>
      </c>
      <c r="C1110" s="714">
        <v>9862521497</v>
      </c>
      <c r="D1110" s="718" t="s">
        <v>1000</v>
      </c>
    </row>
    <row r="1111" spans="1:4" x14ac:dyDescent="0.25">
      <c r="A1111" s="714">
        <v>14052</v>
      </c>
      <c r="B1111" s="715" t="s">
        <v>1504</v>
      </c>
      <c r="C1111" s="714">
        <v>7085393174</v>
      </c>
      <c r="D1111" s="718" t="s">
        <v>1001</v>
      </c>
    </row>
    <row r="1112" spans="1:4" x14ac:dyDescent="0.25">
      <c r="A1112" s="714">
        <v>14054</v>
      </c>
      <c r="B1112" s="715" t="s">
        <v>1505</v>
      </c>
      <c r="C1112" s="714">
        <v>8974230629</v>
      </c>
      <c r="D1112" s="718" t="s">
        <v>1002</v>
      </c>
    </row>
    <row r="1113" spans="1:4" x14ac:dyDescent="0.25">
      <c r="A1113" s="714">
        <v>14999</v>
      </c>
      <c r="B1113" s="715" t="s">
        <v>1506</v>
      </c>
      <c r="C1113" s="714">
        <v>9862745315</v>
      </c>
      <c r="D1113" s="718" t="s">
        <v>1003</v>
      </c>
    </row>
    <row r="1114" spans="1:4" x14ac:dyDescent="0.25">
      <c r="A1114" s="714">
        <v>15009</v>
      </c>
      <c r="B1114" s="715" t="s">
        <v>1507</v>
      </c>
      <c r="C1114" s="714">
        <v>9436791520</v>
      </c>
      <c r="D1114" s="718" t="s">
        <v>1004</v>
      </c>
    </row>
    <row r="1115" spans="1:4" x14ac:dyDescent="0.25">
      <c r="A1115" s="714">
        <v>15010</v>
      </c>
      <c r="B1115" s="715" t="s">
        <v>1508</v>
      </c>
      <c r="C1115" s="714">
        <v>9436464607</v>
      </c>
      <c r="D1115" s="718" t="s">
        <v>1005</v>
      </c>
    </row>
    <row r="1116" spans="1:4" x14ac:dyDescent="0.25">
      <c r="A1116" s="714">
        <v>15011</v>
      </c>
      <c r="B1116" s="720" t="s">
        <v>1006</v>
      </c>
      <c r="C1116" s="721">
        <v>9436791520</v>
      </c>
      <c r="D1116" s="718" t="s">
        <v>1007</v>
      </c>
    </row>
    <row r="1117" spans="1:4" x14ac:dyDescent="0.3">
      <c r="A1117" s="714">
        <v>15013</v>
      </c>
      <c r="B1117" s="715" t="s">
        <v>1509</v>
      </c>
      <c r="C1117" s="714">
        <v>9436130666</v>
      </c>
      <c r="D1117" s="716"/>
    </row>
    <row r="1118" spans="1:4" x14ac:dyDescent="0.25">
      <c r="A1118" s="714">
        <v>15056</v>
      </c>
      <c r="B1118" s="715" t="s">
        <v>1510</v>
      </c>
      <c r="C1118" s="714">
        <v>9436464437</v>
      </c>
      <c r="D1118" s="718" t="s">
        <v>1008</v>
      </c>
    </row>
    <row r="1119" spans="1:4" x14ac:dyDescent="0.25">
      <c r="A1119" s="714">
        <v>15060</v>
      </c>
      <c r="B1119" s="720" t="s">
        <v>1009</v>
      </c>
      <c r="C1119" s="721">
        <v>7005796665</v>
      </c>
      <c r="D1119" s="718" t="s">
        <v>1010</v>
      </c>
    </row>
    <row r="1120" spans="1:4" x14ac:dyDescent="0.25">
      <c r="A1120" s="714">
        <v>15061</v>
      </c>
      <c r="B1120" s="720" t="s">
        <v>1011</v>
      </c>
      <c r="C1120" s="721">
        <v>9436167785</v>
      </c>
      <c r="D1120" s="718" t="s">
        <v>1012</v>
      </c>
    </row>
    <row r="1121" spans="1:4" x14ac:dyDescent="0.3">
      <c r="A1121" s="714">
        <v>15080</v>
      </c>
      <c r="B1121" s="720" t="s">
        <v>1610</v>
      </c>
      <c r="C1121" s="714">
        <v>9436458640</v>
      </c>
      <c r="D1121" s="716"/>
    </row>
    <row r="1122" spans="1:4" x14ac:dyDescent="0.3">
      <c r="A1122" s="714">
        <v>15081</v>
      </c>
      <c r="B1122" s="715" t="s">
        <v>1511</v>
      </c>
      <c r="C1122" s="714">
        <v>3812362108</v>
      </c>
      <c r="D1122" s="716"/>
    </row>
    <row r="1123" spans="1:4" x14ac:dyDescent="0.3">
      <c r="A1123" s="714">
        <v>15082</v>
      </c>
      <c r="B1123" s="720" t="s">
        <v>1013</v>
      </c>
      <c r="C1123" s="721">
        <v>9436139637</v>
      </c>
      <c r="D1123" s="716"/>
    </row>
    <row r="1124" spans="1:4" x14ac:dyDescent="0.3">
      <c r="A1124" s="714">
        <v>15083</v>
      </c>
      <c r="B1124" s="720" t="s">
        <v>1014</v>
      </c>
      <c r="C1124" s="714">
        <v>9436472534</v>
      </c>
      <c r="D1124" s="716"/>
    </row>
    <row r="1125" spans="1:4" x14ac:dyDescent="0.25">
      <c r="A1125" s="714">
        <v>15086</v>
      </c>
      <c r="B1125" s="715" t="s">
        <v>1512</v>
      </c>
      <c r="C1125" s="714">
        <v>9436125341</v>
      </c>
      <c r="D1125" s="718" t="s">
        <v>1015</v>
      </c>
    </row>
    <row r="1126" spans="1:4" x14ac:dyDescent="0.25">
      <c r="A1126" s="714">
        <v>15087</v>
      </c>
      <c r="B1126" s="720" t="s">
        <v>1016</v>
      </c>
      <c r="C1126" s="721">
        <v>9862113064</v>
      </c>
      <c r="D1126" s="718" t="s">
        <v>1017</v>
      </c>
    </row>
    <row r="1127" spans="1:4" x14ac:dyDescent="0.25">
      <c r="A1127" s="714">
        <v>15088</v>
      </c>
      <c r="B1127" s="715" t="s">
        <v>1513</v>
      </c>
      <c r="C1127" s="714">
        <v>3812362123</v>
      </c>
      <c r="D1127" s="718" t="s">
        <v>1018</v>
      </c>
    </row>
    <row r="1128" spans="1:4" x14ac:dyDescent="0.3">
      <c r="A1128" s="714">
        <v>15090</v>
      </c>
      <c r="B1128" s="715" t="s">
        <v>1514</v>
      </c>
      <c r="C1128" s="714">
        <v>9436470729</v>
      </c>
      <c r="D1128" s="716"/>
    </row>
    <row r="1129" spans="1:4" x14ac:dyDescent="0.3">
      <c r="A1129" s="714">
        <v>15092</v>
      </c>
      <c r="B1129" s="715" t="s">
        <v>1515</v>
      </c>
      <c r="C1129" s="714">
        <v>9436452634</v>
      </c>
      <c r="D1129" s="716"/>
    </row>
    <row r="1130" spans="1:4" x14ac:dyDescent="0.3">
      <c r="A1130" s="714">
        <v>15093</v>
      </c>
      <c r="B1130" s="720" t="s">
        <v>1019</v>
      </c>
      <c r="C1130" s="721">
        <v>9436123788</v>
      </c>
      <c r="D1130" s="716"/>
    </row>
    <row r="1131" spans="1:4" x14ac:dyDescent="0.3">
      <c r="A1131" s="714">
        <v>15094</v>
      </c>
      <c r="B1131" s="720" t="s">
        <v>1020</v>
      </c>
      <c r="C1131" s="721">
        <v>9436714800</v>
      </c>
      <c r="D1131" s="716"/>
    </row>
    <row r="1132" spans="1:4" x14ac:dyDescent="0.25">
      <c r="A1132" s="714">
        <v>15095</v>
      </c>
      <c r="B1132" s="715" t="s">
        <v>1516</v>
      </c>
      <c r="C1132" s="714">
        <v>9436169292</v>
      </c>
      <c r="D1132" s="718" t="s">
        <v>1021</v>
      </c>
    </row>
    <row r="1133" spans="1:4" x14ac:dyDescent="0.3">
      <c r="A1133" s="714">
        <v>15096</v>
      </c>
      <c r="B1133" s="720" t="s">
        <v>1022</v>
      </c>
      <c r="C1133" s="721">
        <v>9863126110</v>
      </c>
      <c r="D1133" s="716"/>
    </row>
    <row r="1134" spans="1:4" x14ac:dyDescent="0.3">
      <c r="A1134" s="714">
        <v>15097</v>
      </c>
      <c r="B1134" s="715" t="s">
        <v>1517</v>
      </c>
      <c r="C1134" s="714">
        <v>8729845336</v>
      </c>
      <c r="D1134" s="716"/>
    </row>
    <row r="1135" spans="1:4" x14ac:dyDescent="0.25">
      <c r="A1135" s="714">
        <v>15103</v>
      </c>
      <c r="B1135" s="715" t="s">
        <v>1518</v>
      </c>
      <c r="C1135" s="714">
        <v>9436125341</v>
      </c>
      <c r="D1135" s="718" t="s">
        <v>1023</v>
      </c>
    </row>
    <row r="1136" spans="1:4" x14ac:dyDescent="0.3">
      <c r="A1136" s="714">
        <v>15104</v>
      </c>
      <c r="B1136" s="715" t="s">
        <v>1519</v>
      </c>
      <c r="C1136" s="714">
        <v>9436136439</v>
      </c>
      <c r="D1136" s="716"/>
    </row>
    <row r="1137" spans="1:4" x14ac:dyDescent="0.3">
      <c r="A1137" s="714">
        <v>15106</v>
      </c>
      <c r="B1137" s="715" t="s">
        <v>1520</v>
      </c>
      <c r="C1137" s="714">
        <v>8131843631</v>
      </c>
      <c r="D1137" s="716"/>
    </row>
    <row r="1138" spans="1:4" x14ac:dyDescent="0.3">
      <c r="A1138" s="714">
        <v>15109</v>
      </c>
      <c r="B1138" s="715" t="s">
        <v>1521</v>
      </c>
      <c r="C1138" s="714">
        <v>7005864492</v>
      </c>
      <c r="D1138" s="716"/>
    </row>
    <row r="1139" spans="1:4" x14ac:dyDescent="0.3">
      <c r="A1139" s="714">
        <v>15113</v>
      </c>
      <c r="B1139" s="715" t="s">
        <v>1522</v>
      </c>
      <c r="C1139" s="714">
        <v>9856679968</v>
      </c>
      <c r="D1139" s="716"/>
    </row>
    <row r="1140" spans="1:4" x14ac:dyDescent="0.25">
      <c r="A1140" s="714">
        <v>15114</v>
      </c>
      <c r="B1140" s="715" t="s">
        <v>1523</v>
      </c>
      <c r="C1140" s="714">
        <v>9402599133</v>
      </c>
      <c r="D1140" s="718" t="s">
        <v>1024</v>
      </c>
    </row>
    <row r="1141" spans="1:4" x14ac:dyDescent="0.3">
      <c r="A1141" s="714">
        <v>15115</v>
      </c>
      <c r="B1141" s="715" t="s">
        <v>1524</v>
      </c>
      <c r="C1141" s="714">
        <v>9485190598</v>
      </c>
      <c r="D1141" s="716"/>
    </row>
    <row r="1142" spans="1:4" x14ac:dyDescent="0.25">
      <c r="A1142" s="714">
        <v>15116</v>
      </c>
      <c r="B1142" s="715" t="s">
        <v>1525</v>
      </c>
      <c r="C1142" s="714">
        <v>9436475199</v>
      </c>
      <c r="D1142" s="718" t="s">
        <v>1025</v>
      </c>
    </row>
    <row r="1143" spans="1:4" x14ac:dyDescent="0.3">
      <c r="A1143" s="714">
        <v>15117</v>
      </c>
      <c r="B1143" s="715" t="s">
        <v>1526</v>
      </c>
      <c r="C1143" s="714">
        <v>8119937522</v>
      </c>
      <c r="D1143" s="716"/>
    </row>
    <row r="1144" spans="1:4" x14ac:dyDescent="0.3">
      <c r="A1144" s="714">
        <v>15120</v>
      </c>
      <c r="B1144" s="715" t="s">
        <v>1527</v>
      </c>
      <c r="C1144" s="714">
        <v>9862733549</v>
      </c>
      <c r="D1144" s="716"/>
    </row>
    <row r="1145" spans="1:4" x14ac:dyDescent="0.25">
      <c r="A1145" s="714">
        <v>15123</v>
      </c>
      <c r="B1145" s="720" t="s">
        <v>1026</v>
      </c>
      <c r="C1145" s="721">
        <v>8415901819</v>
      </c>
      <c r="D1145" s="718" t="s">
        <v>1027</v>
      </c>
    </row>
    <row r="1146" spans="1:4" x14ac:dyDescent="0.3">
      <c r="A1146" s="714">
        <v>15127</v>
      </c>
      <c r="B1146" s="720" t="s">
        <v>1028</v>
      </c>
      <c r="C1146" s="714">
        <v>9436124884</v>
      </c>
      <c r="D1146" s="716"/>
    </row>
    <row r="1147" spans="1:4" x14ac:dyDescent="0.25">
      <c r="A1147" s="714">
        <v>15128</v>
      </c>
      <c r="B1147" s="715" t="s">
        <v>1528</v>
      </c>
      <c r="C1147" s="714">
        <v>9612766232</v>
      </c>
      <c r="D1147" s="728"/>
    </row>
    <row r="1148" spans="1:4" x14ac:dyDescent="0.3">
      <c r="A1148" s="714">
        <v>15129</v>
      </c>
      <c r="B1148" s="720" t="s">
        <v>1029</v>
      </c>
      <c r="C1148" s="721">
        <v>8787782140</v>
      </c>
      <c r="D1148" s="716"/>
    </row>
    <row r="1149" spans="1:4" x14ac:dyDescent="0.3">
      <c r="A1149" s="714">
        <v>15130</v>
      </c>
      <c r="B1149" s="715" t="s">
        <v>1529</v>
      </c>
      <c r="C1149" s="714">
        <v>9436123837</v>
      </c>
      <c r="D1149" s="716"/>
    </row>
    <row r="1150" spans="1:4" x14ac:dyDescent="0.3">
      <c r="A1150" s="714">
        <v>15131</v>
      </c>
      <c r="B1150" s="715" t="s">
        <v>1530</v>
      </c>
      <c r="C1150" s="714">
        <v>9436489712</v>
      </c>
      <c r="D1150" s="716"/>
    </row>
    <row r="1151" spans="1:4" x14ac:dyDescent="0.25">
      <c r="A1151" s="714">
        <v>15132</v>
      </c>
      <c r="B1151" s="715" t="s">
        <v>1531</v>
      </c>
      <c r="C1151" s="714">
        <v>9089368855</v>
      </c>
      <c r="D1151" s="718" t="s">
        <v>1030</v>
      </c>
    </row>
    <row r="1152" spans="1:4" x14ac:dyDescent="0.3">
      <c r="A1152" s="714">
        <v>15133</v>
      </c>
      <c r="B1152" s="720" t="s">
        <v>1031</v>
      </c>
      <c r="C1152" s="721">
        <v>9436542060</v>
      </c>
      <c r="D1152" s="716"/>
    </row>
    <row r="1153" spans="1:4" x14ac:dyDescent="0.25">
      <c r="A1153" s="714">
        <v>15134</v>
      </c>
      <c r="B1153" s="715" t="s">
        <v>1532</v>
      </c>
      <c r="C1153" s="714">
        <v>9436551273</v>
      </c>
      <c r="D1153" s="718" t="s">
        <v>1032</v>
      </c>
    </row>
    <row r="1154" spans="1:4" x14ac:dyDescent="0.3">
      <c r="A1154" s="714">
        <v>15135</v>
      </c>
      <c r="B1154" s="720" t="s">
        <v>1033</v>
      </c>
      <c r="C1154" s="721">
        <v>9436122030</v>
      </c>
      <c r="D1154" s="716"/>
    </row>
    <row r="1155" spans="1:4" x14ac:dyDescent="0.3">
      <c r="A1155" s="714">
        <v>15136</v>
      </c>
      <c r="B1155" s="715" t="s">
        <v>1533</v>
      </c>
      <c r="C1155" s="721"/>
      <c r="D1155" s="716"/>
    </row>
    <row r="1156" spans="1:4" x14ac:dyDescent="0.3">
      <c r="A1156" s="714">
        <v>15137</v>
      </c>
      <c r="B1156" s="715" t="s">
        <v>1534</v>
      </c>
      <c r="C1156" s="721"/>
      <c r="D1156" s="716"/>
    </row>
    <row r="1157" spans="1:4" x14ac:dyDescent="0.3">
      <c r="A1157" s="714">
        <v>15138</v>
      </c>
      <c r="B1157" s="715" t="s">
        <v>1535</v>
      </c>
      <c r="C1157" s="714">
        <v>9436471982</v>
      </c>
      <c r="D1157" s="716"/>
    </row>
    <row r="1158" spans="1:4" x14ac:dyDescent="0.3">
      <c r="A1158" s="714">
        <v>15139</v>
      </c>
      <c r="B1158" s="715" t="s">
        <v>1536</v>
      </c>
      <c r="C1158" s="714">
        <v>9402169769</v>
      </c>
      <c r="D1158" s="716"/>
    </row>
    <row r="1159" spans="1:4" x14ac:dyDescent="0.3">
      <c r="A1159" s="714">
        <v>16003</v>
      </c>
      <c r="B1159" s="720" t="s">
        <v>1034</v>
      </c>
      <c r="C1159" s="721">
        <v>3826265267</v>
      </c>
      <c r="D1159" s="716"/>
    </row>
    <row r="1160" spans="1:4" x14ac:dyDescent="0.3">
      <c r="A1160" s="714">
        <v>16007</v>
      </c>
      <c r="B1160" s="715" t="s">
        <v>1537</v>
      </c>
      <c r="C1160" s="714">
        <v>9402103457</v>
      </c>
      <c r="D1160" s="716"/>
    </row>
    <row r="1161" spans="1:4" x14ac:dyDescent="0.3">
      <c r="A1161" s="714">
        <v>16009</v>
      </c>
      <c r="B1161" s="715" t="s">
        <v>1538</v>
      </c>
      <c r="C1161" s="714">
        <v>8413058604</v>
      </c>
      <c r="D1161" s="716"/>
    </row>
    <row r="1162" spans="1:4" x14ac:dyDescent="0.25">
      <c r="A1162" s="714">
        <v>16012</v>
      </c>
      <c r="B1162" s="715" t="s">
        <v>1539</v>
      </c>
      <c r="C1162" s="714">
        <v>9436181094</v>
      </c>
      <c r="D1162" s="718" t="s">
        <v>1035</v>
      </c>
    </row>
    <row r="1163" spans="1:4" x14ac:dyDescent="0.3">
      <c r="A1163" s="714">
        <v>16016</v>
      </c>
      <c r="B1163" s="715" t="s">
        <v>1540</v>
      </c>
      <c r="C1163" s="714">
        <v>3826265279</v>
      </c>
      <c r="D1163" s="716"/>
    </row>
    <row r="1164" spans="1:4" x14ac:dyDescent="0.3">
      <c r="A1164" s="714">
        <v>16017</v>
      </c>
      <c r="B1164" s="715" t="s">
        <v>1541</v>
      </c>
      <c r="C1164" s="726"/>
      <c r="D1164" s="716"/>
    </row>
    <row r="1165" spans="1:4" x14ac:dyDescent="0.25">
      <c r="A1165" s="714">
        <v>17001</v>
      </c>
      <c r="B1165" s="715" t="s">
        <v>1542</v>
      </c>
      <c r="C1165" s="714">
        <v>9402395053</v>
      </c>
      <c r="D1165" s="718" t="s">
        <v>1036</v>
      </c>
    </row>
    <row r="1166" spans="1:4" x14ac:dyDescent="0.3">
      <c r="A1166" s="714">
        <v>17002</v>
      </c>
      <c r="B1166" s="715" t="s">
        <v>1543</v>
      </c>
      <c r="C1166" s="714">
        <v>9436501667</v>
      </c>
      <c r="D1166" s="716"/>
    </row>
    <row r="1167" spans="1:4" x14ac:dyDescent="0.25">
      <c r="A1167" s="714">
        <v>17005</v>
      </c>
      <c r="B1167" s="715" t="s">
        <v>1544</v>
      </c>
      <c r="C1167" s="714">
        <v>9485060627</v>
      </c>
      <c r="D1167" s="718" t="s">
        <v>1037</v>
      </c>
    </row>
    <row r="1168" spans="1:4" x14ac:dyDescent="0.25">
      <c r="A1168" s="714">
        <v>17009</v>
      </c>
      <c r="B1168" s="720" t="s">
        <v>1038</v>
      </c>
      <c r="C1168" s="721"/>
      <c r="D1168" s="718" t="s">
        <v>1039</v>
      </c>
    </row>
    <row r="1169" spans="1:4" x14ac:dyDescent="0.3">
      <c r="A1169" s="714">
        <v>17010</v>
      </c>
      <c r="B1169" s="720" t="s">
        <v>1040</v>
      </c>
      <c r="C1169" s="721">
        <v>9862729241</v>
      </c>
      <c r="D1169" s="716"/>
    </row>
    <row r="1170" spans="1:4" x14ac:dyDescent="0.25">
      <c r="A1170" s="714">
        <v>17011</v>
      </c>
      <c r="B1170" s="720" t="s">
        <v>1041</v>
      </c>
      <c r="C1170" s="721">
        <v>8837438181</v>
      </c>
      <c r="D1170" s="718" t="s">
        <v>1042</v>
      </c>
    </row>
    <row r="1171" spans="1:4" x14ac:dyDescent="0.3">
      <c r="A1171" s="714">
        <v>17015</v>
      </c>
      <c r="B1171" s="715" t="s">
        <v>1545</v>
      </c>
      <c r="C1171" s="714">
        <v>9402395053</v>
      </c>
      <c r="D1171" s="716"/>
    </row>
    <row r="1172" spans="1:4" x14ac:dyDescent="0.3">
      <c r="A1172" s="714">
        <v>17016</v>
      </c>
      <c r="B1172" s="715" t="s">
        <v>1546</v>
      </c>
      <c r="C1172" s="714">
        <v>9436544332</v>
      </c>
      <c r="D1172" s="716"/>
    </row>
    <row r="1173" spans="1:4" x14ac:dyDescent="0.3">
      <c r="A1173" s="714">
        <v>17017</v>
      </c>
      <c r="B1173" s="720" t="s">
        <v>1043</v>
      </c>
      <c r="C1173" s="721">
        <v>87311018157</v>
      </c>
      <c r="D1173" s="716"/>
    </row>
    <row r="1174" spans="1:4" x14ac:dyDescent="0.3">
      <c r="A1174" s="714">
        <v>17018</v>
      </c>
      <c r="B1174" s="720" t="s">
        <v>1044</v>
      </c>
      <c r="C1174" s="721">
        <v>7085445517</v>
      </c>
      <c r="D1174" s="716"/>
    </row>
    <row r="1175" spans="1:4" x14ac:dyDescent="0.3">
      <c r="A1175" s="714">
        <v>18001</v>
      </c>
      <c r="B1175" s="715" t="s">
        <v>1547</v>
      </c>
      <c r="C1175" s="726"/>
      <c r="D1175" s="718" t="s">
        <v>1045</v>
      </c>
    </row>
    <row r="1176" spans="1:4" x14ac:dyDescent="0.25">
      <c r="A1176" s="714">
        <v>18002</v>
      </c>
      <c r="B1176" s="715" t="s">
        <v>1548</v>
      </c>
      <c r="C1176" s="714">
        <v>8131038723</v>
      </c>
      <c r="D1176" s="718" t="s">
        <v>1046</v>
      </c>
    </row>
    <row r="1177" spans="1:4" x14ac:dyDescent="0.25">
      <c r="A1177" s="714">
        <v>18006</v>
      </c>
      <c r="B1177" s="715" t="s">
        <v>1549</v>
      </c>
      <c r="C1177" s="714">
        <v>9402319432</v>
      </c>
      <c r="D1177" s="718" t="s">
        <v>1047</v>
      </c>
    </row>
    <row r="1178" spans="1:4" x14ac:dyDescent="0.25">
      <c r="A1178" s="714">
        <v>18008</v>
      </c>
      <c r="B1178" s="715" t="s">
        <v>1550</v>
      </c>
      <c r="C1178" s="714">
        <v>9485098375</v>
      </c>
      <c r="D1178" s="718" t="s">
        <v>1048</v>
      </c>
    </row>
    <row r="1179" spans="1:4" x14ac:dyDescent="0.25">
      <c r="A1179" s="714">
        <v>18009</v>
      </c>
      <c r="B1179" s="715" t="s">
        <v>1551</v>
      </c>
      <c r="C1179" s="714">
        <v>94736767427</v>
      </c>
      <c r="D1179" s="718" t="s">
        <v>1049</v>
      </c>
    </row>
    <row r="1180" spans="1:4" x14ac:dyDescent="0.25">
      <c r="A1180" s="714">
        <v>18011</v>
      </c>
      <c r="B1180" s="720" t="s">
        <v>1050</v>
      </c>
      <c r="C1180" s="721">
        <v>3824261426</v>
      </c>
      <c r="D1180" s="718" t="s">
        <v>1051</v>
      </c>
    </row>
    <row r="1181" spans="1:4" x14ac:dyDescent="0.25">
      <c r="A1181" s="714">
        <v>18012</v>
      </c>
      <c r="B1181" s="720" t="s">
        <v>1052</v>
      </c>
      <c r="C1181" s="714">
        <v>9436497234</v>
      </c>
      <c r="D1181" s="718" t="s">
        <v>1053</v>
      </c>
    </row>
    <row r="1182" spans="1:4" x14ac:dyDescent="0.25">
      <c r="A1182" s="714">
        <v>18013</v>
      </c>
      <c r="B1182" s="715" t="s">
        <v>1552</v>
      </c>
      <c r="C1182" s="714">
        <v>9436134680</v>
      </c>
      <c r="D1182" s="718" t="s">
        <v>1054</v>
      </c>
    </row>
    <row r="1183" spans="1:4" x14ac:dyDescent="0.25">
      <c r="A1183" s="714">
        <v>18019</v>
      </c>
      <c r="B1183" s="715" t="s">
        <v>1553</v>
      </c>
      <c r="C1183" s="714">
        <v>9436465535</v>
      </c>
      <c r="D1183" s="718" t="s">
        <v>1055</v>
      </c>
    </row>
    <row r="1184" spans="1:4" x14ac:dyDescent="0.25">
      <c r="A1184" s="714">
        <v>18020</v>
      </c>
      <c r="B1184" s="715" t="s">
        <v>1554</v>
      </c>
      <c r="C1184" s="714">
        <v>9436719392</v>
      </c>
      <c r="D1184" s="718" t="s">
        <v>1056</v>
      </c>
    </row>
    <row r="1185" spans="1:4" x14ac:dyDescent="0.3">
      <c r="A1185" s="714">
        <v>18022</v>
      </c>
      <c r="B1185" s="720" t="s">
        <v>1057</v>
      </c>
      <c r="C1185" s="714">
        <v>9436451632</v>
      </c>
      <c r="D1185" s="716"/>
    </row>
    <row r="1186" spans="1:4" x14ac:dyDescent="0.25">
      <c r="A1186" s="714">
        <v>18023</v>
      </c>
      <c r="B1186" s="715" t="s">
        <v>1555</v>
      </c>
      <c r="C1186" s="714">
        <v>9436184535</v>
      </c>
      <c r="D1186" s="718" t="s">
        <v>1058</v>
      </c>
    </row>
    <row r="1187" spans="1:4" x14ac:dyDescent="0.25">
      <c r="A1187" s="714">
        <v>18024</v>
      </c>
      <c r="B1187" s="715" t="s">
        <v>1556</v>
      </c>
      <c r="C1187" s="714">
        <v>9436540913</v>
      </c>
      <c r="D1187" s="718" t="s">
        <v>1059</v>
      </c>
    </row>
    <row r="1188" spans="1:4" x14ac:dyDescent="0.25">
      <c r="A1188" s="714">
        <v>18025</v>
      </c>
      <c r="B1188" s="720" t="s">
        <v>1060</v>
      </c>
      <c r="C1188" s="721">
        <v>9402319432</v>
      </c>
      <c r="D1188" s="718" t="s">
        <v>1061</v>
      </c>
    </row>
    <row r="1189" spans="1:4" x14ac:dyDescent="0.25">
      <c r="A1189" s="714">
        <v>18026</v>
      </c>
      <c r="B1189" s="715" t="s">
        <v>1557</v>
      </c>
      <c r="C1189" s="714">
        <v>9436127393</v>
      </c>
      <c r="D1189" s="718" t="s">
        <v>1062</v>
      </c>
    </row>
    <row r="1190" spans="1:4" x14ac:dyDescent="0.25">
      <c r="A1190" s="714">
        <v>18027</v>
      </c>
      <c r="B1190" s="715" t="s">
        <v>1558</v>
      </c>
      <c r="C1190" s="714">
        <v>9436552824</v>
      </c>
      <c r="D1190" s="718" t="s">
        <v>1063</v>
      </c>
    </row>
    <row r="1191" spans="1:4" x14ac:dyDescent="0.25">
      <c r="A1191" s="714">
        <v>18028</v>
      </c>
      <c r="B1191" s="715" t="s">
        <v>1559</v>
      </c>
      <c r="C1191" s="714">
        <v>9436922460</v>
      </c>
      <c r="D1191" s="718" t="s">
        <v>1064</v>
      </c>
    </row>
    <row r="1192" spans="1:4" x14ac:dyDescent="0.25">
      <c r="A1192" s="714">
        <v>18030</v>
      </c>
      <c r="B1192" s="715" t="s">
        <v>1560</v>
      </c>
      <c r="C1192" s="714">
        <v>9612668924</v>
      </c>
      <c r="D1192" s="718" t="s">
        <v>1045</v>
      </c>
    </row>
    <row r="1193" spans="1:4" x14ac:dyDescent="0.25">
      <c r="A1193" s="714">
        <v>18031</v>
      </c>
      <c r="B1193" s="715" t="s">
        <v>1561</v>
      </c>
      <c r="C1193" s="714">
        <v>8732831878</v>
      </c>
      <c r="D1193" s="718" t="s">
        <v>1065</v>
      </c>
    </row>
    <row r="1194" spans="1:4" x14ac:dyDescent="0.25">
      <c r="A1194" s="714">
        <v>18032</v>
      </c>
      <c r="B1194" s="715" t="s">
        <v>1562</v>
      </c>
      <c r="C1194" s="714">
        <v>9436540519</v>
      </c>
      <c r="D1194" s="718" t="s">
        <v>1066</v>
      </c>
    </row>
    <row r="1195" spans="1:4" x14ac:dyDescent="0.25">
      <c r="A1195" s="714">
        <v>18033</v>
      </c>
      <c r="B1195" s="720" t="s">
        <v>1067</v>
      </c>
      <c r="C1195" s="714">
        <v>9436479868</v>
      </c>
      <c r="D1195" s="718" t="s">
        <v>1068</v>
      </c>
    </row>
    <row r="1196" spans="1:4" x14ac:dyDescent="0.3">
      <c r="A1196" s="714">
        <v>18034</v>
      </c>
      <c r="B1196" s="720" t="s">
        <v>1069</v>
      </c>
      <c r="C1196" s="721"/>
      <c r="D1196" s="716"/>
    </row>
    <row r="1197" spans="1:4" x14ac:dyDescent="0.25">
      <c r="A1197" s="714">
        <v>18035</v>
      </c>
      <c r="B1197" s="715" t="s">
        <v>1563</v>
      </c>
      <c r="C1197" s="714">
        <v>9436457742</v>
      </c>
      <c r="D1197" s="718" t="s">
        <v>1070</v>
      </c>
    </row>
    <row r="1198" spans="1:4" x14ac:dyDescent="0.25">
      <c r="A1198" s="714">
        <v>18036</v>
      </c>
      <c r="B1198" s="720" t="s">
        <v>1071</v>
      </c>
      <c r="C1198" s="721">
        <v>9436949364</v>
      </c>
      <c r="D1198" s="718" t="s">
        <v>1072</v>
      </c>
    </row>
    <row r="1199" spans="1:4" x14ac:dyDescent="0.25">
      <c r="A1199" s="714">
        <v>18037</v>
      </c>
      <c r="B1199" s="715" t="s">
        <v>1564</v>
      </c>
      <c r="C1199" s="714">
        <v>9436127393</v>
      </c>
      <c r="D1199" s="718" t="s">
        <v>1073</v>
      </c>
    </row>
    <row r="1200" spans="1:4" x14ac:dyDescent="0.25">
      <c r="A1200" s="714">
        <v>18039</v>
      </c>
      <c r="B1200" s="715" t="s">
        <v>1565</v>
      </c>
      <c r="C1200" s="714">
        <v>8118969159</v>
      </c>
      <c r="D1200" s="718" t="s">
        <v>1074</v>
      </c>
    </row>
    <row r="1201" spans="1:4" x14ac:dyDescent="0.25">
      <c r="A1201" s="714">
        <v>18040</v>
      </c>
      <c r="B1201" s="715" t="s">
        <v>1566</v>
      </c>
      <c r="C1201" s="714">
        <v>8787840490</v>
      </c>
      <c r="D1201" s="718" t="s">
        <v>1075</v>
      </c>
    </row>
    <row r="1202" spans="1:4" x14ac:dyDescent="0.25">
      <c r="A1202" s="714">
        <v>18044</v>
      </c>
      <c r="B1202" s="715" t="s">
        <v>1567</v>
      </c>
      <c r="C1202" s="714">
        <v>8415933652</v>
      </c>
      <c r="D1202" s="718" t="s">
        <v>1076</v>
      </c>
    </row>
    <row r="1203" spans="1:4" x14ac:dyDescent="0.25">
      <c r="A1203" s="714">
        <v>18054</v>
      </c>
      <c r="B1203" s="715" t="s">
        <v>1077</v>
      </c>
      <c r="C1203" s="714">
        <v>6909567531</v>
      </c>
      <c r="D1203" s="718"/>
    </row>
    <row r="1204" spans="1:4" x14ac:dyDescent="0.25">
      <c r="A1204" s="714">
        <v>19001</v>
      </c>
      <c r="B1204" s="715" t="s">
        <v>1568</v>
      </c>
      <c r="C1204" s="714">
        <v>9986224126</v>
      </c>
      <c r="D1204" s="718" t="s">
        <v>1078</v>
      </c>
    </row>
    <row r="1205" spans="1:4" x14ac:dyDescent="0.25">
      <c r="A1205" s="714">
        <v>19005</v>
      </c>
      <c r="B1205" s="715" t="s">
        <v>1569</v>
      </c>
      <c r="C1205" s="714">
        <v>8787368707</v>
      </c>
      <c r="D1205" s="718" t="s">
        <v>1079</v>
      </c>
    </row>
    <row r="1206" spans="1:4" x14ac:dyDescent="0.25">
      <c r="A1206" s="714">
        <v>19008</v>
      </c>
      <c r="B1206" s="720" t="s">
        <v>1080</v>
      </c>
      <c r="C1206" s="721">
        <v>9612600487</v>
      </c>
      <c r="D1206" s="718" t="s">
        <v>1081</v>
      </c>
    </row>
    <row r="1207" spans="1:4" x14ac:dyDescent="0.25">
      <c r="A1207" s="714">
        <v>19024</v>
      </c>
      <c r="B1207" s="720" t="s">
        <v>1082</v>
      </c>
      <c r="C1207" s="721">
        <v>9436125461</v>
      </c>
      <c r="D1207" s="718" t="s">
        <v>1083</v>
      </c>
    </row>
    <row r="1208" spans="1:4" x14ac:dyDescent="0.25">
      <c r="A1208" s="714">
        <v>19025</v>
      </c>
      <c r="B1208" s="720" t="s">
        <v>1084</v>
      </c>
      <c r="C1208" s="721">
        <v>9774307518</v>
      </c>
      <c r="D1208" s="718" t="s">
        <v>1085</v>
      </c>
    </row>
    <row r="1209" spans="1:4" x14ac:dyDescent="0.25">
      <c r="A1209" s="714">
        <v>19029</v>
      </c>
      <c r="B1209" s="720" t="s">
        <v>1086</v>
      </c>
      <c r="C1209" s="721">
        <v>9436134304</v>
      </c>
      <c r="D1209" s="718" t="s">
        <v>1087</v>
      </c>
    </row>
    <row r="1210" spans="1:4" x14ac:dyDescent="0.25">
      <c r="A1210" s="714">
        <v>19031</v>
      </c>
      <c r="B1210" s="715" t="s">
        <v>1570</v>
      </c>
      <c r="C1210" s="714">
        <v>9436460719</v>
      </c>
      <c r="D1210" s="718" t="s">
        <v>1088</v>
      </c>
    </row>
    <row r="1211" spans="1:4" x14ac:dyDescent="0.25">
      <c r="A1211" s="714">
        <v>19032</v>
      </c>
      <c r="B1211" s="720" t="s">
        <v>1089</v>
      </c>
      <c r="C1211" s="721">
        <v>9612600487</v>
      </c>
      <c r="D1211" s="718" t="s">
        <v>1090</v>
      </c>
    </row>
    <row r="1212" spans="1:4" x14ac:dyDescent="0.25">
      <c r="A1212" s="714">
        <v>19036</v>
      </c>
      <c r="B1212" s="715" t="s">
        <v>1571</v>
      </c>
      <c r="C1212" s="714">
        <v>9436927685</v>
      </c>
      <c r="D1212" s="718" t="s">
        <v>1091</v>
      </c>
    </row>
    <row r="1213" spans="1:4" x14ac:dyDescent="0.25">
      <c r="A1213" s="714">
        <v>19037</v>
      </c>
      <c r="B1213" s="715" t="s">
        <v>1572</v>
      </c>
      <c r="C1213" s="714">
        <v>9436992542</v>
      </c>
      <c r="D1213" s="718" t="s">
        <v>1092</v>
      </c>
    </row>
    <row r="1214" spans="1:4" x14ac:dyDescent="0.25">
      <c r="A1214" s="714">
        <v>19038</v>
      </c>
      <c r="B1214" s="715" t="s">
        <v>1573</v>
      </c>
      <c r="C1214" s="714">
        <v>9862453942</v>
      </c>
      <c r="D1214" s="718" t="s">
        <v>1093</v>
      </c>
    </row>
    <row r="1215" spans="1:4" x14ac:dyDescent="0.25">
      <c r="A1215" s="714">
        <v>19040</v>
      </c>
      <c r="B1215" s="715" t="s">
        <v>1574</v>
      </c>
      <c r="C1215" s="714">
        <v>9862183271</v>
      </c>
      <c r="D1215" s="718" t="s">
        <v>1094</v>
      </c>
    </row>
    <row r="1216" spans="1:4" x14ac:dyDescent="0.25">
      <c r="A1216" s="714">
        <v>19041</v>
      </c>
      <c r="B1216" s="715" t="s">
        <v>1575</v>
      </c>
      <c r="C1216" s="714">
        <v>9436475128</v>
      </c>
      <c r="D1216" s="718" t="s">
        <v>1095</v>
      </c>
    </row>
    <row r="1217" spans="1:4" x14ac:dyDescent="0.25">
      <c r="A1217" s="714">
        <v>19043</v>
      </c>
      <c r="B1217" s="715" t="s">
        <v>1576</v>
      </c>
      <c r="C1217" s="714">
        <v>9436473162</v>
      </c>
      <c r="D1217" s="718" t="s">
        <v>1096</v>
      </c>
    </row>
    <row r="1218" spans="1:4" x14ac:dyDescent="0.25">
      <c r="A1218" s="714">
        <v>19044</v>
      </c>
      <c r="B1218" s="715" t="s">
        <v>1577</v>
      </c>
      <c r="C1218" s="714">
        <v>3825262248</v>
      </c>
      <c r="D1218" s="718" t="s">
        <v>1097</v>
      </c>
    </row>
    <row r="1219" spans="1:4" x14ac:dyDescent="0.25">
      <c r="A1219" s="714">
        <v>19045</v>
      </c>
      <c r="B1219" s="715" t="s">
        <v>1578</v>
      </c>
      <c r="C1219" s="714">
        <v>9862140348</v>
      </c>
      <c r="D1219" s="718" t="s">
        <v>1098</v>
      </c>
    </row>
    <row r="1220" spans="1:4" x14ac:dyDescent="0.25">
      <c r="A1220" s="714">
        <v>19046</v>
      </c>
      <c r="B1220" s="720" t="s">
        <v>1099</v>
      </c>
      <c r="C1220" s="721">
        <v>9402387706</v>
      </c>
      <c r="D1220" s="718" t="s">
        <v>1100</v>
      </c>
    </row>
    <row r="1221" spans="1:4" x14ac:dyDescent="0.25">
      <c r="A1221" s="714">
        <v>19047</v>
      </c>
      <c r="B1221" s="715" t="s">
        <v>1579</v>
      </c>
      <c r="C1221" s="714">
        <v>9402148393</v>
      </c>
      <c r="D1221" s="718" t="s">
        <v>676</v>
      </c>
    </row>
    <row r="1222" spans="1:4" x14ac:dyDescent="0.25">
      <c r="A1222" s="714">
        <v>19049</v>
      </c>
      <c r="B1222" s="715" t="s">
        <v>1580</v>
      </c>
      <c r="C1222" s="714">
        <v>9436475128</v>
      </c>
      <c r="D1222" s="718" t="s">
        <v>1101</v>
      </c>
    </row>
    <row r="1223" spans="1:4" x14ac:dyDescent="0.25">
      <c r="A1223" s="714">
        <v>19051</v>
      </c>
      <c r="B1223" s="720" t="s">
        <v>1102</v>
      </c>
      <c r="C1223" s="714">
        <v>7005638745</v>
      </c>
      <c r="D1223" s="718" t="s">
        <v>1103</v>
      </c>
    </row>
    <row r="1224" spans="1:4" x14ac:dyDescent="0.3">
      <c r="A1224" s="714">
        <v>20001</v>
      </c>
      <c r="B1224" s="715" t="s">
        <v>1581</v>
      </c>
      <c r="C1224" s="714">
        <v>9436481480</v>
      </c>
      <c r="D1224" s="716"/>
    </row>
    <row r="1225" spans="1:4" x14ac:dyDescent="0.25">
      <c r="A1225" s="714">
        <v>20005</v>
      </c>
      <c r="B1225" s="720" t="s">
        <v>1104</v>
      </c>
      <c r="C1225" s="721">
        <v>9436565093</v>
      </c>
      <c r="D1225" s="718" t="s">
        <v>1105</v>
      </c>
    </row>
    <row r="1226" spans="1:4" x14ac:dyDescent="0.25">
      <c r="A1226" s="714">
        <v>20006</v>
      </c>
      <c r="B1226" s="715" t="s">
        <v>1582</v>
      </c>
      <c r="C1226" s="714">
        <v>9436125683</v>
      </c>
      <c r="D1226" s="718" t="s">
        <v>523</v>
      </c>
    </row>
    <row r="1227" spans="1:4" x14ac:dyDescent="0.3">
      <c r="A1227" s="714">
        <v>20029</v>
      </c>
      <c r="B1227" s="715" t="s">
        <v>1583</v>
      </c>
      <c r="C1227" s="726"/>
      <c r="D1227" s="716"/>
    </row>
    <row r="1228" spans="1:4" x14ac:dyDescent="0.25">
      <c r="A1228" s="714">
        <v>20032</v>
      </c>
      <c r="B1228" s="720" t="s">
        <v>1106</v>
      </c>
      <c r="C1228" s="721">
        <v>9436565093</v>
      </c>
      <c r="D1228" s="718" t="s">
        <v>1107</v>
      </c>
    </row>
    <row r="1229" spans="1:4" x14ac:dyDescent="0.3">
      <c r="A1229" s="714">
        <v>20045</v>
      </c>
      <c r="B1229" s="715" t="s">
        <v>1584</v>
      </c>
      <c r="C1229" s="714">
        <v>9436481480</v>
      </c>
      <c r="D1229" s="716"/>
    </row>
    <row r="1230" spans="1:4" x14ac:dyDescent="0.3">
      <c r="A1230" s="714">
        <v>20046</v>
      </c>
      <c r="B1230" s="720" t="s">
        <v>1108</v>
      </c>
      <c r="C1230" s="714">
        <v>9862511450</v>
      </c>
      <c r="D1230" s="716"/>
    </row>
    <row r="1231" spans="1:4" x14ac:dyDescent="0.3">
      <c r="A1231" s="714">
        <v>20047</v>
      </c>
      <c r="B1231" s="715" t="s">
        <v>1585</v>
      </c>
      <c r="C1231" s="714">
        <v>8794164272</v>
      </c>
      <c r="D1231" s="716"/>
    </row>
    <row r="1232" spans="1:4" x14ac:dyDescent="0.3">
      <c r="A1232" s="714">
        <v>20048</v>
      </c>
      <c r="B1232" s="720" t="s">
        <v>1109</v>
      </c>
      <c r="C1232" s="721">
        <v>9436128743</v>
      </c>
      <c r="D1232" s="716"/>
    </row>
    <row r="1233" spans="1:4" x14ac:dyDescent="0.3">
      <c r="A1233" s="714">
        <v>20049</v>
      </c>
      <c r="B1233" s="715" t="s">
        <v>1586</v>
      </c>
      <c r="C1233" s="714">
        <v>9436459277</v>
      </c>
      <c r="D1233" s="716"/>
    </row>
    <row r="1234" spans="1:4" x14ac:dyDescent="0.25">
      <c r="A1234" s="714">
        <v>20050</v>
      </c>
      <c r="B1234" s="720" t="s">
        <v>1110</v>
      </c>
      <c r="C1234" s="714">
        <v>7005059911</v>
      </c>
      <c r="D1234" s="718" t="s">
        <v>1111</v>
      </c>
    </row>
    <row r="1235" spans="1:4" x14ac:dyDescent="0.3">
      <c r="A1235" s="714">
        <v>20051</v>
      </c>
      <c r="B1235" s="715" t="s">
        <v>1587</v>
      </c>
      <c r="C1235" s="714">
        <v>8729826910</v>
      </c>
      <c r="D1235" s="716"/>
    </row>
    <row r="1236" spans="1:4" x14ac:dyDescent="0.25">
      <c r="A1236" s="714">
        <v>20052</v>
      </c>
      <c r="B1236" s="715" t="s">
        <v>1588</v>
      </c>
      <c r="C1236" s="714">
        <v>9612338999</v>
      </c>
      <c r="D1236" s="718" t="s">
        <v>1112</v>
      </c>
    </row>
    <row r="1237" spans="1:4" x14ac:dyDescent="0.25">
      <c r="A1237" s="714">
        <v>20053</v>
      </c>
      <c r="B1237" s="715" t="s">
        <v>1589</v>
      </c>
      <c r="C1237" s="714">
        <v>9436459508</v>
      </c>
      <c r="D1237" s="718" t="s">
        <v>1113</v>
      </c>
    </row>
    <row r="1238" spans="1:4" x14ac:dyDescent="0.25">
      <c r="A1238" s="714">
        <v>20082</v>
      </c>
      <c r="B1238" s="715" t="s">
        <v>1114</v>
      </c>
      <c r="C1238" s="714">
        <v>9436471595</v>
      </c>
      <c r="D1238" s="718"/>
    </row>
    <row r="1239" spans="1:4" x14ac:dyDescent="0.25">
      <c r="A1239" s="729">
        <v>20088</v>
      </c>
      <c r="B1239" s="730" t="s">
        <v>1115</v>
      </c>
      <c r="C1239" s="729">
        <v>8794416970</v>
      </c>
      <c r="D1239" s="722" t="s">
        <v>1116</v>
      </c>
    </row>
    <row r="1240" spans="1:4" x14ac:dyDescent="0.25">
      <c r="A1240" s="714">
        <v>21001</v>
      </c>
      <c r="B1240" s="715" t="s">
        <v>1590</v>
      </c>
      <c r="C1240" s="714">
        <v>9402109553</v>
      </c>
      <c r="D1240" s="718" t="s">
        <v>1117</v>
      </c>
    </row>
    <row r="1241" spans="1:4" x14ac:dyDescent="0.25">
      <c r="A1241" s="714">
        <v>21004</v>
      </c>
      <c r="B1241" s="720" t="s">
        <v>1118</v>
      </c>
      <c r="C1241" s="721">
        <v>9436130717</v>
      </c>
      <c r="D1241" s="718" t="s">
        <v>1119</v>
      </c>
    </row>
    <row r="1242" spans="1:4" x14ac:dyDescent="0.25">
      <c r="A1242" s="714">
        <v>21005</v>
      </c>
      <c r="B1242" s="720" t="s">
        <v>1120</v>
      </c>
      <c r="C1242" s="721">
        <v>9862261262</v>
      </c>
      <c r="D1242" s="718" t="s">
        <v>1121</v>
      </c>
    </row>
    <row r="1243" spans="1:4" x14ac:dyDescent="0.25">
      <c r="A1243" s="714">
        <v>21042</v>
      </c>
      <c r="B1243" s="715" t="s">
        <v>1591</v>
      </c>
      <c r="C1243" s="714">
        <v>9862640677</v>
      </c>
      <c r="D1243" s="718" t="s">
        <v>1122</v>
      </c>
    </row>
    <row r="1244" spans="1:4" x14ac:dyDescent="0.3">
      <c r="A1244" s="714">
        <v>21043</v>
      </c>
      <c r="B1244" s="715" t="s">
        <v>1592</v>
      </c>
      <c r="C1244" s="714">
        <v>9402171966</v>
      </c>
      <c r="D1244" s="716"/>
    </row>
    <row r="1245" spans="1:4" x14ac:dyDescent="0.25">
      <c r="A1245" s="714">
        <v>21044</v>
      </c>
      <c r="B1245" s="720" t="s">
        <v>1123</v>
      </c>
      <c r="C1245" s="714">
        <v>9774692196</v>
      </c>
      <c r="D1245" s="718" t="s">
        <v>1124</v>
      </c>
    </row>
    <row r="1246" spans="1:4" x14ac:dyDescent="0.3">
      <c r="A1246" s="714">
        <v>21045</v>
      </c>
      <c r="B1246" s="715" t="s">
        <v>1593</v>
      </c>
      <c r="C1246" s="714">
        <v>3812343567</v>
      </c>
      <c r="D1246" s="716"/>
    </row>
    <row r="1247" spans="1:4" x14ac:dyDescent="0.3">
      <c r="A1247" s="714">
        <v>21046</v>
      </c>
      <c r="B1247" s="720" t="s">
        <v>1125</v>
      </c>
      <c r="C1247" s="721">
        <v>9436909180</v>
      </c>
      <c r="D1247" s="716"/>
    </row>
    <row r="1248" spans="1:4" x14ac:dyDescent="0.3">
      <c r="A1248" s="714">
        <v>21047</v>
      </c>
      <c r="B1248" s="720" t="s">
        <v>1126</v>
      </c>
      <c r="C1248" s="721">
        <v>9436125190</v>
      </c>
      <c r="D1248" s="716"/>
    </row>
    <row r="1249" spans="1:4" x14ac:dyDescent="0.25">
      <c r="A1249" s="714">
        <v>21048</v>
      </c>
      <c r="B1249" s="720" t="s">
        <v>1127</v>
      </c>
      <c r="C1249" s="721">
        <v>3812865779</v>
      </c>
      <c r="D1249" s="718" t="s">
        <v>1128</v>
      </c>
    </row>
    <row r="1250" spans="1:4" x14ac:dyDescent="0.25">
      <c r="A1250" s="714">
        <v>21049</v>
      </c>
      <c r="B1250" s="715" t="s">
        <v>1594</v>
      </c>
      <c r="C1250" s="714">
        <v>9612218909</v>
      </c>
      <c r="D1250" s="718" t="s">
        <v>1129</v>
      </c>
    </row>
    <row r="1251" spans="1:4" x14ac:dyDescent="0.3">
      <c r="A1251" s="714">
        <v>21050</v>
      </c>
      <c r="B1251" s="720" t="s">
        <v>1130</v>
      </c>
      <c r="C1251" s="721">
        <v>8131043096</v>
      </c>
      <c r="D1251" s="716"/>
    </row>
    <row r="1252" spans="1:4" x14ac:dyDescent="0.25">
      <c r="A1252" s="714">
        <v>21051</v>
      </c>
      <c r="B1252" s="715" t="s">
        <v>1595</v>
      </c>
      <c r="C1252" s="714">
        <v>9402169378</v>
      </c>
      <c r="D1252" s="718" t="s">
        <v>1131</v>
      </c>
    </row>
    <row r="1253" spans="1:4" x14ac:dyDescent="0.25">
      <c r="A1253" s="714">
        <v>21056</v>
      </c>
      <c r="B1253" s="715" t="s">
        <v>1132</v>
      </c>
      <c r="C1253" s="714">
        <v>9233618450</v>
      </c>
      <c r="D1253" s="718"/>
    </row>
    <row r="1254" spans="1:4" x14ac:dyDescent="0.25">
      <c r="A1254" s="714">
        <v>21058</v>
      </c>
      <c r="B1254" s="720" t="s">
        <v>1133</v>
      </c>
      <c r="C1254" s="714">
        <v>9366868481</v>
      </c>
      <c r="D1254" s="722" t="s">
        <v>1134</v>
      </c>
    </row>
    <row r="1255" spans="1:4" x14ac:dyDescent="0.3">
      <c r="A1255" s="714">
        <v>22001</v>
      </c>
      <c r="B1255" s="715" t="s">
        <v>1596</v>
      </c>
      <c r="C1255" s="726"/>
      <c r="D1255" s="716"/>
    </row>
    <row r="1256" spans="1:4" x14ac:dyDescent="0.25">
      <c r="A1256" s="714">
        <v>22003</v>
      </c>
      <c r="B1256" s="720" t="s">
        <v>1135</v>
      </c>
      <c r="C1256" s="714">
        <v>9436132891</v>
      </c>
      <c r="D1256" s="718" t="s">
        <v>1136</v>
      </c>
    </row>
    <row r="1257" spans="1:4" x14ac:dyDescent="0.25">
      <c r="A1257" s="714">
        <v>22005</v>
      </c>
      <c r="B1257" s="720" t="s">
        <v>1137</v>
      </c>
      <c r="C1257" s="721">
        <v>9436541632</v>
      </c>
      <c r="D1257" s="718" t="s">
        <v>1138</v>
      </c>
    </row>
    <row r="1258" spans="1:4" x14ac:dyDescent="0.3">
      <c r="A1258" s="714">
        <v>22006</v>
      </c>
      <c r="B1258" s="715" t="s">
        <v>1597</v>
      </c>
      <c r="C1258" s="726"/>
      <c r="D1258" s="718" t="s">
        <v>1139</v>
      </c>
    </row>
    <row r="1259" spans="1:4" x14ac:dyDescent="0.25">
      <c r="A1259" s="714">
        <v>22013</v>
      </c>
      <c r="B1259" s="715" t="s">
        <v>1598</v>
      </c>
      <c r="C1259" s="714">
        <v>262245</v>
      </c>
      <c r="D1259" s="718" t="s">
        <v>1140</v>
      </c>
    </row>
    <row r="1260" spans="1:4" x14ac:dyDescent="0.25">
      <c r="A1260" s="714">
        <v>22015</v>
      </c>
      <c r="B1260" s="715" t="s">
        <v>1599</v>
      </c>
      <c r="C1260" s="714">
        <v>272442</v>
      </c>
      <c r="D1260" s="718" t="s">
        <v>1141</v>
      </c>
    </row>
    <row r="1261" spans="1:4" x14ac:dyDescent="0.25">
      <c r="A1261" s="714">
        <v>22016</v>
      </c>
      <c r="B1261" s="720" t="s">
        <v>1142</v>
      </c>
      <c r="C1261" s="721">
        <v>262325</v>
      </c>
      <c r="D1261" s="718" t="s">
        <v>1143</v>
      </c>
    </row>
    <row r="1262" spans="1:4" x14ac:dyDescent="0.25">
      <c r="A1262" s="714">
        <v>22022</v>
      </c>
      <c r="B1262" s="715" t="s">
        <v>1600</v>
      </c>
      <c r="C1262" s="721"/>
      <c r="D1262" s="718" t="s">
        <v>1144</v>
      </c>
    </row>
    <row r="1263" spans="1:4" x14ac:dyDescent="0.25">
      <c r="A1263" s="714">
        <v>22024</v>
      </c>
      <c r="B1263" s="715" t="s">
        <v>1601</v>
      </c>
      <c r="C1263" s="714">
        <v>9436136029</v>
      </c>
      <c r="D1263" s="718" t="s">
        <v>1145</v>
      </c>
    </row>
    <row r="1264" spans="1:4" x14ac:dyDescent="0.25">
      <c r="A1264" s="714">
        <v>22025</v>
      </c>
      <c r="B1264" s="715" t="s">
        <v>1602</v>
      </c>
      <c r="C1264" s="714">
        <v>262038</v>
      </c>
      <c r="D1264" s="718" t="s">
        <v>1146</v>
      </c>
    </row>
    <row r="1265" spans="1:4" x14ac:dyDescent="0.25">
      <c r="A1265" s="714">
        <v>22031</v>
      </c>
      <c r="B1265" s="715" t="s">
        <v>1603</v>
      </c>
      <c r="C1265" s="714">
        <v>9612285101</v>
      </c>
      <c r="D1265" s="718" t="s">
        <v>1147</v>
      </c>
    </row>
    <row r="1266" spans="1:4" x14ac:dyDescent="0.3">
      <c r="A1266" s="714">
        <v>22032</v>
      </c>
      <c r="B1266" s="715" t="s">
        <v>1604</v>
      </c>
      <c r="C1266" s="726"/>
      <c r="D1266" s="716"/>
    </row>
    <row r="1267" spans="1:4" x14ac:dyDescent="0.25">
      <c r="A1267" s="714">
        <v>22035</v>
      </c>
      <c r="B1267" s="715" t="s">
        <v>1605</v>
      </c>
      <c r="C1267" s="714">
        <v>9436992710</v>
      </c>
      <c r="D1267" s="718" t="s">
        <v>1148</v>
      </c>
    </row>
    <row r="1268" spans="1:4" x14ac:dyDescent="0.25">
      <c r="A1268" s="714">
        <v>22036</v>
      </c>
      <c r="B1268" s="715" t="s">
        <v>1606</v>
      </c>
      <c r="C1268" s="714">
        <v>262233</v>
      </c>
      <c r="D1268" s="718" t="s">
        <v>1149</v>
      </c>
    </row>
    <row r="1269" spans="1:4" x14ac:dyDescent="0.25">
      <c r="A1269" s="714">
        <v>22037</v>
      </c>
      <c r="B1269" s="715" t="s">
        <v>1607</v>
      </c>
      <c r="C1269" s="714">
        <v>9436152707</v>
      </c>
      <c r="D1269" s="718" t="s">
        <v>1150</v>
      </c>
    </row>
    <row r="1270" spans="1:4" x14ac:dyDescent="0.3">
      <c r="A1270" s="714">
        <v>22038</v>
      </c>
      <c r="B1270" s="715" t="s">
        <v>1608</v>
      </c>
      <c r="C1270" s="726"/>
      <c r="D1270" s="716"/>
    </row>
    <row r="1271" spans="1:4" x14ac:dyDescent="0.25">
      <c r="A1271" s="714">
        <v>22039</v>
      </c>
      <c r="B1271" s="715" t="s">
        <v>1609</v>
      </c>
      <c r="C1271" s="714">
        <v>9862733010</v>
      </c>
      <c r="D1271" s="718" t="s">
        <v>1151</v>
      </c>
    </row>
    <row r="1272" spans="1:4" x14ac:dyDescent="0.25">
      <c r="A1272" s="714">
        <v>22047</v>
      </c>
      <c r="B1272" s="720" t="s">
        <v>1152</v>
      </c>
      <c r="C1272" s="714">
        <v>7085387278</v>
      </c>
      <c r="D1272" s="722" t="s">
        <v>1153</v>
      </c>
    </row>
  </sheetData>
  <mergeCells count="2">
    <mergeCell ref="F6:G6"/>
    <mergeCell ref="F7:F9"/>
  </mergeCells>
  <hyperlinks>
    <hyperlink ref="D598" r:id="rId1" display="mailto:superagrikanchanpur@gmail.com" xr:uid="{00000000-0004-0000-0D00-000000000000}"/>
    <hyperlink ref="D659" r:id="rId2" display="mailto:sakumarghat@gmail.com" xr:uid="{00000000-0004-0000-0D00-000001000000}"/>
    <hyperlink ref="D672" r:id="rId3" display="mailto:ddaunakoti2016@gmail.com" xr:uid="{00000000-0004-0000-0D00-000002000000}"/>
    <hyperlink ref="D677" r:id="rId4" display="mailto:sachawmanu2014@gmail.com" xr:uid="{00000000-0004-0000-0D00-000003000000}"/>
    <hyperlink ref="D692" r:id="rId5" display="mailto:ddadhalai@gmail.com" xr:uid="{00000000-0004-0000-0D00-000004000000}"/>
    <hyperlink ref="D729" r:id="rId6" display="mailto:ambassasaa@gmail.com" xr:uid="{00000000-0004-0000-0D00-000005000000}"/>
    <hyperlink ref="D755" r:id="rId7" display="mailto:agrikhowai@gmail.com" xr:uid="{00000000-0004-0000-0D00-000006000000}"/>
    <hyperlink ref="D757" r:id="rId8" display="mailto:sa.tulashikhar@gmail.com" xr:uid="{00000000-0004-0000-0D00-000007000000}"/>
    <hyperlink ref="D773" r:id="rId9" display="mailto:dda.khowai2015@gmail.com" xr:uid="{00000000-0004-0000-0D00-000008000000}"/>
    <hyperlink ref="D775" r:id="rId10" display="mailto:sapadmabil@gmail.com" xr:uid="{00000000-0004-0000-0D00-000009000000}"/>
    <hyperlink ref="D849" r:id="rId11" display="mailto:asissaha1960@gmail.com" xr:uid="{00000000-0004-0000-0D00-00000A000000}"/>
    <hyperlink ref="D856" r:id="rId12" display="mailto:ddawest2015@gmail.com" xr:uid="{00000000-0004-0000-0D00-00000B000000}"/>
    <hyperlink ref="D905" r:id="rId13" display="mailto:samandwi@gmail.com" xr:uid="{00000000-0004-0000-0D00-00000C000000}"/>
    <hyperlink ref="D1046" r:id="rId14" display="mailto:amarpur.sa2014@gmail.com" xr:uid="{00000000-0004-0000-0D00-00000D000000}"/>
    <hyperlink ref="D1063" r:id="rId15" display="mailto:sakarbook@gmail.com" xr:uid="{00000000-0004-0000-0D00-00000E000000}"/>
    <hyperlink ref="D1064" r:id="rId16" display="mailto:supdt.agri.ompi@gmail.com" xr:uid="{00000000-0004-0000-0D00-00000F000000}"/>
    <hyperlink ref="D1101" r:id="rId17" display="mailto:supdtsatchand@gmail.com" xr:uid="{00000000-0004-0000-0D00-000010000000}"/>
    <hyperlink ref="D1126" r:id="rId18" display="mailto:agri.eem@gmail.com" xr:uid="{00000000-0004-0000-0D00-000011000000}"/>
    <hyperlink ref="D1207" r:id="rId19" display="mailto:agritlm4@gmail.com" xr:uid="{00000000-0004-0000-0D00-000012000000}"/>
    <hyperlink ref="D1220" r:id="rId20" display="mailto:sa.kalyanpur2016@gmail.com" xr:uid="{00000000-0004-0000-0D00-000013000000}"/>
    <hyperlink ref="D1249" r:id="rId21" display="mailto:ddocat14@gmail.com" xr:uid="{00000000-0004-0000-0D00-000014000000}"/>
    <hyperlink ref="D1261" r:id="rId22" display="mailto:sabagafa123@gmail.com" xr:uid="{00000000-0004-0000-0D00-000015000000}"/>
    <hyperlink ref="D604" r:id="rId23" display="mailto:supdthortikcp@gmail.com" xr:uid="{00000000-0004-0000-0D00-000016000000}"/>
    <hyperlink ref="D640" r:id="rId24" display="mailto:ddhnorth@gmail.com" xr:uid="{00000000-0004-0000-0D00-000017000000}"/>
    <hyperlink ref="D682" r:id="rId25" display="mailto:shscmanu@gmail.com" xr:uid="{00000000-0004-0000-0D00-000018000000}"/>
    <hyperlink ref="D695" r:id="rId26" display="mailto:dpoambassa042@gmail.com" xr:uid="{00000000-0004-0000-0D00-000019000000}"/>
    <hyperlink ref="D714" r:id="rId27" display="mailto:dhalai.ddh@gmail.com" xr:uid="{00000000-0004-0000-0D00-00001A000000}"/>
    <hyperlink ref="D749" r:id="rId28" display="mailto:khowai_horti@rediffmail.com" xr:uid="{00000000-0004-0000-0D00-00001B000000}"/>
    <hyperlink ref="D772" r:id="rId29" display="mailto:ddhkhowai@gmail.com" xr:uid="{00000000-0004-0000-0D00-00001C000000}"/>
    <hyperlink ref="D851" r:id="rId30" display="mailto:dhctripura@yahoo.co.in" xr:uid="{00000000-0004-0000-0D00-00001D000000}"/>
    <hyperlink ref="D863" r:id="rId31" display="mailto:dpoagartalawesttripura@gmail.com" xr:uid="{00000000-0004-0000-0D00-00001E000000}"/>
    <hyperlink ref="D892" r:id="rId32" display="mailto:hortiwest_86@yahoo.co.in" xr:uid="{00000000-0004-0000-0D00-00001F000000}"/>
    <hyperlink ref="D1151" r:id="rId33" display="mailto:ddhspj06@gmail.com" xr:uid="{00000000-0004-0000-0D00-000020000000}"/>
    <hyperlink ref="D1187" r:id="rId34" display="mailto:hortisuperkgt@gmail.com" xr:uid="{00000000-0004-0000-0D00-000021000000}"/>
    <hyperlink ref="D1200" r:id="rId35" display="mailto:ddhunakoti@gmail.com" xr:uid="{00000000-0004-0000-0D00-000022000000}"/>
    <hyperlink ref="D1259" r:id="rId36" display="mailto:ddhs2010trip@gmail.com" xr:uid="{00000000-0004-0000-0D00-000023000000}"/>
    <hyperlink ref="D601" r:id="rId37" xr:uid="{00000000-0004-0000-0D00-000024000000}"/>
    <hyperlink ref="D620" r:id="rId38" display="mailto:p.o.icdp2@gmail.com" xr:uid="{00000000-0004-0000-0D00-000025000000}"/>
    <hyperlink ref="D645" r:id="rId39" display="mailto:arddunakoti@gmail.com" xr:uid="{00000000-0004-0000-0D00-000026000000}"/>
    <hyperlink ref="D680" r:id="rId40" display="mailto:arddnalkata@gmail.com" xr:uid="{00000000-0004-0000-0D00-000027000000}"/>
    <hyperlink ref="D693" r:id="rId41" display="mailto:ddarddhalai@gmail.com" xr:uid="{00000000-0004-0000-0D00-000028000000}"/>
    <hyperlink ref="D730" r:id="rId42" display="mailto:adarddblsalemadhalai06004@gmail.com" xr:uid="{00000000-0004-0000-0D00-000029000000}"/>
    <hyperlink ref="D748" r:id="rId43" display="mailto:adarddkhw1111@gmail.com" xr:uid="{00000000-0004-0000-0D00-00002A000000}"/>
    <hyperlink ref="D777" r:id="rId44" display="mailto:ddardkhowai@gmail.com" xr:uid="{00000000-0004-0000-0D00-00002B000000}"/>
    <hyperlink ref="D850" r:id="rId45" display="mailto:das67parimal@gmail.com" xr:uid="{00000000-0004-0000-0D00-00002C000000}"/>
    <hyperlink ref="D858" r:id="rId46" display="mailto:ddarddwest17@gmail.com" xr:uid="{00000000-0004-0000-0D00-00002D000000}"/>
    <hyperlink ref="D897" r:id="rId47" display="mailto:tripuralivestockd@yahoo.com" xr:uid="{00000000-0004-0000-0D00-00002E000000}"/>
    <hyperlink ref="D918" r:id="rId48" display="mailto:gautamreang@gmail.com" xr:uid="{00000000-0004-0000-0D00-00002F000000}"/>
    <hyperlink ref="D981" r:id="rId49" display="mailto:dpfudaiput182@gmail.com" xr:uid="{00000000-0004-0000-0D00-000030000000}"/>
    <hyperlink ref="D985" r:id="rId50" display="mailto:ddardsouth@gmail.com" xr:uid="{00000000-0004-0000-0D00-000031000000}"/>
    <hyperlink ref="D1040" r:id="rId51" display="mailto:daslokesh98@gmail.com" xr:uid="{00000000-0004-0000-0D00-000032000000}"/>
    <hyperlink ref="D1094" r:id="rId52" display="mailto:adardblsbm@gmail.com" xr:uid="{00000000-0004-0000-0D00-000033000000}"/>
    <hyperlink ref="D1179" r:id="rId53" display="mailto:adblkgt@gmail.com" xr:uid="{00000000-0004-0000-0D00-000034000000}"/>
    <hyperlink ref="D1205" r:id="rId54" display="mailto:adarddtlm205@gmail.com" xr:uid="{00000000-0004-0000-0D00-000035000000}"/>
    <hyperlink ref="D1234" r:id="rId55" display="mailto:cvscrknagar@gmail.com" xr:uid="{00000000-0004-0000-0D00-000036000000}"/>
    <hyperlink ref="D1245" r:id="rId56" display="mailto:drmrinaldutta63@gmail.com" xr:uid="{00000000-0004-0000-0D00-000037000000}"/>
    <hyperlink ref="D1256" r:id="rId57" display="mailto:arddbkf@gmail.com" xr:uid="{00000000-0004-0000-0D00-000038000000}"/>
    <hyperlink ref="D613" r:id="rId58" display="mailto:drcsnorth.cooop@gmail.com" xr:uid="{00000000-0004-0000-0D00-000039000000}"/>
    <hyperlink ref="D691" r:id="rId59" display="mailto:deputyregistrardhalai@gmail.com" xr:uid="{00000000-0004-0000-0D00-00003A000000}"/>
    <hyperlink ref="D731" r:id="rId60" display="mailto:arcskamalpur@gmail.com" xr:uid="{00000000-0004-0000-0D00-00003B000000}"/>
    <hyperlink ref="D854" r:id="rId61" display="mailto:rcsacct2017@gmail.com" xr:uid="{00000000-0004-0000-0D00-00003C000000}"/>
    <hyperlink ref="D864" r:id="rId62" display="mailto:DRCSWESTTRIPURA@gmail.com" xr:uid="{00000000-0004-0000-0D00-00003D000000}"/>
    <hyperlink ref="D989" r:id="rId63" display="mailto:drcsgomati@gmail.com" xr:uid="{00000000-0004-0000-0D00-00003E000000}"/>
    <hyperlink ref="D1041" r:id="rId64" display="mailto:arcsamarpur@gmail.com" xr:uid="{00000000-0004-0000-0D00-00003F000000}"/>
    <hyperlink ref="D1067" r:id="rId65" display="mailto:drcssouth2014@gmail.com" xr:uid="{00000000-0004-0000-0D00-000040000000}"/>
    <hyperlink ref="D1095" r:id="rId66" display="mailto:arcs94364@gmail.com" xr:uid="{00000000-0004-0000-0D00-000041000000}"/>
    <hyperlink ref="D1215" r:id="rId67" display="mailto:arcs.teliamura@gmail.com" xr:uid="{00000000-0004-0000-0D00-000042000000}"/>
    <hyperlink ref="D1265" r:id="rId68" display="mailto:arcsstb@gmail.com" xr:uid="{00000000-0004-0000-0D00-000043000000}"/>
    <hyperlink ref="D1195" r:id="rId69" display="mailto:shomebhnupada@gmail.com" xr:uid="{00000000-0004-0000-0D00-000044000000}"/>
    <hyperlink ref="D666" r:id="rId70" display="mailto:dietkailashahar2004@gmail.com" xr:uid="{00000000-0004-0000-0D00-000045000000}"/>
    <hyperlink ref="D799" r:id="rId71" display="mailto:8227ddo@gmail.com" xr:uid="{00000000-0004-0000-0D00-000046000000}"/>
    <hyperlink ref="D805" r:id="rId72" display="mailto:8237ddo@gmail.com" xr:uid="{00000000-0004-0000-0D00-000047000000}"/>
    <hyperlink ref="D614" r:id="rId73" display="mailto:cdpokdmtl@gmail.com" xr:uid="{00000000-0004-0000-0D00-000048000000}"/>
    <hyperlink ref="D629" r:id="rId74" display="mailto:cdpodmnnp@gmail.com" xr:uid="{00000000-0004-0000-0D00-000049000000}"/>
    <hyperlink ref="D635" r:id="rId75" display="mailto:north.dise@gmail.com" xr:uid="{00000000-0004-0000-0D00-00004A000000}"/>
    <hyperlink ref="D663" r:id="rId76" display="mailto:cdpognr@gmail.com" xr:uid="{00000000-0004-0000-0D00-00004B000000}"/>
    <hyperlink ref="D667" r:id="rId77" display="mailto:cdpoklsnp@gmail.com" xr:uid="{00000000-0004-0000-0D00-00004C000000}"/>
    <hyperlink ref="D668" r:id="rId78" display="mailto:cdpodhq@gmail.com" xr:uid="{00000000-0004-0000-0D00-00004D000000}"/>
    <hyperlink ref="D675" r:id="rId79" display="mailto:cdpocmn@gmail.com" xr:uid="{00000000-0004-0000-0D00-00004E000000}"/>
    <hyperlink ref="D676" r:id="rId80" display="mailto:cdpomnu@gmail.com" xr:uid="{00000000-0004-0000-0D00-00004F000000}"/>
    <hyperlink ref="D697" r:id="rId81" display="mailto:dise.dh@gmail.com" xr:uid="{00000000-0004-0000-0D00-000050000000}"/>
    <hyperlink ref="D708" r:id="rId82" display="mailto:cdpoamb@gmail.com" xr:uid="{00000000-0004-0000-0D00-000051000000}"/>
    <hyperlink ref="D732" r:id="rId83" display="mailto:cdposlm@gmail.com" xr:uid="{00000000-0004-0000-0D00-000052000000}"/>
    <hyperlink ref="D742" r:id="rId84" display="mailto:cdpokmp@gmail.com" xr:uid="{00000000-0004-0000-0D00-000053000000}"/>
    <hyperlink ref="D751" r:id="rId85" display="mailto:cdpokh@gmail.com" xr:uid="{00000000-0004-0000-0D00-000054000000}"/>
    <hyperlink ref="D752" r:id="rId86" display="mailto:cdpotls@gmail.com" xr:uid="{00000000-0004-0000-0D00-000055000000}"/>
    <hyperlink ref="D758" r:id="rId87" display="mailto:cdpopdb@gmail.com" xr:uid="{00000000-0004-0000-0D00-000056000000}"/>
    <hyperlink ref="D763" r:id="rId88" display="mailto:cdpokhowainp@gmail.com" xr:uid="{00000000-0004-0000-0D00-000057000000}"/>
    <hyperlink ref="D769" r:id="rId89" display="mailto:disekhowai@gmail.com" xr:uid="{00000000-0004-0000-0D00-000058000000}"/>
    <hyperlink ref="D780" r:id="rId90" display="mailto:8007ddo@gmail.com" xr:uid="{00000000-0004-0000-0D00-000059000000}"/>
    <hyperlink ref="D783" r:id="rId91" display="mailto:cdpourban@gmail.com" xr:uid="{00000000-0004-0000-0D00-00005A000000}"/>
    <hyperlink ref="D790" r:id="rId92" display="mailto:wt_dise@yahoo.com" xr:uid="{00000000-0004-0000-0D00-00005B000000}"/>
    <hyperlink ref="D802" r:id="rId93" display="mailto:8231ddo@gmail.com" xr:uid="{00000000-0004-0000-0D00-00005C000000}"/>
    <hyperlink ref="D803" r:id="rId94" display="mailto:lvhboysshcool@gmail.com" xr:uid="{00000000-0004-0000-0D00-00005D000000}"/>
    <hyperlink ref="D804" r:id="rId95" display="mailto:lvhgirls1@gmail.com" xr:uid="{00000000-0004-0000-0D00-00005E000000}"/>
    <hyperlink ref="D823" r:id="rId96" display="mailto:awtc.ngr@gmail.com" xr:uid="{00000000-0004-0000-0D00-00005F000000}"/>
    <hyperlink ref="D824" r:id="rId97" display="mailto:cdpoagartala2@gmail.com" xr:uid="{00000000-0004-0000-0D00-000060000000}"/>
    <hyperlink ref="D825" r:id="rId98" display="mailto:juvenilehome1@gmail.com" xr:uid="{00000000-0004-0000-0D00-000061000000}"/>
    <hyperlink ref="D971" r:id="rId99" display="mailto:cdpoktl09@gmail.com" xr:uid="{00000000-0004-0000-0D00-000062000000}"/>
    <hyperlink ref="D983" r:id="rId100" display="mailto:cdpomtb@gmail.com" xr:uid="{00000000-0004-0000-0D00-000063000000}"/>
    <hyperlink ref="D991" r:id="rId101" display="mailto:disegomati@gmail.com" xr:uid="{00000000-0004-0000-0D00-000064000000}"/>
    <hyperlink ref="D1042" r:id="rId102" display="mailto:cdpoamp@gmail.com" xr:uid="{00000000-0004-0000-0D00-000065000000}"/>
    <hyperlink ref="D1043" r:id="rId103" display="mailto:cdpokbk@gmail.com" xr:uid="{00000000-0004-0000-0D00-000066000000}"/>
    <hyperlink ref="D1053" r:id="rId104" display="mailto:cdpoomp@gmail.com" xr:uid="{00000000-0004-0000-0D00-000067000000}"/>
    <hyperlink ref="D1057" r:id="rId105" display="mailto:cdpoamp@gmail.com" xr:uid="{00000000-0004-0000-0D00-000068000000}"/>
    <hyperlink ref="D1068" r:id="rId106" display="mailto:cdporjn@gmail.com" xr:uid="{00000000-0004-0000-0D00-000069000000}"/>
    <hyperlink ref="D1087" r:id="rId107" display="mailto:disesouthbln@gmail.com" xr:uid="{00000000-0004-0000-0D00-00006A000000}"/>
    <hyperlink ref="D1096" r:id="rId108" display="mailto:cdposatchand@gmail.com" xr:uid="{00000000-0004-0000-0D00-00006B000000}"/>
    <hyperlink ref="D1097" r:id="rId109" display="mailto:cdporpc@gmail.com" xr:uid="{00000000-0004-0000-0D00-00006C000000}"/>
    <hyperlink ref="D1108" r:id="rId110" display="mailto:cdposbm.np@gmail.com" xr:uid="{00000000-0004-0000-0D00-00006D000000}"/>
    <hyperlink ref="D1116" r:id="rId111" display="mailto:cdpojamp@gmail.com" xr:uid="{00000000-0004-0000-0D00-00006E000000}"/>
    <hyperlink ref="D1145" r:id="rId112" display="mailto:spjdise@gmail.com" xr:uid="{00000000-0004-0000-0D00-00006F000000}"/>
    <hyperlink ref="D1170" r:id="rId113" display="mailto:cdpo.dmc@gmail.com" xr:uid="{00000000-0004-0000-0D00-000070000000}"/>
    <hyperlink ref="D1180" r:id="rId114" display="mailto:cdpokgt@gmail.com" xr:uid="{00000000-0004-0000-0D00-000071000000}"/>
    <hyperlink ref="D1188" r:id="rId115" display="mailto:cdpo.kgtnp@gmail.com" xr:uid="{00000000-0004-0000-0D00-000072000000}"/>
    <hyperlink ref="D1198" r:id="rId116" display="mailto:dise.unakoti@gmail.com" xr:uid="{00000000-0004-0000-0D00-000073000000}"/>
    <hyperlink ref="D1206" r:id="rId117" display="mailto:cdpotlm@gmail.com" xr:uid="{00000000-0004-0000-0D00-000074000000}"/>
    <hyperlink ref="D1208" r:id="rId118" display="mailto:cdpoklp@gmail.com" xr:uid="{00000000-0004-0000-0D00-000075000000}"/>
    <hyperlink ref="D1209" r:id="rId119" display="mailto:cdpomk@gmail.com" xr:uid="{00000000-0004-0000-0D00-000076000000}"/>
    <hyperlink ref="D1211" r:id="rId120" display="mailto:cdpotlm.np110@gmail.com" xr:uid="{00000000-0004-0000-0D00-000077000000}"/>
    <hyperlink ref="D1225" r:id="rId121" display="mailto:cdpojrn@gmail.com" xr:uid="{00000000-0004-0000-0D00-000078000000}"/>
    <hyperlink ref="D1228" r:id="rId122" display="mailto:cdpornb@gmail.com" xr:uid="{00000000-0004-0000-0D00-000079000000}"/>
    <hyperlink ref="D1241" r:id="rId123" display="mailto:cdpohza@gmail.com" xr:uid="{00000000-0004-0000-0D00-00007A000000}"/>
    <hyperlink ref="D1242" r:id="rId124" display="mailto:cdpomp@gmail.com" xr:uid="{00000000-0004-0000-0D00-00007B000000}"/>
    <hyperlink ref="D1257" r:id="rId125" display="mailto:cdpobgf@gmail.com" xr:uid="{00000000-0004-0000-0D00-00007C000000}"/>
    <hyperlink ref="D1262" r:id="rId126" display="mailto:cdpostb@gmail.com" xr:uid="{00000000-0004-0000-0D00-00007D000000}"/>
    <hyperlink ref="D679" r:id="rId127" display="mailto:sportsofficerltv@gmail.com" xr:uid="{00000000-0004-0000-0D00-00007E000000}"/>
    <hyperlink ref="D716" r:id="rId128" display="mailto:ddyasdhalai@gmail.com" xr:uid="{00000000-0004-0000-0D00-00007F000000}"/>
    <hyperlink ref="D737" r:id="rId129" display="mailto:sdyaskmp2018@gmail.com" xr:uid="{00000000-0004-0000-0D00-000080000000}"/>
    <hyperlink ref="D753" r:id="rId130" display="mailto:districtyaskh@gmail.com" xr:uid="{00000000-0004-0000-0D00-000081000000}"/>
    <hyperlink ref="D787" r:id="rId131" display="mailto:8073ddo@gmail.com" xr:uid="{00000000-0004-0000-0D00-000082000000}"/>
    <hyperlink ref="D1051" r:id="rId132" display="mailto:sdyasamarpur12034@gmail.com" xr:uid="{00000000-0004-0000-0D00-000083000000}"/>
    <hyperlink ref="D1073" r:id="rId133" display="mailto:southyasbln@gmail.com" xr:uid="{00000000-0004-0000-0D00-000084000000}"/>
    <hyperlink ref="D1105" r:id="rId134" display="mailto:sports_sbm@gmail.com" xr:uid="{00000000-0004-0000-0D00-000085000000}"/>
    <hyperlink ref="D1119" r:id="rId135" display="mailto:blg7syas@gmail.com" xr:uid="{00000000-0004-0000-0D00-000086000000}"/>
    <hyperlink ref="D1168" r:id="rId136" display="mailto:rcpepanisagar3@gmail.com" xr:uid="{00000000-0004-0000-0D00-000087000000}"/>
    <hyperlink ref="D841" r:id="rId137" display="mailto:directorelementary18@rediffmail.com" xr:uid="{00000000-0004-0000-0D00-000088000000}"/>
    <hyperlink ref="D848" r:id="rId138" display="mailto:suman.banik@nic.in" xr:uid="{00000000-0004-0000-0D00-000089000000}"/>
    <hyperlink ref="D916" r:id="rId139" display="mailto:akinchansarkar@yahoo.co.in" xr:uid="{00000000-0004-0000-0D00-00008A000000}"/>
    <hyperlink ref="D786" r:id="rId140" display="mailto:dif_agt@yahoo.in" xr:uid="{00000000-0004-0000-0D00-00008B000000}"/>
    <hyperlink ref="D631" r:id="rId141" display="mailto:excisenorth@gmail.com" xr:uid="{00000000-0004-0000-0D00-00008C000000}"/>
    <hyperlink ref="D632" r:id="rId142" display="mailto:stcrb.tax-tr@gov.in" xr:uid="{00000000-0004-0000-0D00-00008D000000}"/>
    <hyperlink ref="D661" r:id="rId143" display="mailto:stkls.tax-tr@gov.in" xr:uid="{00000000-0004-0000-0D00-00008E000000}"/>
    <hyperlink ref="D711" r:id="rId144" display="mailto:excisedhalai@gmail.com" xr:uid="{00000000-0004-0000-0D00-00008F000000}"/>
    <hyperlink ref="D715" r:id="rId145" display="mailto:stamb.tax-tr@gov.in" xr:uid="{00000000-0004-0000-0D00-000090000000}"/>
    <hyperlink ref="D765" r:id="rId146" display="mailto:excisekhowai@gmail.com" xr:uid="{00000000-0004-0000-0D00-000091000000}"/>
    <hyperlink ref="D1009" r:id="rId147" display="mailto:gomatiexcise123@gmail.com" xr:uid="{00000000-0004-0000-0D00-000092000000}"/>
    <hyperlink ref="D1012" r:id="rId148" display="mailto:studp.tax-tr@gov.in" xr:uid="{00000000-0004-0000-0D00-000093000000}"/>
    <hyperlink ref="D665" r:id="rId149" display="mailto:iti.kailashahar@gmail.com" xr:uid="{00000000-0004-0000-0D00-000094000000}"/>
    <hyperlink ref="D688" r:id="rId150" display="mailto:itiltvalley2017@gmail.com" xr:uid="{00000000-0004-0000-0D00-000095000000}"/>
    <hyperlink ref="D713" r:id="rId151" display="mailto:itiambassa@gmail.com" xr:uid="{00000000-0004-0000-0D00-000096000000}"/>
    <hyperlink ref="D768" r:id="rId152" display="mailto:itikhowai@gmail.com" xr:uid="{00000000-0004-0000-0D00-000097000000}"/>
    <hyperlink ref="D857" r:id="rId153" display="mailto:acctt.sectionic17@gmail.com" xr:uid="{00000000-0004-0000-0D00-000098000000}"/>
    <hyperlink ref="D861" r:id="rId154" display="mailto:itiagartala@gmail.com" xr:uid="{00000000-0004-0000-0D00-000099000000}"/>
    <hyperlink ref="D891" r:id="rId155" display="mailto:dicaw8@gmail.com" xr:uid="{00000000-0004-0000-0D00-00009A000000}"/>
    <hyperlink ref="D919" r:id="rId156" display="mailto:witi.tripura@gmail.com" xr:uid="{00000000-0004-0000-0D00-00009B000000}"/>
    <hyperlink ref="D1001" r:id="rId157" display="mailto:generalmanagerdicgomati@gmail.com" xr:uid="{00000000-0004-0000-0D00-00009C000000}"/>
    <hyperlink ref="D1111" r:id="rId158" display="mailto:itimanubankul@gmail.com" xr:uid="{00000000-0004-0000-0D00-00009D000000}"/>
    <hyperlink ref="D1221" r:id="rId159" display="mailto:itikhowai@gmail.com" xr:uid="{00000000-0004-0000-0D00-00009E000000}"/>
    <hyperlink ref="D1236" r:id="rId160" display="mailto:itikhumlwng@gmail.com" xr:uid="{00000000-0004-0000-0D00-00009F000000}"/>
    <hyperlink ref="D611" r:id="rId161" display="mailto:cdpomnd@gmail.com" xr:uid="{00000000-0004-0000-0D00-0000A0000000}"/>
    <hyperlink ref="D704" r:id="rId162" display="mailto:gmdicdhalai@gmail.com" xr:uid="{00000000-0004-0000-0D00-0000A1000000}"/>
    <hyperlink ref="D721" r:id="rId163" display="mailto:murasingn@gmail.com" xr:uid="{00000000-0004-0000-0D00-0000A2000000}"/>
    <hyperlink ref="D846" r:id="rId164" display="mailto:directorthhs@gmail.com" xr:uid="{00000000-0004-0000-0D00-0000A3000000}"/>
    <hyperlink ref="D859" r:id="rId165" display="mailto:directorthhs@gmail.com" xr:uid="{00000000-0004-0000-0D00-0000A4000000}"/>
    <hyperlink ref="D1260" r:id="rId166" display="mailto:sericulturestb272@gmail.com" xr:uid="{00000000-0004-0000-0D00-0000A5000000}"/>
    <hyperlink ref="D690" r:id="rId167" display="mailto:districticadhalai@gmail.com" xr:uid="{00000000-0004-0000-0D00-0000A6000000}"/>
    <hyperlink ref="D770" r:id="rId168" display="mailto:dicakhowai@gmail.com" xr:uid="{00000000-0004-0000-0D00-0000A7000000}"/>
    <hyperlink ref="D852" r:id="rId169" display="mailto:cashsectionicadept@gmail.com" xr:uid="{00000000-0004-0000-0D00-0000A8000000}"/>
    <hyperlink ref="D903" r:id="rId170" display="mailto:districticaoffice.west17@gmail.com" xr:uid="{00000000-0004-0000-0D00-0000A9000000}"/>
    <hyperlink ref="D705" r:id="rId171" display="mailto:lodhalai04@gmail.com" xr:uid="{00000000-0004-0000-0D00-0000AA000000}"/>
    <hyperlink ref="D774" r:id="rId172" display="mailto:labourofficerkhowai@gmail.com" xr:uid="{00000000-0004-0000-0D00-0000AB000000}"/>
    <hyperlink ref="D855" r:id="rId173" display="mailto:1ctripura.agt@gmail.com" xr:uid="{00000000-0004-0000-0D00-0000AC000000}"/>
    <hyperlink ref="D867" r:id="rId174" display="mailto:abtripuraclo@gmail.com" xr:uid="{00000000-0004-0000-0D00-0000AD000000}"/>
    <hyperlink ref="D1004" r:id="rId175" display="mailto:dloudp2015@gmail.com" xr:uid="{00000000-0004-0000-0D00-0000AE000000}"/>
    <hyperlink ref="D1153" r:id="rId176" display="mailto:labourofficerspj59@gmail.com" xr:uid="{00000000-0004-0000-0D00-0000AF000000}"/>
    <hyperlink ref="D655" r:id="rId177" display="mailto:ifukls@yahoo.com" xr:uid="{00000000-0004-0000-0D00-0000B0000000}"/>
    <hyperlink ref="D893" r:id="rId178" display="mailto:cifbtrp@yahoo.co.in" xr:uid="{00000000-0004-0000-0D00-0000B1000000}"/>
    <hyperlink ref="D1002" r:id="rId179" display="mailto:suryapal_m@yahoo.com" xr:uid="{00000000-0004-0000-0D00-0000B2000000}"/>
    <hyperlink ref="D612" r:id="rId180" display="mailto:deedmn2017@gmail.com" xr:uid="{00000000-0004-0000-0D00-0000B3000000}"/>
    <hyperlink ref="D696" r:id="rId181" display="mailto:deedhalai1996@gmail.com" xr:uid="{00000000-0004-0000-0D00-0000B4000000}"/>
    <hyperlink ref="D853" r:id="rId182" display="mailto:rajesh.datta1578@gmail.com" xr:uid="{00000000-0004-0000-0D00-0000B5000000}"/>
    <hyperlink ref="D860" r:id="rId183" display="mailto:spleodesmp.agt-tr@gov.in" xr:uid="{00000000-0004-0000-0D00-0000B6000000}"/>
    <hyperlink ref="D896" r:id="rId184" display="mailto:spleodesmp.agt-tr@gov.in" xr:uid="{00000000-0004-0000-0D00-0000B7000000}"/>
    <hyperlink ref="D995" r:id="rId185" display="mailto:deeudaipur6@gmail.com" xr:uid="{00000000-0004-0000-0D00-0000B8000000}"/>
    <hyperlink ref="D650" r:id="rId186" display="mailto:dsounakoti939@gmail.com" xr:uid="{00000000-0004-0000-0D00-0000B9000000}"/>
    <hyperlink ref="D718" r:id="rId187" display="mailto:dsodhalai18@gmail.com" xr:uid="{00000000-0004-0000-0D00-0000BA000000}"/>
    <hyperlink ref="D868" r:id="rId188" display="mailto:dsowest234@gmail.com" xr:uid="{00000000-0004-0000-0D00-0000BB000000}"/>
    <hyperlink ref="D898" r:id="rId189" display="mailto:destripura@gmail.com" xr:uid="{00000000-0004-0000-0D00-0000BC000000}"/>
    <hyperlink ref="D1007" r:id="rId190" display="mailto:dsogomati@gmail.com" xr:uid="{00000000-0004-0000-0D00-0000BD000000}"/>
    <hyperlink ref="D649" r:id="rId191" display="mailto:bikashsarkar2395@gmail.com" xr:uid="{00000000-0004-0000-0D00-0000BE000000}"/>
    <hyperlink ref="D707" r:id="rId192" display="mailto:dpo.dhalai44@gmail.com" xr:uid="{00000000-0004-0000-0D00-0000BF000000}"/>
    <hyperlink ref="D807" r:id="rId193" display="mailto:8242ddo@gmail.com" xr:uid="{00000000-0004-0000-0D00-0000C0000000}"/>
    <hyperlink ref="D683" r:id="rId194" display="mailto:manudgm03@gmail.com" xr:uid="{00000000-0004-0000-0D00-0000C1000000}"/>
    <hyperlink ref="D700" r:id="rId195" display="mailto:dgmambassa@yahoo.com" xr:uid="{00000000-0004-0000-0D00-0000C2000000}"/>
    <hyperlink ref="D948" r:id="rId196" display="mailto:eedwsstoreagt@gmail.com" xr:uid="{00000000-0004-0000-0D00-0000C3000000}"/>
    <hyperlink ref="D998" r:id="rId197" display="mailto:eedwsudaipur@yahoo.com" xr:uid="{00000000-0004-0000-0D00-0000C4000000}"/>
    <hyperlink ref="D1030" r:id="rId198" display="mailto:sedwsudp@yahoo.com" xr:uid="{00000000-0004-0000-0D00-0000C5000000}"/>
    <hyperlink ref="D1127" r:id="rId199" display="mailto:eedwsdivisionblg@gmail.com" xr:uid="{00000000-0004-0000-0D00-0000C6000000}"/>
    <hyperlink ref="D1181" r:id="rId200" display="mailto:eedwsdkgt@gmail.com" xr:uid="{00000000-0004-0000-0D00-0000C7000000}"/>
    <hyperlink ref="D1191" r:id="rId201" display="mailto:sedwsckgt@gmail.com" xr:uid="{00000000-0004-0000-0D00-0000C8000000}"/>
    <hyperlink ref="D1214" r:id="rId202" display="mailto:eeklp123pwddws@gmail.com" xr:uid="{00000000-0004-0000-0D00-0000C9000000}"/>
    <hyperlink ref="D684" r:id="rId203" display="mailto:sroltv.clt@gmail.com" xr:uid="{00000000-0004-0000-0D00-0000CA000000}"/>
    <hyperlink ref="D698" r:id="rId204" display="mailto:srambassa@gmail.com" xr:uid="{00000000-0004-0000-0D00-0000CB000000}"/>
    <hyperlink ref="D915" r:id="rId205" display="mailto:santimay.d@gov.in" xr:uid="{00000000-0004-0000-0D00-0000CC000000}"/>
    <hyperlink ref="D1100" r:id="rId206" display="mailto:srosabroom14@gmail.com" xr:uid="{00000000-0004-0000-0D00-0000CD000000}"/>
    <hyperlink ref="D789" r:id="rId207" display="mailto:jsrevenue2018@gmail.com" xr:uid="{00000000-0004-0000-0D00-0000CE000000}"/>
    <hyperlink ref="D754" r:id="rId208" display="mailto:srokhowai@gmail.com" xr:uid="{00000000-0004-0000-0D00-0000CF000000}"/>
    <hyperlink ref="D1045" r:id="rId209" display="mailto:sroamarpur@gmail.com" xr:uid="{00000000-0004-0000-0D00-0000D0000000}"/>
    <hyperlink ref="D1176" r:id="rId210" display="mailto:srokumarghat2017@gmail.com" xr:uid="{00000000-0004-0000-0D00-0000D1000000}"/>
    <hyperlink ref="D1222" r:id="rId211" display="mailto:srotlm.dcm@gmail.com" xr:uid="{00000000-0004-0000-0D00-0000D2000000}"/>
    <hyperlink ref="D685" r:id="rId212" display="mailto:eerddd2@gmail.com" xr:uid="{00000000-0004-0000-0D00-0000D3000000}"/>
    <hyperlink ref="D703" r:id="rId213" display="mailto:eerdddhalai1@gmail.com" xr:uid="{00000000-0004-0000-0D00-0000D4000000}"/>
    <hyperlink ref="D725" r:id="rId214" display="mailto:serd4th@gmail.com" xr:uid="{00000000-0004-0000-0D00-0000D5000000}"/>
    <hyperlink ref="D793" r:id="rId215" display="mailto:ee2tocerd@gmail.com" xr:uid="{00000000-0004-0000-0D00-0000D6000000}"/>
    <hyperlink ref="D795" r:id="rId216" display="mailto:rdsrore10@gamil.com" xr:uid="{00000000-0004-0000-0D00-0000D7000000}"/>
    <hyperlink ref="D826" r:id="rId217" display="mailto:serdc.agt@gmail.com" xr:uid="{00000000-0004-0000-0D00-0000D8000000}"/>
    <hyperlink ref="D1029" r:id="rId218" display="mailto:rdcircle2@gmail.com" xr:uid="{00000000-0004-0000-0D00-0000D9000000}"/>
    <hyperlink ref="D1058" r:id="rId219" display="mailto:eerdamarpur@gmail.com" xr:uid="{00000000-0004-0000-0D00-0000DA000000}"/>
    <hyperlink ref="D1109" r:id="rId220" display="mailto:eerddstc@gmail.com" xr:uid="{00000000-0004-0000-0D00-0000DB000000}"/>
    <hyperlink ref="D761" r:id="rId221" display="mailto:electricaldiv.khowai@gmail.com" xr:uid="{00000000-0004-0000-0D00-0000DC000000}"/>
    <hyperlink ref="D932" r:id="rId222" display="mailto:eepower1234@gmail.com" xr:uid="{00000000-0004-0000-0D00-0000DD000000}"/>
    <hyperlink ref="D934" r:id="rId223" display="mailto:gpfpensionwest@gmail.com" xr:uid="{00000000-0004-0000-0D00-0000DE000000}"/>
    <hyperlink ref="D1023" r:id="rId224" display="mailto:dgmtdudp@gmail.com" xr:uid="{00000000-0004-0000-0D00-0000DF000000}"/>
    <hyperlink ref="D653" r:id="rId225" display="mailto:eeklspwd@yahoo.in" xr:uid="{00000000-0004-0000-0D00-0000E1000000}"/>
    <hyperlink ref="D681" r:id="rId226" display="mailto:ltvdivisionpwdmanu@gmail.com" xr:uid="{00000000-0004-0000-0D00-0000E2000000}"/>
    <hyperlink ref="D702" r:id="rId227" display="mailto:eeamb2016@gmail.com" xr:uid="{00000000-0004-0000-0D00-0000E3000000}"/>
    <hyperlink ref="D720" r:id="rId228" display="mailto:5thcircleambassa@gmail.com" xr:uid="{00000000-0004-0000-0D00-0000E4000000}"/>
    <hyperlink ref="D723" r:id="rId229" display="mailto:iedivisionambassa@gmail.com" xr:uid="{00000000-0004-0000-0D00-0000E5000000}"/>
    <hyperlink ref="D762" r:id="rId230" display="mailto:pwdkhw@gmail.com" xr:uid="{00000000-0004-0000-0D00-0000E6000000}"/>
    <hyperlink ref="D847" r:id="rId231" display="mailto:arch_pwd@rediffmail.com" xr:uid="{00000000-0004-0000-0D00-0000E7000000}"/>
    <hyperlink ref="D875" r:id="rId232" display="mailto:electricalinspectorate@yahoo.in" xr:uid="{00000000-0004-0000-0D00-0000E8000000}"/>
    <hyperlink ref="D876" r:id="rId233" display="mailto:estateofficerpwd@gmail.com" xr:uid="{00000000-0004-0000-0D00-0000E9000000}"/>
    <hyperlink ref="D877" r:id="rId234" display="mailto:executive.engineer6244@gmail.com" xr:uid="{00000000-0004-0000-0D00-0000EA000000}"/>
    <hyperlink ref="D878" r:id="rId235" display="mailto:agtdiv3pwd@gmail.com" xr:uid="{00000000-0004-0000-0D00-0000EB000000}"/>
    <hyperlink ref="D879" r:id="rId236" display="mailto:agartaladiv5@gmail.com" xr:uid="{00000000-0004-0000-0D00-0000EC000000}"/>
    <hyperlink ref="D881" r:id="rId237" display="mailto:eeccdpwd@gmail.com" xr:uid="{00000000-0004-0000-0D00-0000ED000000}"/>
    <hyperlink ref="D885" r:id="rId238" display="mailto:ied.pwd@gmail.com" xr:uid="{00000000-0004-0000-0D00-0000EE000000}"/>
    <hyperlink ref="D886" r:id="rId239" display="mailto:mech.div.agt@gmail.com" xr:uid="{00000000-0004-0000-0D00-0000EF000000}"/>
    <hyperlink ref="D901" r:id="rId240" display="mailto:cepwdtripura@gmail.com" xr:uid="{00000000-0004-0000-0D00-0000F0000000}"/>
    <hyperlink ref="D909" r:id="rId241" display="mailto:taplanning17@gmail.com" xr:uid="{00000000-0004-0000-0D00-0000F1000000}"/>
    <hyperlink ref="D910" r:id="rId242" display="mailto:se2ndcash@gmail.com" xr:uid="{00000000-0004-0000-0D00-0000F2000000}"/>
    <hyperlink ref="D911" r:id="rId243" display="mailto:sepwd4thcircle@gmail.com" xr:uid="{00000000-0004-0000-0D00-0000F3000000}"/>
    <hyperlink ref="D937" r:id="rId244" display="mailto:surjyakumar68@gmail.com" xr:uid="{00000000-0004-0000-0D00-0000F4000000}"/>
    <hyperlink ref="D955" r:id="rId245" display="mailto:pmgsytripura@gmail.com" xr:uid="{00000000-0004-0000-0D00-0000F5000000}"/>
    <hyperlink ref="D957" r:id="rId246" display="mailto:eestoredivision@gmail.com" xr:uid="{00000000-0004-0000-0D00-0000F6000000}"/>
    <hyperlink ref="D1039" r:id="rId247" display="mailto:eeiedudaipur@gmail.com" xr:uid="{00000000-0004-0000-0D00-0000F7000000}"/>
    <hyperlink ref="D1044" r:id="rId248" display="mailto:erbjnd123@gmail.com" xr:uid="{00000000-0004-0000-0D00-0000F8000000}"/>
    <hyperlink ref="D1098" r:id="rId249" display="mailto:eepwdsbm2015@gmail.com" xr:uid="{00000000-0004-0000-0D00-0000F9000000}"/>
    <hyperlink ref="D1125" r:id="rId250" display="mailto:pwdbishalgarhdivision@gmail.com" xr:uid="{00000000-0004-0000-0D00-0000FA000000}"/>
    <hyperlink ref="D1135" r:id="rId251" display="mailto:eepwdbrsdiv@rediffmail.com" xr:uid="{00000000-0004-0000-0D00-0000FB000000}"/>
    <hyperlink ref="D1182" r:id="rId252" display="mailto:eepwdkumarghat@gmail.com" xr:uid="{00000000-0004-0000-0D00-0000FC000000}"/>
    <hyperlink ref="D1184" r:id="rId253" display="mailto:se1stcircle2016@gmail.com" xr:uid="{00000000-0004-0000-0D00-0000FD000000}"/>
    <hyperlink ref="D1190" r:id="rId254" display="mailto:pmgsysekgt@gmail.com" xr:uid="{00000000-0004-0000-0D00-0000FE000000}"/>
    <hyperlink ref="D1194" r:id="rId255" display="mailto:eenhkgt@gmail.com" xr:uid="{00000000-0004-0000-0D00-0000FF000000}"/>
    <hyperlink ref="D1197" r:id="rId256" display="mailto:pmgsydivnkgt@gmail.com" xr:uid="{00000000-0004-0000-0D00-000000010000}"/>
    <hyperlink ref="D1223" r:id="rId257" display="mailto:tdb123teliamura@gmail.com" xr:uid="{00000000-0004-0000-0D00-000001010000}"/>
    <hyperlink ref="D1258" r:id="rId258" display="mailto:pwdsantirbazardivision@gmail.com" xr:uid="{00000000-0004-0000-0D00-000002010000}"/>
    <hyperlink ref="D1269" r:id="rId259" display="mailto:eenhstb@gmail.com" xr:uid="{00000000-0004-0000-0D00-000003010000}"/>
    <hyperlink ref="D883" r:id="rId260" display="mailto:wrdivision1@rediffmail.com" xr:uid="{00000000-0004-0000-0D00-000004010000}"/>
    <hyperlink ref="D884" r:id="rId261" display="mailto:executiveengineerwrd2agt@gmail.com" xr:uid="{00000000-0004-0000-0D00-000005010000}"/>
    <hyperlink ref="D890" r:id="rId262" display="mailto:bsaha64@gmail.com" xr:uid="{00000000-0004-0000-0D00-000006010000}"/>
    <hyperlink ref="D900" r:id="rId263" display="mailto:cepwdwr@gmail.com" xr:uid="{00000000-0004-0000-0D00-000007010000}"/>
    <hyperlink ref="D907" r:id="rId264" display="mailto:ddosewrci@gmail.com" xr:uid="{00000000-0004-0000-0D00-000008010000}"/>
    <hyperlink ref="D912" r:id="rId265" display="mailto:sewrpc@gmail.com" xr:uid="{00000000-0004-0000-0D00-000009010000}"/>
    <hyperlink ref="D997" r:id="rId266" display="mailto:eepwdwrudpiii@rediffmail.com" xr:uid="{00000000-0004-0000-0D00-00000A010000}"/>
    <hyperlink ref="D1031" r:id="rId267" display="mailto:sewrcudp@gmail.com" xr:uid="{00000000-0004-0000-0D00-00000B010000}"/>
    <hyperlink ref="D1178" r:id="rId268" display="mailto:wrdviiptl@gmail.com" xr:uid="{00000000-0004-0000-0D00-00000C010000}"/>
    <hyperlink ref="D1183" r:id="rId269" display="mailto:sewrckgt@gmail.com" xr:uid="{00000000-0004-0000-0D00-00000D010000}"/>
    <hyperlink ref="D628" r:id="rId270" display="mailto:eedwsdmn@gmail.com" xr:uid="{00000000-0004-0000-0D00-00000E010000}"/>
    <hyperlink ref="D701" r:id="rId271" display="mailto:dwsdhalaiambassa@gmail.com" xr:uid="{00000000-0004-0000-0D00-00000F010000}"/>
    <hyperlink ref="D706" r:id="rId272" display="mailto:dwscircleambassa@gmail.com" xr:uid="{00000000-0004-0000-0D00-000010010000}"/>
    <hyperlink ref="D887" r:id="rId273" display="mailto:dwsdivagartala1@gmail.com" xr:uid="{00000000-0004-0000-0D00-000011010000}"/>
    <hyperlink ref="D888" r:id="rId274" display="mailto:dwsdivisionagartala2@yahoo.com" xr:uid="{00000000-0004-0000-0D00-000012010000}"/>
    <hyperlink ref="D889" r:id="rId275" display="mailto:rigdivision@gmail.com" xr:uid="{00000000-0004-0000-0D00-000013010000}"/>
    <hyperlink ref="D908" r:id="rId276" display="mailto:dwscircle@gmail.com" xr:uid="{00000000-0004-0000-0D00-000014010000}"/>
    <hyperlink ref="D933" r:id="rId277" display="mailto:sodwstripura@gmail.com" xr:uid="{00000000-0004-0000-0D00-000015010000}"/>
    <hyperlink ref="D1078" r:id="rId278" display="mailto:stbln.tax-tr@gov.in" xr:uid="{00000000-0004-0000-0D00-000016010000}"/>
    <hyperlink ref="D1084" r:id="rId279" display="mailto:rajibsouthexcise@gmail.com" xr:uid="{00000000-0004-0000-0D00-000017010000}"/>
    <hyperlink ref="D1118" r:id="rId280" display="mailto:stblg.tax-tr@gov.in" xr:uid="{00000000-0004-0000-0D00-000018010000}"/>
    <hyperlink ref="D1140" r:id="rId281" display="mailto:excisespj@gmail.com" xr:uid="{00000000-0004-0000-0D00-000019010000}"/>
    <hyperlink ref="D1210" r:id="rId282" display="mailto:sttlm.tax-tr@gov.in" xr:uid="{00000000-0004-0000-0D00-00001A010000}"/>
    <hyperlink ref="D641" r:id="rId283" display="mailto:treasury.dmn@gmail.com" xr:uid="{00000000-0004-0000-0D00-00001B010000}"/>
    <hyperlink ref="D689" r:id="rId284" display="mailto:stoltv@yahoo.com" xr:uid="{00000000-0004-0000-0D00-00001C010000}"/>
    <hyperlink ref="D712" r:id="rId285" display="mailto:dhalaitreasury@gmail.com" xr:uid="{00000000-0004-0000-0D00-00001D010000}"/>
    <hyperlink ref="D760" r:id="rId286" display="mailto:to.khowai@gmail.com" xr:uid="{00000000-0004-0000-0D00-00001E010000}"/>
    <hyperlink ref="D820" r:id="rId287" display="mailto:agartalatreasutyno1@gmail.com" xr:uid="{00000000-0004-0000-0D00-00001F010000}"/>
    <hyperlink ref="D1016" r:id="rId288" display="mailto:districttreasuryudaipur@gmail.com" xr:uid="{00000000-0004-0000-0D00-000020010000}"/>
    <hyperlink ref="D1050" r:id="rId289" display="mailto:stoamarpur@gmail.com" xr:uid="{00000000-0004-0000-0D00-000021010000}"/>
    <hyperlink ref="D1080" r:id="rId290" display="mailto:stobelonia@gmail.com" xr:uid="{00000000-0004-0000-0D00-000022010000}"/>
    <hyperlink ref="D1113" r:id="rId291" display="mailto:stosbm@gmail.com" xr:uid="{00000000-0004-0000-0D00-000023010000}"/>
    <hyperlink ref="D1165" r:id="rId292" display="mailto:stopanisagar@gmail.com" xr:uid="{00000000-0004-0000-0D00-000024010000}"/>
    <hyperlink ref="D1175" r:id="rId293" display="mailto:sto_kgt@yahoo.com" xr:uid="{00000000-0004-0000-0D00-000025010000}"/>
    <hyperlink ref="D1204" r:id="rId294" display="mailto:stoteliamura@gmail.com" xr:uid="{00000000-0004-0000-0D00-000026010000}"/>
    <hyperlink ref="D1240" r:id="rId295" display="mailto:stomnp2017@gmail.com" xr:uid="{00000000-0004-0000-0D00-000027010000}"/>
    <hyperlink ref="D623" r:id="rId296" display="mailto:sfdmr.north@gmail.com" xr:uid="{00000000-0004-0000-0D00-000028010000}"/>
    <hyperlink ref="D678" r:id="rId297" display="mailto:supdtoffisheries@gmail.com" xr:uid="{00000000-0004-0000-0D00-000029010000}"/>
    <hyperlink ref="D724" r:id="rId298" display="mailto:sfambassa@gmail.com" xr:uid="{00000000-0004-0000-0D00-00002A010000}"/>
    <hyperlink ref="D736" r:id="rId299" display="mailto:sfkmp200@gmail.com" xr:uid="{00000000-0004-0000-0D00-00002B010000}"/>
    <hyperlink ref="D756" r:id="rId300" display="mailto:sfkhowai@yahoo.com" xr:uid="{00000000-0004-0000-0D00-00002C010000}"/>
    <hyperlink ref="D894" r:id="rId301" display="mailto:dir.fisheriestr@gov.in" xr:uid="{00000000-0004-0000-0D00-00002D010000}"/>
    <hyperlink ref="D906" r:id="rId302" display="mailto:sfsadar2016@gmail.com" xr:uid="{00000000-0004-0000-0D00-00002E010000}"/>
    <hyperlink ref="D968" r:id="rId303" display="mailto:sfsonamura@gmail.com" xr:uid="{00000000-0004-0000-0D00-00002F010000}"/>
    <hyperlink ref="D1010" r:id="rId304" display="mailto:printftifisheries-tr@gov.in" xr:uid="{00000000-0004-0000-0D00-000030010000}"/>
    <hyperlink ref="D1011" r:id="rId305" display="mailto:sfudaipur@gmail.com" xr:uid="{00000000-0004-0000-0D00-000031010000}"/>
    <hyperlink ref="D1047" r:id="rId306" display="mailto:sffisheriesamarpur2018@gmail.com" xr:uid="{00000000-0004-0000-0D00-000032010000}"/>
    <hyperlink ref="D1072" r:id="rId307" display="mailto:sukeshanurag@gmail.com" xr:uid="{00000000-0004-0000-0D00-000033010000}"/>
    <hyperlink ref="D1102" r:id="rId308" display="mailto:sfsabroom@gmail.com" xr:uid="{00000000-0004-0000-0D00-000034010000}"/>
    <hyperlink ref="D1132" r:id="rId309" display="mailto:sfbishalgarh@gmail.com" xr:uid="{00000000-0004-0000-0D00-000035010000}"/>
    <hyperlink ref="D1201" r:id="rId310" display="mailto:fisheries2016@gmail.com" xr:uid="{00000000-0004-0000-0D00-000036010000}"/>
    <hyperlink ref="D1213" r:id="rId311" display="mailto:sftlmchakmaghat@gmail.com" xr:uid="{00000000-0004-0000-0D00-000037010000}"/>
    <hyperlink ref="D1264" r:id="rId312" display="mailto:sfsantirbazar100@gmail.com" xr:uid="{00000000-0004-0000-0D00-000038010000}"/>
    <hyperlink ref="D717" r:id="rId313" display="mailto:ac.legalmetrology.dhalai@gmail.com" xr:uid="{00000000-0004-0000-0D00-000039010000}"/>
    <hyperlink ref="D845" r:id="rId314" display="mailto:dfcstripura@gmail.com" xr:uid="{00000000-0004-0000-0D00-00003A010000}"/>
    <hyperlink ref="D980" r:id="rId315" display="mailto:dclm.udp@gmail.com" xr:uid="{00000000-0004-0000-0D00-00003B010000}"/>
    <hyperlink ref="D687" r:id="rId316" display="mailto:sdfomanu@gmail.com" xr:uid="{00000000-0004-0000-0D00-00003C010000}"/>
    <hyperlink ref="D727" r:id="rId317" display="mailto:sdfoabs@gmail.com" xr:uid="{00000000-0004-0000-0D00-00003D010000}"/>
    <hyperlink ref="D728" r:id="rId318" display="mailto:distfodhalai@yahoo.in" xr:uid="{00000000-0004-0000-0D00-00003E010000}"/>
    <hyperlink ref="D771" r:id="rId319" display="mailto:asdfokhowai@gmail.com" xr:uid="{00000000-0004-0000-0D00-00003F010000}"/>
    <hyperlink ref="D870" r:id="rId320" display="mailto:adasdcf@gmail.com" xr:uid="{00000000-0004-0000-0D00-000040010000}"/>
    <hyperlink ref="D871" r:id="rId321" display="mailto:dcftraining.tripura@gmail.com" xr:uid="{00000000-0004-0000-0D00-000041010000}"/>
    <hyperlink ref="D872" r:id="rId322" display="mailto:working.2.tripura@gmail.com" xr:uid="{00000000-0004-0000-0D00-000042010000}"/>
    <hyperlink ref="D874" r:id="rId323" display="mailto:ceomptripura@gmail.com" xr:uid="{00000000-0004-0000-0D00-000043010000}"/>
    <hyperlink ref="D951" r:id="rId324" display="mailto:sdfosadar@gmail.com" xr:uid="{00000000-0004-0000-0D00-000044010000}"/>
    <hyperlink ref="D1018" r:id="rId325" display="mailto:factorytfdpc@gmail.com" xr:uid="{00000000-0004-0000-0D00-000045010000}"/>
    <hyperlink ref="D1061" r:id="rId326" display="mailto:sdfoamarpur@outlook.com" xr:uid="{00000000-0004-0000-0D00-000046010000}"/>
    <hyperlink ref="D1062" r:id="rId327" display="mailto:sdfokarbook@gmail.com" xr:uid="{00000000-0004-0000-0D00-000047010000}"/>
    <hyperlink ref="D1089" r:id="rId328" display="mailto:dfosouth15@gmail.com" xr:uid="{00000000-0004-0000-0D00-000048010000}"/>
    <hyperlink ref="D1112" r:id="rId329" display="mailto:sdfosabroom@gmail.com" xr:uid="{00000000-0004-0000-0D00-000049010000}"/>
    <hyperlink ref="D1193" r:id="rId330" display="mailto:sdfokgt@gmail.com" xr:uid="{00000000-0004-0000-0D00-00004A010000}"/>
    <hyperlink ref="D1202" r:id="rId331" display="mailto:districtforest@gmail.com" xr:uid="{00000000-0004-0000-0D00-00004B010000}"/>
    <hyperlink ref="D1218" r:id="rId332" display="mailto:dtfokhowai@gmail.com" xr:uid="{00000000-0004-0000-0D00-00004C010000}"/>
    <hyperlink ref="D1219" r:id="rId333" display="mailto:sdfo.teliamura@gmail.com" xr:uid="{00000000-0004-0000-0D00-00004D010000}"/>
    <hyperlink ref="D1237" r:id="rId334" display="mailto:sdfomandai@gmail.com" xr:uid="{00000000-0004-0000-0D00-00004E010000}"/>
    <hyperlink ref="D1268" r:id="rId335" display="mailto:sdfobagafa@gmail.com" xr:uid="{00000000-0004-0000-0D00-00004F010000}"/>
    <hyperlink ref="D796" r:id="rId336" display="mailto:vigilance.s@yahoo.com" xr:uid="{00000000-0004-0000-0D00-000050010000}"/>
    <hyperlink ref="D1243" r:id="rId337" display="mailto:debnathb160@gmail.com" xr:uid="{00000000-0004-0000-0D00-000051010000}"/>
    <hyperlink ref="D917" r:id="rId338" display="mailto:rsb.tripura@gmail.com" xr:uid="{00000000-0004-0000-0D00-000052010000}"/>
    <hyperlink ref="D842" r:id="rId339" display="mailto:excisetripura@yahoo.com" xr:uid="{00000000-0004-0000-0D00-000053010000}"/>
    <hyperlink ref="D964" r:id="rId340" display="mailto:cdpomlg@gmail.com" xr:uid="{00000000-0004-0000-0D00-000054010000}"/>
    <hyperlink ref="D970" r:id="rId341" display="mailto:cdpo_boxn@yahoo.com" xr:uid="{00000000-0004-0000-0D00-000055010000}"/>
    <hyperlink ref="D974" r:id="rId342" display="mailto:cdposnp@gmail.com" xr:uid="{00000000-0004-0000-0D00-000056010000}"/>
    <hyperlink ref="D982" r:id="rId343" display="mailto:cdpokilla@gmail.com" xr:uid="{00000000-0004-0000-0D00-000057010000}"/>
    <hyperlink ref="D1017" r:id="rId344" display="mailto:cdpokb@gmail.com" xr:uid="{00000000-0004-0000-0D00-000058010000}"/>
    <hyperlink ref="D1019" r:id="rId345" display="mailto:cdpoudpnp@gmail.com" xr:uid="{00000000-0004-0000-0D00-000059010000}"/>
    <hyperlink ref="D1076" r:id="rId346" display="mailto:cdpohsm@gmail.com" xr:uid="{00000000-0004-0000-0D00-00005A010000}"/>
    <hyperlink ref="D1083" r:id="rId347" display="mailto:cdpobln@gmail.com" xr:uid="{00000000-0004-0000-0D00-00005B010000}"/>
    <hyperlink ref="D1114" r:id="rId348" display="mailto:cdpobsl@gmail.com" xr:uid="{00000000-0004-0000-0D00-00005C010000}"/>
    <hyperlink ref="D1115" r:id="rId349" display="mailto:cdpo.dukli@gmail.com" xr:uid="{00000000-0004-0000-0D00-00005D010000}"/>
    <hyperlink ref="D1167" r:id="rId350" display="mailto:cdpo.panisagar@gmail.com" xr:uid="{00000000-0004-0000-0D00-00005E010000}"/>
    <hyperlink ref="D1177" r:id="rId351" display="mailto:cdpopecharthal@gmail.com" xr:uid="{00000000-0004-0000-0D00-00005F010000}"/>
    <hyperlink ref="D1226" r:id="rId352" display="mailto:cdpomnd@gmail.com" xr:uid="{00000000-0004-0000-0D00-000060010000}"/>
    <hyperlink ref="D1252" r:id="rId353" display="mailto:pht.taranagar@gmail.com" xr:uid="{00000000-0004-0000-0D00-000061010000}"/>
    <hyperlink ref="D821" r:id="rId354" display="mailto:ct.tax-tr@gov.in" xr:uid="{00000000-0004-0000-0D00-000062010000}"/>
    <hyperlink ref="D624" r:id="rId355" display="mailto:stdharmanagar@yahoo.in" xr:uid="{00000000-0004-0000-0D00-000063010000}"/>
    <hyperlink ref="D809" r:id="rId356" display="mailto:exvisewest@gmail.com" xr:uid="{00000000-0004-0000-0D00-000064010000}"/>
    <hyperlink ref="D660" r:id="rId357" display="mailto:exciseunakoti@gmail.com" xr:uid="{00000000-0004-0000-0D00-000065010000}"/>
    <hyperlink ref="D1189" r:id="rId358" display="mailto:rdcircle3@gmail.com" xr:uid="{00000000-0004-0000-0D00-000066010000}"/>
    <hyperlink ref="D1199" r:id="rId359" display="mailto:een1kgt@gmail.com" xr:uid="{00000000-0004-0000-0D00-000067010000}"/>
    <hyperlink ref="D1212" r:id="rId360" display="mailto:eerdtlm.2009@rediffmail.com" xr:uid="{00000000-0004-0000-0D00-000068010000}"/>
    <hyperlink ref="D1263" r:id="rId361" display="mailto:eerdsd4@rediffmail.com" xr:uid="{00000000-0004-0000-0D00-000069010000}"/>
    <hyperlink ref="D904" r:id="rId362" display="mailto:directorstetrip@gmail.com" xr:uid="{00000000-0004-0000-0D00-00006A010000}"/>
    <hyperlink ref="D920" r:id="rId363" display="mailto:senbid@gmail.com" xr:uid="{00000000-0004-0000-0D00-00006B010000}"/>
    <hyperlink ref="D699" r:id="rId364" display="mailto:dto.abs@gmail.com" xr:uid="{00000000-0004-0000-0D00-00006C010000}"/>
    <hyperlink ref="D865" r:id="rId365" display="mailto:jtc.agt-tr@gov.in" xr:uid="{00000000-0004-0000-0D00-00006D010000}"/>
    <hyperlink ref="D1217" r:id="rId366" display="mailto:khwtrans@gmail.com" xr:uid="{00000000-0004-0000-0D00-00006E010000}"/>
    <hyperlink ref="D1267" r:id="rId367" display="mailto:dtoofficesouth@gmail.com" xr:uid="{00000000-0004-0000-0D00-00006F010000}"/>
    <hyperlink ref="D630" r:id="rId368" display="mailto:sdwo.dmr-tr@gov.in" xr:uid="{00000000-0004-0000-0D00-000070010000}"/>
    <hyperlink ref="D633" r:id="rId369" display="mailto:dwonorth@gmail.com" xr:uid="{00000000-0004-0000-0D00-000071010000}"/>
    <hyperlink ref="D669" r:id="rId370" display="mailto:799277@gmail.com" xr:uid="{00000000-0004-0000-0D00-000072010000}"/>
    <hyperlink ref="D686" r:id="rId371" display="mailto:sdwoltv@gmail.com" xr:uid="{00000000-0004-0000-0D00-000073010000}"/>
    <hyperlink ref="D710" r:id="rId372" display="mailto:dwo.dhalai@gmail.com" xr:uid="{00000000-0004-0000-0D00-000074010000}"/>
    <hyperlink ref="D726" r:id="rId373" display="mailto:sdwoabs@gmail.com" xr:uid="{00000000-0004-0000-0D00-000075010000}"/>
    <hyperlink ref="D764" r:id="rId374" display="mailto:sdwkhowai@gmail.com" xr:uid="{00000000-0004-0000-0D00-000076010000}"/>
    <hyperlink ref="D767" r:id="rId375" display="mailto:dwokhowai@gmail.com" xr:uid="{00000000-0004-0000-0D00-000077010000}"/>
    <hyperlink ref="D827" r:id="rId376" display="mailto:sdwo.sadar123@gmail.com" xr:uid="{00000000-0004-0000-0D00-000078010000}"/>
    <hyperlink ref="D869" r:id="rId377" display="mailto:tribalwelfareagt@gmail.com" xr:uid="{00000000-0004-0000-0D00-000079010000}"/>
    <hyperlink ref="D895" r:id="rId378" display="mailto:twdtripura@gmail.com" xr:uid="{00000000-0004-0000-0D00-00007A010000}"/>
    <hyperlink ref="D1033" r:id="rId379" display="mailto:dwogomati123@gmail.com" xr:uid="{00000000-0004-0000-0D00-00007B010000}"/>
    <hyperlink ref="D1059" r:id="rId380" display="mailto:jdeb104@gmail.com" xr:uid="{00000000-0004-0000-0D00-00007C010000}"/>
    <hyperlink ref="D1060" r:id="rId381" display="mailto:sdwokbk@gmail.com" xr:uid="{00000000-0004-0000-0D00-00007D010000}"/>
    <hyperlink ref="D1110" r:id="rId382" display="mailto:sdwosbm@gmail.com" xr:uid="{00000000-0004-0000-0D00-00007E010000}"/>
    <hyperlink ref="D1142" r:id="rId383" display="mailto:dwosepahijala@gmail.com" xr:uid="{00000000-0004-0000-0D00-00007F010000}"/>
    <hyperlink ref="D1162" r:id="rId384" display="mailto:sdwognc@gmail.com" xr:uid="{00000000-0004-0000-0D00-000080010000}"/>
    <hyperlink ref="D1192" r:id="rId385" display="mailto:sto_kgt@yahoo.com" xr:uid="{00000000-0004-0000-0D00-000081010000}"/>
    <hyperlink ref="D1216" r:id="rId386" display="mailto:sdwotlm2@gmail.com" xr:uid="{00000000-0004-0000-0D00-000082010000}"/>
    <hyperlink ref="D1250" r:id="rId387" display="mailto:sdwomnp@gmail.com" xr:uid="{00000000-0004-0000-0D00-000083010000}"/>
    <hyperlink ref="D694" r:id="rId388" display="mailto:ptgdhalaitrdivision@yahoo.com" xr:uid="{00000000-0004-0000-0D00-000084010000}"/>
    <hyperlink ref="D844" r:id="rId389" display="mailto:ptgtripura@gmail.com" xr:uid="{00000000-0004-0000-0D00-000085010000}"/>
    <hyperlink ref="D987" r:id="rId390" display="mailto:trdivisionudp@gmail.com" xr:uid="{00000000-0004-0000-0D00-000086010000}"/>
    <hyperlink ref="D1186" r:id="rId391" display="mailto:northdivision@gmail.com" xr:uid="{00000000-0004-0000-0D00-000087010000}"/>
    <hyperlink ref="D899" r:id="rId392" display="mailto:dit.trci-tr@gov.in" xr:uid="{00000000-0004-0000-0D00-000088010000}"/>
    <hyperlink ref="D782" r:id="rId393" display="mailto:ddo.urban-tr@gov.in" xr:uid="{00000000-0004-0000-0D00-000089010000}"/>
    <hyperlink ref="D814" r:id="rId394" display="mailto:subhasisb2179@gmail.com" xr:uid="{00000000-0004-0000-0D00-00008A010000}"/>
    <hyperlink ref="D902" r:id="rId395" display="mailto:jdscobc@gmail.com" xr:uid="{00000000-0004-0000-0D00-00008B010000}"/>
    <hyperlink ref="D1025" r:id="rId396" display="mailto:zdosouthadc@gmail.com" xr:uid="{00000000-0004-0000-0D00-00008C010000}"/>
    <hyperlink ref="D722" r:id="rId397" display="mailto:agmec5tsecl@gmail.com" xr:uid="{00000000-0004-0000-0D00-00008D010000}"/>
    <hyperlink ref="D882" r:id="rId398" display="mailto:rkhgtps@gmail.com" xr:uid="{00000000-0004-0000-0D00-00008E010000}"/>
    <hyperlink ref="D922" r:id="rId399" display="mailto:tsecldgmed3@gmail.com" xr:uid="{00000000-0004-0000-0D00-00008F010000}"/>
    <hyperlink ref="D923" r:id="rId400" display="mailto:dgmbishalgarh@gmail.com" xr:uid="{00000000-0004-0000-0D00-000090010000}"/>
    <hyperlink ref="D924" r:id="rId401" display="mailto:ccdtsecl79tila@gmail.com" xr:uid="{00000000-0004-0000-0D00-000091010000}"/>
    <hyperlink ref="D925" r:id="rId402" display="mailto:brmgtps@gmail.com" xr:uid="{00000000-0004-0000-0D00-000092010000}"/>
    <hyperlink ref="D927" r:id="rId403" display="mailto:dgmmaterial@gmail.com" xr:uid="{00000000-0004-0000-0D00-000093010000}"/>
    <hyperlink ref="D928" r:id="rId404" display="mailto:finance.tsecl@gmail.com" xr:uid="{00000000-0004-0000-0D00-000094010000}"/>
    <hyperlink ref="D929" r:id="rId405" display="mailto:tseclec1@rediffmail.com" xr:uid="{00000000-0004-0000-0D00-000095010000}"/>
    <hyperlink ref="D930" r:id="rId406" display="mailto:agmgnc@gmail.com" xr:uid="{00000000-0004-0000-0D00-000096010000}"/>
    <hyperlink ref="D931" r:id="rId407" display="mailto:ad_comm@rediffmail.com" xr:uid="{00000000-0004-0000-0D00-000097010000}"/>
    <hyperlink ref="D936" r:id="rId408" display="mailto:dgm.ed11rbn@gmail.com" xr:uid="{00000000-0004-0000-0D00-000098010000}"/>
    <hyperlink ref="D941" r:id="rId409" display="mailto:tsecleciv@rediffmail.com" xr:uid="{00000000-0004-0000-0D00-000099010000}"/>
    <hyperlink ref="D942" r:id="rId410" display="mailto:dgmcapitaltsecl@gmail.com" xr:uid="{00000000-0004-0000-0D00-00009A010000}"/>
    <hyperlink ref="D943" r:id="rId411" display="mailto:syamalbaidya99@gmaill.com" xr:uid="{00000000-0004-0000-0D00-00009B010000}"/>
    <hyperlink ref="D944" r:id="rId412" display="mailto:edjirania@gmail.com" xr:uid="{00000000-0004-0000-0D00-00009C010000}"/>
    <hyperlink ref="D946" r:id="rId413" display="mailto:sod.tsecl@gmail.com" xr:uid="{00000000-0004-0000-0D00-00009D010000}"/>
    <hyperlink ref="D959" r:id="rId414" display="mailto:tcd_tsecl@yahoo.in" xr:uid="{00000000-0004-0000-0D00-00009E010000}"/>
    <hyperlink ref="D1021" r:id="rId415" display="mailto:dgmedfour@gmail.com" xr:uid="{00000000-0004-0000-0D00-00009F010000}"/>
    <hyperlink ref="D1022" r:id="rId416" display="mailto:agm.ee1.udp@gmail.com" xr:uid="{00000000-0004-0000-0D00-0000A0010000}"/>
    <hyperlink ref="D1028" r:id="rId417" display="mailto:dgmtdudp@gmail.com" xr:uid="{00000000-0004-0000-0D00-0000A1010000}"/>
    <hyperlink ref="D1056" r:id="rId418" display="mailto:tsecldivn.amarpur@gmail.com" xr:uid="{00000000-0004-0000-0D00-0000A2010000}"/>
    <hyperlink ref="D759" r:id="rId419" display="mailto:khowainagarpanchayat@gmail.com" xr:uid="{00000000-0004-0000-0D00-0000A3010000}"/>
    <hyperlink ref="D935" r:id="rId420" display="mailto:hkdas1965@rediffmail.com" xr:uid="{00000000-0004-0000-0D00-0000A4010000}"/>
    <hyperlink ref="D1099" r:id="rId421" display="mailto:sdmosabroom@gmail.com" xr:uid="{00000000-0004-0000-0D00-0000A5010000}"/>
    <hyperlink ref="D1120" r:id="rId422" display="mailto:sdmoblg@yahoo.com" xr:uid="{00000000-0004-0000-0D00-0000A6010000}"/>
    <hyperlink ref="D914" r:id="rId423" display="mailto:dy.directoraudit@gmail.com" xr:uid="{00000000-0004-0000-0D00-0000A7010000}"/>
    <hyperlink ref="D1077" r:id="rId424" display="mailto:principalitibelonia@gmail.com" xr:uid="{00000000-0004-0000-0D00-0000A8010000}"/>
    <hyperlink ref="D746" r:id="rId425" display="mailto:itikamalpur16@gmail.com" xr:uid="{00000000-0004-0000-0D00-0000A9010000}"/>
    <hyperlink ref="D654" r:id="rId426" display="mailto:gmdicunakoti@gmail.com" xr:uid="{00000000-0004-0000-0D00-0000AA010000}"/>
    <hyperlink ref="D1107" r:id="rId427" display="mailto:dgm.ed.sabroom@gmail.com" xr:uid="{00000000-0004-0000-0D00-0000AB010000}"/>
    <hyperlink ref="D1055" r:id="rId428" display="mailto:kartikpatariiti@gmail.com" xr:uid="{00000000-0004-0000-0D00-0000AC010000}"/>
    <hyperlink ref="D618" r:id="rId429" xr:uid="{00000000-0004-0000-0D00-0000AD010000}"/>
    <hyperlink ref="D1254" r:id="rId430" xr:uid="{C2A45C5C-2B21-4E92-8EA5-76B51E5F704D}"/>
    <hyperlink ref="D1239" r:id="rId431" xr:uid="{59585A37-A515-4948-B609-A1FEEAAC260D}"/>
    <hyperlink ref="D1271" r:id="rId432" display="mailto:dgmbagafa@gmail.com" xr:uid="{D931AAC1-EEF7-4EFF-9B57-A30663572919}"/>
    <hyperlink ref="D1272" r:id="rId433" xr:uid="{22202CAA-D708-49AE-9BC6-69FB4476BC4C}"/>
    <hyperlink ref="D323" r:id="rId434" xr:uid="{D2D7011F-D319-4E62-BA49-84A03AF5A2F5}"/>
    <hyperlink ref="D65" r:id="rId435" xr:uid="{F2B136FB-5635-41BF-87FC-7814FA3C4730}"/>
    <hyperlink ref="D203" r:id="rId436" xr:uid="{14BC61D7-6D0A-48EC-860D-EF7D66788EE3}"/>
    <hyperlink ref="D268" r:id="rId437" xr:uid="{22A99598-213F-40B3-A92E-6649FBA316FF}"/>
    <hyperlink ref="D270" r:id="rId438" xr:uid="{A2ED91F6-BF07-494A-816D-E6BEC916B835}"/>
  </hyperlinks>
  <pageMargins left="0.7" right="0.7" top="0.75" bottom="0.75" header="0.3" footer="0.3"/>
  <pageSetup paperSize="9" orientation="portrait" verticalDpi="0" r:id="rId439"/>
  <drawing r:id="rId440"/>
  <legacyDrawing r:id="rId44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42" name="Spinner 1">
              <controlPr defaultSize="0" autoPict="0" altText="Up/Down">
                <anchor moveWithCells="1" siz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6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1982</vt:lpstr>
      <vt:lpstr>1988</vt:lpstr>
      <vt:lpstr>1999</vt:lpstr>
      <vt:lpstr>2017</vt:lpstr>
      <vt:lpstr>2018</vt:lpstr>
      <vt:lpstr>IPS</vt:lpstr>
      <vt:lpstr>PR</vt:lpstr>
      <vt:lpstr>LTA</vt:lpstr>
      <vt:lpstr>FAM DCRG</vt:lpstr>
      <vt:lpstr>Special Pension</vt:lpstr>
      <vt:lpstr>Rev PR</vt:lpstr>
      <vt:lpstr>Rev Auth</vt:lpstr>
      <vt:lpstr>Pay Scales</vt:lpstr>
      <vt:lpstr>DDO</vt:lpstr>
      <vt:lpstr>PR!Print_Area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Sukhendu Bhaumik</cp:lastModifiedBy>
  <cp:revision/>
  <cp:lastPrinted>2026-08-10T18:17:40Z</cp:lastPrinted>
  <dcterms:created xsi:type="dcterms:W3CDTF">2006-09-16T00:00:00Z</dcterms:created>
  <dcterms:modified xsi:type="dcterms:W3CDTF">2026-08-17T12:21:55Z</dcterms:modified>
  <cp:category/>
  <cp:contentStatus/>
</cp:coreProperties>
</file>