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Volumes/paradise/1.Master Degree/Corporate Finance/"/>
    </mc:Choice>
  </mc:AlternateContent>
  <xr:revisionPtr revIDLastSave="0" documentId="13_ncr:1_{0BED7878-329F-DE45-B5AB-3EA6D1F06793}" xr6:coauthVersionLast="47" xr6:coauthVersionMax="47" xr10:uidLastSave="{00000000-0000-0000-0000-000000000000}"/>
  <bookViews>
    <workbookView xWindow="300" yWindow="540" windowWidth="11780" windowHeight="16460" firstSheet="7" activeTab="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Sheet1" sheetId="10" r:id="rId10"/>
    <sheet name="Dealing with taxation " sheetId="11" r:id="rId11"/>
    <sheet name="FM" sheetId="12" r:id="rId12"/>
    <sheet name="Sheet4" sheetId="13" r:id="rId13"/>
    <sheet name="Quantity" sheetId="14" r:id="rId14"/>
    <sheet name="Lease" sheetId="15" r:id="rId15"/>
    <sheet name="Replacment cylcle decision" sheetId="16" r:id="rId16"/>
    <sheet name="Risk and uncertainty " sheetId="17" r:id="rId17"/>
    <sheet name="Risk 2" sheetId="18" r:id="rId18"/>
    <sheet name="Sheet6" sheetId="19" r:id="rId19"/>
    <sheet name="Sensitivty analysis " sheetId="20" r:id="rId20"/>
    <sheet name="Sheet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6" i="8"/>
  <c r="B13" i="8"/>
  <c r="B6" i="3"/>
  <c r="B10" i="17"/>
  <c r="B8" i="17"/>
  <c r="B7" i="20"/>
  <c r="B15" i="20" s="1"/>
  <c r="B17" i="20"/>
  <c r="B16" i="20"/>
  <c r="G5" i="20"/>
  <c r="G3" i="20"/>
  <c r="B17" i="18"/>
  <c r="D3" i="20"/>
  <c r="E3" i="20"/>
  <c r="F3" i="20"/>
  <c r="F5" i="20"/>
  <c r="E5" i="20"/>
  <c r="D5" i="20"/>
  <c r="C3" i="20"/>
  <c r="C5" i="20" s="1"/>
  <c r="B5" i="20"/>
  <c r="C6" i="20"/>
  <c r="D6" i="20"/>
  <c r="E6" i="20"/>
  <c r="F6" i="20"/>
  <c r="G6" i="20"/>
  <c r="B6" i="20"/>
  <c r="C16" i="18"/>
  <c r="D16" i="18"/>
  <c r="E16" i="18"/>
  <c r="B16" i="18"/>
  <c r="E15" i="18"/>
  <c r="D15" i="18"/>
  <c r="C15" i="18"/>
  <c r="B7" i="18"/>
  <c r="C6" i="18"/>
  <c r="D6" i="18"/>
  <c r="E6" i="18"/>
  <c r="B6" i="18"/>
  <c r="B14" i="16"/>
  <c r="B17" i="16"/>
  <c r="C8" i="17"/>
  <c r="D8" i="17"/>
  <c r="E8" i="17"/>
  <c r="F8" i="17"/>
  <c r="G8" i="17"/>
  <c r="C9" i="17"/>
  <c r="D9" i="17"/>
  <c r="E9" i="17"/>
  <c r="F9" i="17"/>
  <c r="G9" i="17"/>
  <c r="B9" i="17"/>
  <c r="C12" i="16"/>
  <c r="D12" i="16"/>
  <c r="B12" i="16"/>
  <c r="C4" i="16"/>
  <c r="B4" i="16"/>
  <c r="B6" i="16" s="1"/>
  <c r="B16" i="16" s="1"/>
  <c r="D12" i="15"/>
  <c r="B12" i="15"/>
  <c r="C13" i="16"/>
  <c r="D13" i="16"/>
  <c r="B13" i="16"/>
  <c r="B5" i="16"/>
  <c r="C5" i="16"/>
  <c r="B17" i="15"/>
  <c r="C17" i="15"/>
  <c r="B27" i="15"/>
  <c r="H25" i="15"/>
  <c r="E25" i="15"/>
  <c r="F25" i="15"/>
  <c r="G25" i="15"/>
  <c r="G26" i="15" s="1"/>
  <c r="D25" i="15"/>
  <c r="D26" i="15" s="1"/>
  <c r="C26" i="15"/>
  <c r="E26" i="15"/>
  <c r="F26" i="15"/>
  <c r="H26" i="15"/>
  <c r="B26" i="15"/>
  <c r="D17" i="15"/>
  <c r="E17" i="15"/>
  <c r="F17" i="15"/>
  <c r="G17" i="15"/>
  <c r="H17" i="15"/>
  <c r="B27" i="12"/>
  <c r="C15" i="15"/>
  <c r="C12" i="15"/>
  <c r="E12" i="15"/>
  <c r="F12" i="15"/>
  <c r="G12" i="15"/>
  <c r="H12" i="15"/>
  <c r="E11" i="15"/>
  <c r="F11" i="15"/>
  <c r="G11" i="15"/>
  <c r="H11" i="15"/>
  <c r="D11" i="15"/>
  <c r="G7" i="15"/>
  <c r="F7" i="15"/>
  <c r="E7" i="15"/>
  <c r="D7" i="15"/>
  <c r="C7" i="15"/>
  <c r="E6" i="15"/>
  <c r="D6" i="15"/>
  <c r="C6" i="15"/>
  <c r="C5" i="15"/>
  <c r="B6" i="15"/>
  <c r="E4" i="14"/>
  <c r="E3" i="14"/>
  <c r="E2" i="14"/>
  <c r="D4" i="14"/>
  <c r="C4" i="14"/>
  <c r="D3" i="14"/>
  <c r="D2" i="14"/>
  <c r="C3" i="14"/>
  <c r="C2" i="14"/>
  <c r="D12" i="13"/>
  <c r="E12" i="13" s="1"/>
  <c r="D18" i="13"/>
  <c r="E18" i="13" s="1"/>
  <c r="D14" i="13"/>
  <c r="E14" i="13" s="1"/>
  <c r="D15" i="13"/>
  <c r="E15" i="13" s="1"/>
  <c r="D13" i="13"/>
  <c r="E13" i="13" s="1"/>
  <c r="D17" i="13"/>
  <c r="E17" i="13" s="1"/>
  <c r="D16" i="13"/>
  <c r="E16" i="13" s="1"/>
  <c r="F18" i="12"/>
  <c r="F16" i="12"/>
  <c r="E18" i="12"/>
  <c r="E16" i="12"/>
  <c r="F25" i="12" s="1"/>
  <c r="D16" i="12"/>
  <c r="F43" i="12"/>
  <c r="E43" i="12"/>
  <c r="D43" i="12"/>
  <c r="C43" i="12"/>
  <c r="B43" i="12"/>
  <c r="B44" i="12" s="1"/>
  <c r="F41" i="12"/>
  <c r="F34" i="12"/>
  <c r="C34" i="12"/>
  <c r="C41" i="12" s="1"/>
  <c r="C33" i="12"/>
  <c r="D34" i="12" s="1"/>
  <c r="D41" i="12" s="1"/>
  <c r="B33" i="12"/>
  <c r="C32" i="12"/>
  <c r="D32" i="12" s="1"/>
  <c r="B28" i="12"/>
  <c r="F27" i="12"/>
  <c r="E27" i="12"/>
  <c r="D27" i="12"/>
  <c r="C27" i="12"/>
  <c r="B17" i="12"/>
  <c r="C18" i="12" s="1"/>
  <c r="C25" i="12" s="1"/>
  <c r="C13" i="11"/>
  <c r="B15" i="11"/>
  <c r="B7" i="11"/>
  <c r="C5" i="11"/>
  <c r="E4" i="11"/>
  <c r="D4" i="11"/>
  <c r="C4" i="11"/>
  <c r="B14" i="11"/>
  <c r="D26" i="10"/>
  <c r="E22" i="10"/>
  <c r="D25" i="10"/>
  <c r="G26" i="10"/>
  <c r="F26" i="10"/>
  <c r="C26" i="10"/>
  <c r="B26" i="10"/>
  <c r="G25" i="10"/>
  <c r="C23" i="10"/>
  <c r="C25" i="10"/>
  <c r="B25" i="10"/>
  <c r="F25" i="10"/>
  <c r="E25" i="10"/>
  <c r="E26" i="10" s="1"/>
  <c r="G22" i="10"/>
  <c r="F22" i="10"/>
  <c r="C22" i="10"/>
  <c r="D22" i="10"/>
  <c r="D11" i="9"/>
  <c r="E11" i="9"/>
  <c r="F11" i="9"/>
  <c r="G11" i="9"/>
  <c r="C11" i="9"/>
  <c r="G12" i="9" s="1"/>
  <c r="B13" i="9" s="1"/>
  <c r="B14" i="9" s="1"/>
  <c r="C5" i="9"/>
  <c r="D5" i="9"/>
  <c r="E5" i="9"/>
  <c r="F5" i="9"/>
  <c r="G5" i="9"/>
  <c r="B5" i="9"/>
  <c r="C4" i="9"/>
  <c r="D4" i="9"/>
  <c r="B8" i="9" s="1"/>
  <c r="E4" i="9"/>
  <c r="F4" i="9"/>
  <c r="G4" i="9"/>
  <c r="B4" i="9"/>
  <c r="B6" i="9" s="1"/>
  <c r="C10" i="8"/>
  <c r="D10" i="8"/>
  <c r="E10" i="8"/>
  <c r="F10" i="8"/>
  <c r="G10" i="8"/>
  <c r="B10" i="8"/>
  <c r="B4" i="8"/>
  <c r="C3" i="8"/>
  <c r="D3" i="8"/>
  <c r="E3" i="8"/>
  <c r="F3" i="8"/>
  <c r="G3" i="8"/>
  <c r="B3" i="8"/>
  <c r="B16" i="7"/>
  <c r="B17" i="7" s="1"/>
  <c r="B13" i="7"/>
  <c r="B18" i="7" s="1"/>
  <c r="B9" i="7"/>
  <c r="B8" i="7"/>
  <c r="B4" i="7"/>
  <c r="B9" i="6"/>
  <c r="B5" i="6"/>
  <c r="B10" i="6" s="1"/>
  <c r="B13" i="6" s="1"/>
  <c r="F6" i="5"/>
  <c r="B6" i="5"/>
  <c r="B7" i="5" s="1"/>
  <c r="C5" i="5"/>
  <c r="D5" i="5"/>
  <c r="E5" i="5"/>
  <c r="F5" i="5"/>
  <c r="B5" i="5"/>
  <c r="F4" i="5"/>
  <c r="E4" i="5"/>
  <c r="E6" i="5" s="1"/>
  <c r="D4" i="5"/>
  <c r="D6" i="5" s="1"/>
  <c r="C4" i="5"/>
  <c r="C6" i="5" s="1"/>
  <c r="B4" i="5"/>
  <c r="B8" i="4"/>
  <c r="B5" i="4"/>
  <c r="C5" i="4" s="1"/>
  <c r="D5" i="4" s="1"/>
  <c r="E5" i="4" s="1"/>
  <c r="F5" i="4" s="1"/>
  <c r="C4" i="4"/>
  <c r="D4" i="4"/>
  <c r="E4" i="4"/>
  <c r="F4" i="4"/>
  <c r="B4" i="4"/>
  <c r="C4" i="3"/>
  <c r="D4" i="3"/>
  <c r="E4" i="3"/>
  <c r="F4" i="3"/>
  <c r="C3" i="3"/>
  <c r="D3" i="3"/>
  <c r="E3" i="3"/>
  <c r="F3" i="3"/>
  <c r="B3" i="3"/>
  <c r="B4" i="3" s="1"/>
  <c r="B3" i="2"/>
  <c r="D3" i="2"/>
  <c r="C3" i="2"/>
  <c r="D4" i="2" s="1"/>
  <c r="D5" i="2" s="1"/>
  <c r="D9" i="1"/>
  <c r="D10" i="1" s="1"/>
  <c r="D7" i="1"/>
  <c r="D3" i="1"/>
  <c r="D4" i="1"/>
  <c r="D5" i="1"/>
  <c r="D2" i="1"/>
  <c r="B11" i="20" l="1"/>
  <c r="B13" i="20"/>
  <c r="B14" i="20"/>
  <c r="B12" i="20"/>
  <c r="D5" i="15"/>
  <c r="E5" i="15" s="1"/>
  <c r="F5" i="15" s="1"/>
  <c r="E34" i="12"/>
  <c r="E41" i="12" s="1"/>
  <c r="D33" i="12"/>
  <c r="C16" i="12"/>
  <c r="C7" i="5"/>
  <c r="D7" i="5" s="1"/>
  <c r="E7" i="5" s="1"/>
  <c r="F7" i="5" s="1"/>
  <c r="C4" i="2"/>
  <c r="C5" i="2" s="1"/>
  <c r="C17" i="12" l="1"/>
  <c r="D18" i="12" s="1"/>
  <c r="D25" i="12" s="1"/>
  <c r="C15" i="11"/>
  <c r="D13" i="11"/>
  <c r="D15" i="11" s="1"/>
  <c r="E25" i="12" l="1"/>
  <c r="D17" i="12"/>
</calcChain>
</file>

<file path=xl/sharedStrings.xml><?xml version="1.0" encoding="utf-8"?>
<sst xmlns="http://schemas.openxmlformats.org/spreadsheetml/2006/main" count="251" uniqueCount="173">
  <si>
    <t>year</t>
  </si>
  <si>
    <t>profit before depreciation</t>
  </si>
  <si>
    <t>depreciation</t>
  </si>
  <si>
    <t>EBIT</t>
  </si>
  <si>
    <t>Average investment</t>
  </si>
  <si>
    <t>ROCE 4 years</t>
  </si>
  <si>
    <t xml:space="preserve">ROCE </t>
  </si>
  <si>
    <t>The project is rejected since the ROCE is below target of 20%</t>
  </si>
  <si>
    <t>Profit from operations</t>
  </si>
  <si>
    <t xml:space="preserve"> investment</t>
  </si>
  <si>
    <t>ROCE</t>
  </si>
  <si>
    <t>Profit</t>
  </si>
  <si>
    <t>CF</t>
  </si>
  <si>
    <t>Simple payback</t>
  </si>
  <si>
    <t>years</t>
  </si>
  <si>
    <t>Year</t>
  </si>
  <si>
    <t>Operating CF</t>
  </si>
  <si>
    <t>Investment CF</t>
  </si>
  <si>
    <t>Free cash flow</t>
  </si>
  <si>
    <t>Cumulative FCF</t>
  </si>
  <si>
    <t>Payback</t>
  </si>
  <si>
    <t>3 years</t>
  </si>
  <si>
    <t>months</t>
  </si>
  <si>
    <t>?</t>
  </si>
  <si>
    <t>Accept the project</t>
  </si>
  <si>
    <t>DF @6%</t>
  </si>
  <si>
    <t>PV of FCF</t>
  </si>
  <si>
    <t>Discounted payback period</t>
  </si>
  <si>
    <t>4 years</t>
  </si>
  <si>
    <t>Net operating profit before % and tax</t>
  </si>
  <si>
    <t>Depreciation</t>
  </si>
  <si>
    <t>Tax</t>
  </si>
  <si>
    <t>Increase in working capital</t>
  </si>
  <si>
    <t>Capital expenditures replacing assets</t>
  </si>
  <si>
    <t>Capital expenditures new assets</t>
  </si>
  <si>
    <t>FCF to firm</t>
  </si>
  <si>
    <t>Interest paid</t>
  </si>
  <si>
    <t>Loans repaid</t>
  </si>
  <si>
    <t>FCF to equity</t>
  </si>
  <si>
    <t>Operating profit</t>
  </si>
  <si>
    <t>Tax paid</t>
  </si>
  <si>
    <t>Operations CF</t>
  </si>
  <si>
    <t>Capital expenditure on new investments</t>
  </si>
  <si>
    <t>Capital expenditure to replace existing 
assets</t>
  </si>
  <si>
    <t>Interest</t>
  </si>
  <si>
    <t xml:space="preserve">Debentures </t>
  </si>
  <si>
    <t>Dividends</t>
  </si>
  <si>
    <t>Number of shares</t>
  </si>
  <si>
    <t>Total dividend</t>
  </si>
  <si>
    <t>Dividend cover</t>
  </si>
  <si>
    <t>Period</t>
  </si>
  <si>
    <t>FCF</t>
  </si>
  <si>
    <t>DF @12%</t>
  </si>
  <si>
    <t>NPV</t>
  </si>
  <si>
    <t>we do not accept the project since NPV&lt;0</t>
  </si>
  <si>
    <t>IRR</t>
  </si>
  <si>
    <t>10% is less than 12% - we do not accept</t>
  </si>
  <si>
    <t>DF @8%</t>
  </si>
  <si>
    <t>Investment</t>
  </si>
  <si>
    <t>DF @10%</t>
  </si>
  <si>
    <t>years remaining</t>
  </si>
  <si>
    <t>FV of FCF</t>
  </si>
  <si>
    <t>TV</t>
  </si>
  <si>
    <t>(1+r)^5</t>
  </si>
  <si>
    <t>MIRR</t>
  </si>
  <si>
    <t>A company is considering investing $4.5m in a project to achieve an annual increase in revenues over the next five years of $2m. The project will lead to an increase in wage costs of $0.4m per year and will also require expenditure of $0.3m per year to maintain the level of existing assets to be used on the project. Additional investment in working capital equivalent to 10% of the increase in revenue will need to be in place at the start of each year. The real cost of capital of the company is 8%. All cash flows are in real terms. Ignore tax.
The following forecasts are made of the rates of inflation each year for the next five years:</t>
  </si>
  <si>
    <t xml:space="preserve">investment </t>
  </si>
  <si>
    <t xml:space="preserve">revenue </t>
  </si>
  <si>
    <t xml:space="preserve">category </t>
  </si>
  <si>
    <t>Revenue</t>
  </si>
  <si>
    <t>Wages</t>
  </si>
  <si>
    <t>Assets</t>
  </si>
  <si>
    <t>General Prices</t>
  </si>
  <si>
    <t>wages</t>
  </si>
  <si>
    <t>Maintaining Level  of assets</t>
  </si>
  <si>
    <t>we do not do the same thing as revenue because this wages do not reply on the  sales</t>
  </si>
  <si>
    <t xml:space="preserve">working capital investment </t>
  </si>
  <si>
    <t>real cost  of capital</t>
  </si>
  <si>
    <t xml:space="preserve">Inflation rate </t>
  </si>
  <si>
    <t xml:space="preserve">Nominal cost of capital </t>
  </si>
  <si>
    <t xml:space="preserve">Investment </t>
  </si>
  <si>
    <t xml:space="preserve">initial cost </t>
  </si>
  <si>
    <t>TAD</t>
  </si>
  <si>
    <t xml:space="preserve">Tax saving </t>
  </si>
  <si>
    <t>CF on the project</t>
  </si>
  <si>
    <t xml:space="preserve">Tax 30% </t>
  </si>
  <si>
    <t xml:space="preserve">tax saving </t>
  </si>
  <si>
    <t>DF</t>
  </si>
  <si>
    <t>A project will require an investment in a new asset of $10,000. It will be used on a project for four years after which it will be disposed of on the final day of year 4. Tax is payable at 30% one year in arrears, and capital allowances are available at 25% reducing balance. Net operating flows from the project are expected to be $4,000 per year. The company’s cost of capital is 10%. Ignore inflation.
Required:
1. Calculate the writing down allowance and hence the tax savings for each year if the proceeds on disposal of the asset are $2,500.
2. Identify the free cash flows for the project and calculate its net present value (NPV).
3. How would your answer to b) change if: the corporation tax rate was increased to 40%
4. the capital allowance rules were changed to allow a 50% deduction in the first year, with 25% allowances thereafter</t>
  </si>
  <si>
    <t>investment</t>
  </si>
  <si>
    <t>Net operating flows</t>
  </si>
  <si>
    <t>Tax CF</t>
  </si>
  <si>
    <t>Single factor capital rationing – example
The Board of Technology Partners is evaluating several project. Given that the management has a total capital budget of $72 million and that the projects are not divisible, find the optimal combination of projects that it can invest in. Information regarding which is given in the following table:</t>
  </si>
  <si>
    <t>Project</t>
  </si>
  <si>
    <t>Oultay</t>
  </si>
  <si>
    <t>PV future  after tax cf</t>
  </si>
  <si>
    <t>A</t>
  </si>
  <si>
    <t>B</t>
  </si>
  <si>
    <t>C</t>
  </si>
  <si>
    <t>D</t>
  </si>
  <si>
    <t>E</t>
  </si>
  <si>
    <t>F</t>
  </si>
  <si>
    <t>G</t>
  </si>
  <si>
    <t>PI</t>
  </si>
  <si>
    <t>we don’t take it because it's litle bit need funds</t>
  </si>
  <si>
    <t>Project G may be considered a win-win because it has a positive NPV of $10 million and a profitability index (PI) of 0.5. While it may not have the highest NPV or PI among the projects, it still offers a favorable return on investment. By including Project G in the investment portfolio, the company can diversify its project selection and potentially benefit from its future after-tax cash flows. Additionally, Project G may align with other strategic objectives or contribute to the overall balance and risk profile of the investment portfolio.</t>
  </si>
  <si>
    <t>Forks</t>
  </si>
  <si>
    <t>Knives</t>
  </si>
  <si>
    <t>Total</t>
  </si>
  <si>
    <t xml:space="preserve">Quantitiy </t>
  </si>
  <si>
    <t xml:space="preserve">Manufactuaring time </t>
  </si>
  <si>
    <t>Packaging Time</t>
  </si>
  <si>
    <t>Contribution</t>
  </si>
  <si>
    <t>Limits</t>
  </si>
  <si>
    <t>Loan option</t>
  </si>
  <si>
    <t>Tax daving s</t>
  </si>
  <si>
    <t>Tax cost</t>
  </si>
  <si>
    <t>Tax savings</t>
  </si>
  <si>
    <t>becomes available in the next year not from the firs</t>
  </si>
  <si>
    <t>why we have 608 because we want to utilize the entire of initial cost s</t>
  </si>
  <si>
    <t>invesment</t>
  </si>
  <si>
    <t xml:space="preserve">Tax savings </t>
  </si>
  <si>
    <t xml:space="preserve">Pretax cost of loan </t>
  </si>
  <si>
    <t>tax rate</t>
  </si>
  <si>
    <t>Aplicible discount rate</t>
  </si>
  <si>
    <t>NPF</t>
  </si>
  <si>
    <t xml:space="preserve">so this is loan </t>
  </si>
  <si>
    <t>leasing  option</t>
  </si>
  <si>
    <t>leasing permits</t>
  </si>
  <si>
    <t>Tax saving</t>
  </si>
  <si>
    <t xml:space="preserve"> </t>
  </si>
  <si>
    <t>investment cf</t>
  </si>
  <si>
    <t>Running cost</t>
  </si>
  <si>
    <t xml:space="preserve">year </t>
  </si>
  <si>
    <t xml:space="preserve">DF 10 % </t>
  </si>
  <si>
    <t>1 year</t>
  </si>
  <si>
    <t>2 year</t>
  </si>
  <si>
    <t xml:space="preserve">If annual cost between 1 and 2 year are equal so it will be the lower  annual cost </t>
  </si>
  <si>
    <t xml:space="preserve">annual cash flow </t>
  </si>
  <si>
    <t>DF@ 5 %</t>
  </si>
  <si>
    <t xml:space="preserve">average expected NPV </t>
  </si>
  <si>
    <t xml:space="preserve">this project doesn’t acceptable </t>
  </si>
  <si>
    <t>Risky Cf s</t>
  </si>
  <si>
    <t>CFs</t>
  </si>
  <si>
    <t xml:space="preserve">df 10 % </t>
  </si>
  <si>
    <t>Risk free CFs</t>
  </si>
  <si>
    <t>df 10%</t>
  </si>
  <si>
    <t>contribution</t>
  </si>
  <si>
    <t>production cost - sales</t>
  </si>
  <si>
    <t xml:space="preserve">production cost </t>
  </si>
  <si>
    <t xml:space="preserve"> variable cost </t>
  </si>
  <si>
    <t>additional fixed costs</t>
  </si>
  <si>
    <t xml:space="preserve">df @ 14% </t>
  </si>
  <si>
    <t>npv</t>
  </si>
  <si>
    <t>sensitivity project NPV to</t>
  </si>
  <si>
    <t>initial investment</t>
  </si>
  <si>
    <t>%</t>
  </si>
  <si>
    <t xml:space="preserve">Sales </t>
  </si>
  <si>
    <t>contrtibution</t>
  </si>
  <si>
    <t xml:space="preserve">fixed cost </t>
  </si>
  <si>
    <t>scrap value</t>
  </si>
  <si>
    <t>cost capital</t>
  </si>
  <si>
    <t>s</t>
  </si>
  <si>
    <t>project</t>
  </si>
  <si>
    <t>initial outlay $</t>
  </si>
  <si>
    <t>Inflow per year</t>
  </si>
  <si>
    <t>e</t>
  </si>
  <si>
    <t>f</t>
  </si>
  <si>
    <t>g</t>
  </si>
  <si>
    <t>h</t>
  </si>
  <si>
    <t>i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</si>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</sst>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2" fillId="0" borderId="0" xfId="0" applyNumberFormat="1" applyFont="1"/>
    <xf numFmtId="10" fontId="2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/>
    <xf numFmtId="0" fontId="0" fillId="5" borderId="0" xfId="0" applyFill="1"/>
    <xf numFmtId="0" fontId="5" fillId="0" borderId="0" xfId="2"/>
    <xf numFmtId="1" fontId="0" fillId="0" borderId="1" xfId="0" applyNumberFormat="1" applyBorder="1"/>
    <xf numFmtId="9" fontId="0" fillId="0" borderId="0" xfId="1" applyFont="1"/>
    <xf numFmtId="20" fontId="0" fillId="0" borderId="0" xfId="0" applyNumberFormat="1"/>
    <xf numFmtId="9" fontId="0" fillId="2" borderId="0" xfId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3</xdr:row>
      <xdr:rowOff>12700</xdr:rowOff>
    </xdr:from>
    <xdr:to>
      <xdr:col>18</xdr:col>
      <xdr:colOff>50800</xdr:colOff>
      <xdr:row>27</xdr:row>
      <xdr:rowOff>11181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3CA96-54BC-683E-BE18-7DC86B983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7400" y="584200"/>
          <a:ext cx="7772400" cy="4570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12700</xdr:rowOff>
    </xdr:from>
    <xdr:to>
      <xdr:col>16</xdr:col>
      <xdr:colOff>762000</xdr:colOff>
      <xdr:row>32</xdr:row>
      <xdr:rowOff>11181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BB696-036B-A6F0-4B54-EECA38AD8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1536700"/>
          <a:ext cx="7772400" cy="4570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203200</xdr:colOff>
      <xdr:row>18</xdr:row>
      <xdr:rowOff>152400</xdr:rowOff>
    </xdr:from>
    <xdr:to>
      <xdr:col>16</xdr:col>
      <xdr:colOff>546100</xdr:colOff>
      <xdr:row>42</xdr:row>
      <xdr:rowOff>150881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0B62F-F729-706E-3A34-A4F67C2C1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3581400"/>
          <a:ext cx="7772400" cy="45704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698500</xdr:colOff>
      <xdr:row>27</xdr:row>
      <xdr:rowOff>25400</xdr:rowOff>
    </xdr:from>
    <xdr:to>
      <xdr:col>16</xdr:col>
      <xdr:colOff>215900</xdr:colOff>
      <xdr:row>57</xdr:row>
      <xdr:rowOff>171079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B7D4A1-E8B7-CEBD-3730-63115FA7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0" y="5168900"/>
          <a:ext cx="7772400" cy="58606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467A3-F687-FB43-8267-3B2775BC99F3}" name="Table1" displayName="Table1" ref="A11:E19" totalsRowShown="0" headerRowDxfId="5" dataDxfId="4">
  <autoFilter ref="A11:E19" xr:uid="{258467A3-F687-FB43-8267-3B2775BC99F3}"/>
  <sortState xmlns:xlrd2="http://schemas.microsoft.com/office/spreadsheetml/2017/richdata2" ref="A12:E19">
    <sortCondition descending="1" ref="E11:E19"/>
  </sortState>
  <tableColumns count="5">
    <tableColumn id="1" xr3:uid="{6551F249-D2CF-7648-99F1-9CADB938B206}" name="Project" dataDxfId="3"/>
    <tableColumn id="2" xr3:uid="{7A1CF15A-B5EF-6142-B6AA-D6BAB85E10AA}" name="Oultay" dataDxfId="2"/>
    <tableColumn id="3" xr3:uid="{4CF82ADC-815D-644E-932D-5277605FE000}" name="PV future  after tax cf" dataDxfId="1"/>
    <tableColumn id="4" xr3:uid="{B0AD2DB1-F5FB-BB44-BC1F-A8D1843510AA}" name="NPV" dataDxfId="0"/>
    <tableColumn id="5" xr3:uid="{D49E425E-9226-204B-8D6D-A807AFF97294}" name="P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F@%205%20%25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50" zoomScaleNormal="150" workbookViewId="0">
      <selection activeCell="D22" sqref="D22"/>
    </sheetView>
  </sheetViews>
  <sheetFormatPr baseColWidth="10" defaultColWidth="8.83203125" defaultRowHeight="15" x14ac:dyDescent="0.2"/>
  <cols>
    <col min="2" max="3" width="16.1640625" customWidth="1"/>
    <col min="4" max="4" width="1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20</v>
      </c>
      <c r="C2">
        <v>20</v>
      </c>
      <c r="D2">
        <f>B2-C2</f>
        <v>0</v>
      </c>
    </row>
    <row r="3" spans="1:4" x14ac:dyDescent="0.2">
      <c r="A3">
        <v>2</v>
      </c>
      <c r="B3">
        <v>25</v>
      </c>
      <c r="C3">
        <v>20</v>
      </c>
      <c r="D3">
        <f t="shared" ref="D3:D5" si="0">B3-C3</f>
        <v>5</v>
      </c>
    </row>
    <row r="4" spans="1:4" x14ac:dyDescent="0.2">
      <c r="A4">
        <v>3</v>
      </c>
      <c r="B4">
        <v>35</v>
      </c>
      <c r="C4">
        <v>20</v>
      </c>
      <c r="D4">
        <f t="shared" si="0"/>
        <v>15</v>
      </c>
    </row>
    <row r="5" spans="1:4" x14ac:dyDescent="0.2">
      <c r="A5">
        <v>4</v>
      </c>
      <c r="B5">
        <v>25</v>
      </c>
      <c r="C5">
        <v>20</v>
      </c>
      <c r="D5">
        <f t="shared" si="0"/>
        <v>5</v>
      </c>
    </row>
    <row r="7" spans="1:4" x14ac:dyDescent="0.2">
      <c r="A7" t="s">
        <v>3</v>
      </c>
      <c r="D7">
        <f>SUM(D2:D6)</f>
        <v>25</v>
      </c>
    </row>
    <row r="8" spans="1:4" x14ac:dyDescent="0.2">
      <c r="A8" t="s">
        <v>4</v>
      </c>
      <c r="D8">
        <v>40</v>
      </c>
    </row>
    <row r="9" spans="1:4" x14ac:dyDescent="0.2">
      <c r="A9" t="s">
        <v>5</v>
      </c>
      <c r="D9" s="1">
        <f>D7/D8</f>
        <v>0.625</v>
      </c>
    </row>
    <row r="10" spans="1:4" s="2" customFormat="1" x14ac:dyDescent="0.2">
      <c r="A10" s="2" t="s">
        <v>6</v>
      </c>
      <c r="D10" s="3">
        <f>D9/4</f>
        <v>0.15625</v>
      </c>
    </row>
    <row r="11" spans="1:4" s="2" customFormat="1" x14ac:dyDescent="0.2">
      <c r="A11" s="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F5A3-91A2-1C49-8104-5882E945B192}">
  <dimension ref="A1:K46"/>
  <sheetViews>
    <sheetView workbookViewId="0">
      <selection activeCell="D24" sqref="D24"/>
    </sheetView>
  </sheetViews>
  <sheetFormatPr baseColWidth="10" defaultRowHeight="15" x14ac:dyDescent="0.2"/>
  <cols>
    <col min="4" max="4" width="12.1640625" bestFit="1" customWidth="1"/>
  </cols>
  <sheetData>
    <row r="1" spans="1:10" x14ac:dyDescent="0.2">
      <c r="A1" s="28" t="s">
        <v>65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x14ac:dyDescent="0.2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x14ac:dyDescent="0.2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x14ac:dyDescent="0.2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x14ac:dyDescent="0.2">
      <c r="A8" s="29"/>
      <c r="B8" s="29"/>
      <c r="C8" s="29"/>
      <c r="D8" s="29"/>
      <c r="E8" s="29"/>
      <c r="F8" s="29"/>
      <c r="G8" s="29"/>
      <c r="H8" s="29"/>
      <c r="I8" s="29"/>
      <c r="J8" s="29"/>
    </row>
    <row r="9" spans="1:10" x14ac:dyDescent="0.2">
      <c r="A9" s="29"/>
      <c r="B9" s="29"/>
      <c r="C9" s="29"/>
      <c r="D9" s="29"/>
      <c r="E9" s="29"/>
      <c r="F9" s="29"/>
      <c r="G9" s="29"/>
      <c r="H9" s="29"/>
      <c r="I9" s="29"/>
      <c r="J9" s="29"/>
    </row>
    <row r="10" spans="1:10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</row>
    <row r="11" spans="1:10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</row>
    <row r="12" spans="1:10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</row>
    <row r="14" spans="1:10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</row>
    <row r="15" spans="1:10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20" spans="1:11" x14ac:dyDescent="0.2">
      <c r="A20" t="s">
        <v>0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11" x14ac:dyDescent="0.2">
      <c r="A21" t="s">
        <v>66</v>
      </c>
      <c r="B21">
        <v>-4500</v>
      </c>
    </row>
    <row r="22" spans="1:11" x14ac:dyDescent="0.2">
      <c r="A22" t="s">
        <v>67</v>
      </c>
      <c r="C22" s="15">
        <f>2000*1.1</f>
        <v>2200</v>
      </c>
      <c r="D22">
        <f>4000*(1+10%)^2</f>
        <v>4840.0000000000009</v>
      </c>
      <c r="E22" s="15">
        <f>6000*(1+10%)^3</f>
        <v>7986.0000000000027</v>
      </c>
      <c r="F22">
        <f>8000*(1+10%)^4</f>
        <v>11712.800000000003</v>
      </c>
      <c r="G22">
        <f>10000*(1+10%)^5</f>
        <v>16105.100000000006</v>
      </c>
    </row>
    <row r="23" spans="1:11" x14ac:dyDescent="0.2">
      <c r="A23" t="s">
        <v>73</v>
      </c>
      <c r="C23" s="16">
        <f>400*1.05</f>
        <v>420</v>
      </c>
      <c r="D23" s="16">
        <v>441</v>
      </c>
      <c r="E23" s="16">
        <v>463</v>
      </c>
      <c r="F23" s="16">
        <v>486</v>
      </c>
      <c r="G23" s="17">
        <v>511</v>
      </c>
      <c r="H23" s="29" t="s">
        <v>75</v>
      </c>
      <c r="I23" s="29"/>
      <c r="J23" s="29"/>
      <c r="K23" s="29"/>
    </row>
    <row r="24" spans="1:11" x14ac:dyDescent="0.2">
      <c r="A24" t="s">
        <v>74</v>
      </c>
      <c r="C24" s="16">
        <v>321</v>
      </c>
      <c r="D24" s="16">
        <v>337</v>
      </c>
      <c r="E24" s="16">
        <v>354</v>
      </c>
      <c r="F24" s="16">
        <v>372</v>
      </c>
      <c r="G24" s="16">
        <v>390</v>
      </c>
    </row>
    <row r="25" spans="1:11" x14ac:dyDescent="0.2">
      <c r="A25" t="s">
        <v>76</v>
      </c>
      <c r="B25">
        <f t="shared" ref="B25:G25" si="0">(C22-B22)*10%</f>
        <v>220</v>
      </c>
      <c r="C25">
        <f t="shared" si="0"/>
        <v>264.00000000000011</v>
      </c>
      <c r="D25">
        <f t="shared" si="0"/>
        <v>314.60000000000019</v>
      </c>
      <c r="E25">
        <f t="shared" si="0"/>
        <v>372.68000000000006</v>
      </c>
      <c r="F25">
        <f t="shared" si="0"/>
        <v>439.2300000000003</v>
      </c>
      <c r="G25">
        <f t="shared" si="0"/>
        <v>-1610.5100000000007</v>
      </c>
    </row>
    <row r="26" spans="1:11" x14ac:dyDescent="0.2">
      <c r="A26" t="s">
        <v>51</v>
      </c>
      <c r="B26">
        <f>B21+B22+B23+B24-B25</f>
        <v>-4720</v>
      </c>
      <c r="C26">
        <f>C21+C22-C23-C24-C25</f>
        <v>1195</v>
      </c>
      <c r="D26">
        <f>D21+D22-D23-D24-D25</f>
        <v>3747.4000000000005</v>
      </c>
      <c r="E26">
        <f t="shared" ref="E26:G26" si="1">E21+E22-E23-E24-E25</f>
        <v>6796.3200000000024</v>
      </c>
      <c r="F26">
        <f t="shared" si="1"/>
        <v>10415.570000000003</v>
      </c>
      <c r="G26">
        <f t="shared" si="1"/>
        <v>16814.610000000008</v>
      </c>
    </row>
    <row r="29" spans="1:11" x14ac:dyDescent="0.2">
      <c r="A29" t="s">
        <v>77</v>
      </c>
      <c r="B29" s="7">
        <v>0.08</v>
      </c>
    </row>
    <row r="30" spans="1:11" x14ac:dyDescent="0.2">
      <c r="A30" t="s">
        <v>78</v>
      </c>
      <c r="B30">
        <v>6.5</v>
      </c>
    </row>
    <row r="31" spans="1:11" x14ac:dyDescent="0.2">
      <c r="A31" t="s">
        <v>79</v>
      </c>
      <c r="B31" s="11">
        <v>0.15010000000000001</v>
      </c>
    </row>
    <row r="42" spans="1:2" x14ac:dyDescent="0.2">
      <c r="A42" s="12" t="s">
        <v>68</v>
      </c>
      <c r="B42" s="12"/>
    </row>
    <row r="43" spans="1:2" x14ac:dyDescent="0.2">
      <c r="A43" s="12" t="s">
        <v>69</v>
      </c>
      <c r="B43" s="13">
        <v>0.1</v>
      </c>
    </row>
    <row r="44" spans="1:2" x14ac:dyDescent="0.2">
      <c r="A44" s="12" t="s">
        <v>70</v>
      </c>
      <c r="B44" s="13">
        <v>0.05</v>
      </c>
    </row>
    <row r="45" spans="1:2" x14ac:dyDescent="0.2">
      <c r="A45" s="12" t="s">
        <v>71</v>
      </c>
      <c r="B45" s="13">
        <v>7.0000000000000007E-2</v>
      </c>
    </row>
    <row r="46" spans="1:2" x14ac:dyDescent="0.2">
      <c r="A46" s="12" t="s">
        <v>72</v>
      </c>
      <c r="B46" s="14">
        <v>6.5000000000000002E-2</v>
      </c>
    </row>
  </sheetData>
  <mergeCells count="2">
    <mergeCell ref="A1:J16"/>
    <mergeCell ref="H23:K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4AC0-BFA7-0540-B32F-A25EFCF490F1}">
  <dimension ref="A1:E15"/>
  <sheetViews>
    <sheetView workbookViewId="0">
      <selection activeCell="C5" sqref="C5"/>
    </sheetView>
  </sheetViews>
  <sheetFormatPr baseColWidth="10" defaultRowHeight="15" x14ac:dyDescent="0.2"/>
  <sheetData>
    <row r="1" spans="1:5" x14ac:dyDescent="0.2">
      <c r="A1" t="s">
        <v>0</v>
      </c>
      <c r="B1">
        <v>0</v>
      </c>
      <c r="C1">
        <v>1</v>
      </c>
      <c r="D1">
        <v>2</v>
      </c>
      <c r="E1">
        <v>3</v>
      </c>
    </row>
    <row r="2" spans="1:5" x14ac:dyDescent="0.2">
      <c r="A2" t="s">
        <v>80</v>
      </c>
      <c r="B2">
        <v>-26000</v>
      </c>
      <c r="E2">
        <v>12500</v>
      </c>
    </row>
    <row r="3" spans="1:5" x14ac:dyDescent="0.2">
      <c r="A3" t="s">
        <v>84</v>
      </c>
      <c r="C3">
        <v>16000</v>
      </c>
      <c r="D3">
        <v>16000</v>
      </c>
      <c r="E3">
        <v>16000</v>
      </c>
    </row>
    <row r="4" spans="1:5" x14ac:dyDescent="0.2">
      <c r="A4" t="s">
        <v>85</v>
      </c>
      <c r="C4">
        <f>-C3*30%</f>
        <v>-4800</v>
      </c>
      <c r="D4">
        <f>-D3*30%</f>
        <v>-4800</v>
      </c>
      <c r="E4">
        <f>-E3*30%</f>
        <v>-4800</v>
      </c>
    </row>
    <row r="5" spans="1:5" x14ac:dyDescent="0.2">
      <c r="A5" t="s">
        <v>86</v>
      </c>
      <c r="C5">
        <f>C4*8%</f>
        <v>-384</v>
      </c>
    </row>
    <row r="6" spans="1:5" x14ac:dyDescent="0.2">
      <c r="A6" s="16" t="s">
        <v>51</v>
      </c>
      <c r="B6" s="16"/>
      <c r="C6" s="16"/>
      <c r="D6" s="16"/>
      <c r="E6" s="16"/>
    </row>
    <row r="7" spans="1:5" x14ac:dyDescent="0.2">
      <c r="A7" s="16" t="s">
        <v>87</v>
      </c>
      <c r="B7" s="16">
        <f>1*(1+1)*8%</f>
        <v>0.16</v>
      </c>
      <c r="C7" s="16"/>
      <c r="D7" s="16"/>
      <c r="E7" s="16"/>
    </row>
    <row r="8" spans="1:5" x14ac:dyDescent="0.2">
      <c r="A8" s="16" t="s">
        <v>53</v>
      </c>
      <c r="B8" s="16"/>
      <c r="C8" s="16"/>
      <c r="D8" s="16"/>
      <c r="E8" s="16"/>
    </row>
    <row r="12" spans="1:5" x14ac:dyDescent="0.2">
      <c r="B12">
        <v>1</v>
      </c>
      <c r="C12">
        <v>2</v>
      </c>
      <c r="D12">
        <v>3</v>
      </c>
    </row>
    <row r="13" spans="1:5" x14ac:dyDescent="0.2">
      <c r="A13" t="s">
        <v>81</v>
      </c>
      <c r="B13">
        <v>26000</v>
      </c>
      <c r="C13">
        <f>B13-B14</f>
        <v>19500</v>
      </c>
      <c r="D13" t="e">
        <f>(C13-C14)-12500</f>
        <v>#VALUE!</v>
      </c>
    </row>
    <row r="14" spans="1:5" x14ac:dyDescent="0.2">
      <c r="A14" t="s">
        <v>82</v>
      </c>
      <c r="B14">
        <f>25%*B13</f>
        <v>6500</v>
      </c>
      <c r="C14" t="s">
        <v>171</v>
      </c>
    </row>
    <row r="15" spans="1:5" x14ac:dyDescent="0.2">
      <c r="A15" t="s">
        <v>83</v>
      </c>
      <c r="B15">
        <f>B14*30%</f>
        <v>1950</v>
      </c>
      <c r="C15" t="e">
        <f>C14*30%</f>
        <v>#VALUE!</v>
      </c>
      <c r="D15" t="e">
        <f>D13*30%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0534-3033-B944-8470-BCDF262BD9C9}">
  <dimension ref="A1:I44"/>
  <sheetViews>
    <sheetView topLeftCell="A12" workbookViewId="0">
      <selection activeCell="C27" sqref="C27"/>
    </sheetView>
  </sheetViews>
  <sheetFormatPr baseColWidth="10" defaultRowHeight="15" x14ac:dyDescent="0.2"/>
  <sheetData>
    <row r="1" spans="1:9" x14ac:dyDescent="0.2">
      <c r="A1" s="28" t="s">
        <v>88</v>
      </c>
      <c r="B1" s="29"/>
      <c r="C1" s="29"/>
      <c r="D1" s="29"/>
      <c r="E1" s="29"/>
      <c r="F1" s="29"/>
      <c r="G1" s="29"/>
      <c r="H1" s="29"/>
      <c r="I1" s="29"/>
    </row>
    <row r="2" spans="1:9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">
      <c r="A13" s="29"/>
      <c r="B13" s="29"/>
      <c r="C13" s="29"/>
      <c r="D13" s="29"/>
      <c r="E13" s="29"/>
      <c r="F13" s="29"/>
      <c r="G13" s="29"/>
      <c r="H13" s="29"/>
      <c r="I13" s="29"/>
    </row>
    <row r="15" spans="1:9" x14ac:dyDescent="0.2">
      <c r="B15">
        <v>1</v>
      </c>
      <c r="C15">
        <v>2</v>
      </c>
      <c r="D15">
        <v>3</v>
      </c>
      <c r="E15">
        <v>4</v>
      </c>
      <c r="F15">
        <v>5</v>
      </c>
    </row>
    <row r="16" spans="1:9" x14ac:dyDescent="0.2">
      <c r="A16" t="s">
        <v>81</v>
      </c>
      <c r="B16">
        <v>10000</v>
      </c>
      <c r="C16">
        <f>B16-B17</f>
        <v>7500</v>
      </c>
      <c r="D16">
        <f>(C16-C17)</f>
        <v>5625</v>
      </c>
      <c r="E16">
        <f>(B16-B17-C17)*25%</f>
        <v>1406.25</v>
      </c>
      <c r="F16">
        <f>(C16-C17-D17)*25%</f>
        <v>1054.6875</v>
      </c>
    </row>
    <row r="17" spans="1:6" x14ac:dyDescent="0.2">
      <c r="A17" t="s">
        <v>82</v>
      </c>
      <c r="B17">
        <f>B16*25%</f>
        <v>2500</v>
      </c>
      <c r="C17">
        <f>25%*C16</f>
        <v>1875</v>
      </c>
      <c r="D17">
        <f>25%*D16</f>
        <v>1406.25</v>
      </c>
      <c r="E17" s="18"/>
    </row>
    <row r="18" spans="1:6" x14ac:dyDescent="0.2">
      <c r="A18" t="s">
        <v>83</v>
      </c>
      <c r="C18">
        <f>B17*30%</f>
        <v>750</v>
      </c>
      <c r="D18">
        <f>C17*30%</f>
        <v>562.5</v>
      </c>
      <c r="E18">
        <f>D17*30%</f>
        <v>421.875</v>
      </c>
      <c r="F18">
        <f>F16*30%</f>
        <v>316.40625</v>
      </c>
    </row>
    <row r="21" spans="1:6" x14ac:dyDescent="0.2">
      <c r="A21" t="s">
        <v>50</v>
      </c>
      <c r="B21">
        <v>0</v>
      </c>
      <c r="C21">
        <v>1</v>
      </c>
      <c r="D21">
        <v>2</v>
      </c>
      <c r="E21">
        <v>3</v>
      </c>
      <c r="F21">
        <v>4</v>
      </c>
    </row>
    <row r="22" spans="1:6" x14ac:dyDescent="0.2">
      <c r="A22" t="s">
        <v>89</v>
      </c>
      <c r="B22">
        <v>-10000</v>
      </c>
      <c r="F22">
        <v>2500</v>
      </c>
    </row>
    <row r="23" spans="1:6" x14ac:dyDescent="0.2">
      <c r="A23" t="s">
        <v>90</v>
      </c>
      <c r="C23">
        <v>4000</v>
      </c>
      <c r="D23">
        <v>4000</v>
      </c>
      <c r="E23">
        <v>4000</v>
      </c>
      <c r="F23">
        <v>4000</v>
      </c>
    </row>
    <row r="24" spans="1:6" x14ac:dyDescent="0.2">
      <c r="A24" t="s">
        <v>91</v>
      </c>
      <c r="C24">
        <v>-1200</v>
      </c>
      <c r="D24">
        <v>-1200</v>
      </c>
      <c r="E24">
        <v>-1200</v>
      </c>
      <c r="F24">
        <v>-1200</v>
      </c>
    </row>
    <row r="25" spans="1:6" x14ac:dyDescent="0.2">
      <c r="C25">
        <f>C18</f>
        <v>750</v>
      </c>
      <c r="D25">
        <f>D18</f>
        <v>562.5</v>
      </c>
      <c r="E25">
        <f>E18</f>
        <v>421.875</v>
      </c>
      <c r="F25">
        <f>F18</f>
        <v>316.40625</v>
      </c>
    </row>
    <row r="27" spans="1:6" x14ac:dyDescent="0.2">
      <c r="A27" t="s">
        <v>87</v>
      </c>
      <c r="B27">
        <f t="shared" ref="B27:F27" si="0">1/(1+10%)^B21</f>
        <v>1</v>
      </c>
      <c r="C27">
        <f t="shared" si="0"/>
        <v>0.90909090909090906</v>
      </c>
      <c r="D27">
        <f t="shared" si="0"/>
        <v>0.82644628099173545</v>
      </c>
      <c r="E27">
        <f t="shared" si="0"/>
        <v>0.75131480090157754</v>
      </c>
      <c r="F27">
        <f t="shared" si="0"/>
        <v>0.68301345536507052</v>
      </c>
    </row>
    <row r="28" spans="1:6" x14ac:dyDescent="0.2">
      <c r="A28" t="s">
        <v>53</v>
      </c>
      <c r="B28">
        <f>SUMPRODUCT(B27:F27)</f>
        <v>4.1698654463492932</v>
      </c>
    </row>
    <row r="31" spans="1:6" x14ac:dyDescent="0.2">
      <c r="B31">
        <v>1</v>
      </c>
      <c r="C31">
        <v>2</v>
      </c>
      <c r="D31">
        <v>3</v>
      </c>
      <c r="E31">
        <v>4</v>
      </c>
    </row>
    <row r="32" spans="1:6" x14ac:dyDescent="0.2">
      <c r="A32" t="s">
        <v>81</v>
      </c>
      <c r="B32">
        <v>10000</v>
      </c>
      <c r="C32">
        <f>B32-B33</f>
        <v>7500</v>
      </c>
      <c r="D32">
        <f>(C32-C33)</f>
        <v>5625</v>
      </c>
      <c r="E32">
        <v>1719</v>
      </c>
    </row>
    <row r="33" spans="1:6" x14ac:dyDescent="0.2">
      <c r="A33" t="s">
        <v>82</v>
      </c>
      <c r="B33">
        <f>B32*25%</f>
        <v>2500</v>
      </c>
      <c r="C33">
        <f>25%*C32</f>
        <v>1875</v>
      </c>
      <c r="D33">
        <f>25%*D32</f>
        <v>1406.25</v>
      </c>
      <c r="E33" s="18"/>
    </row>
    <row r="34" spans="1:6" x14ac:dyDescent="0.2">
      <c r="A34" t="s">
        <v>83</v>
      </c>
      <c r="C34">
        <f>B33*30%</f>
        <v>750</v>
      </c>
      <c r="D34">
        <f>C33*30%</f>
        <v>562.5</v>
      </c>
      <c r="E34">
        <f>D32*30%</f>
        <v>1687.5</v>
      </c>
      <c r="F34">
        <f>E32*30%</f>
        <v>515.69999999999993</v>
      </c>
    </row>
    <row r="37" spans="1:6" x14ac:dyDescent="0.2">
      <c r="A37" t="s">
        <v>50</v>
      </c>
      <c r="B37">
        <v>0</v>
      </c>
      <c r="C37">
        <v>1</v>
      </c>
      <c r="D37">
        <v>2</v>
      </c>
      <c r="E37">
        <v>3</v>
      </c>
      <c r="F37">
        <v>4</v>
      </c>
    </row>
    <row r="38" spans="1:6" x14ac:dyDescent="0.2">
      <c r="A38" t="s">
        <v>89</v>
      </c>
      <c r="B38">
        <v>-10000</v>
      </c>
      <c r="F38">
        <v>2500</v>
      </c>
    </row>
    <row r="39" spans="1:6" x14ac:dyDescent="0.2">
      <c r="A39" t="s">
        <v>90</v>
      </c>
      <c r="C39">
        <v>4000</v>
      </c>
      <c r="D39">
        <v>4000</v>
      </c>
      <c r="E39">
        <v>4000</v>
      </c>
      <c r="F39">
        <v>4000</v>
      </c>
    </row>
    <row r="40" spans="1:6" x14ac:dyDescent="0.2">
      <c r="A40" t="s">
        <v>91</v>
      </c>
      <c r="C40">
        <v>-1200</v>
      </c>
      <c r="D40">
        <v>-1200</v>
      </c>
      <c r="E40">
        <v>-1200</v>
      </c>
      <c r="F40">
        <v>-1200</v>
      </c>
    </row>
    <row r="41" spans="1:6" x14ac:dyDescent="0.2">
      <c r="C41">
        <f>C34</f>
        <v>750</v>
      </c>
      <c r="D41">
        <f>D34</f>
        <v>562.5</v>
      </c>
      <c r="E41">
        <f>E34</f>
        <v>1687.5</v>
      </c>
      <c r="F41">
        <f>F34</f>
        <v>515.69999999999993</v>
      </c>
    </row>
    <row r="43" spans="1:6" x14ac:dyDescent="0.2">
      <c r="A43" t="s">
        <v>87</v>
      </c>
      <c r="B43">
        <f>1/(1+10%)^B37</f>
        <v>1</v>
      </c>
      <c r="C43">
        <f t="shared" ref="C43:F43" si="1">1/(1+10%)^C37</f>
        <v>0.90909090909090906</v>
      </c>
      <c r="D43">
        <f t="shared" si="1"/>
        <v>0.82644628099173545</v>
      </c>
      <c r="E43">
        <f t="shared" si="1"/>
        <v>0.75131480090157754</v>
      </c>
      <c r="F43">
        <f t="shared" si="1"/>
        <v>0.68301345536507052</v>
      </c>
    </row>
    <row r="44" spans="1:6" x14ac:dyDescent="0.2">
      <c r="A44" t="s">
        <v>53</v>
      </c>
      <c r="B44">
        <f>SUMPRODUCT(B43:F43)</f>
        <v>4.1698654463492932</v>
      </c>
    </row>
  </sheetData>
  <mergeCells count="1">
    <mergeCell ref="A1:I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62A5-B823-FD4D-A230-03952495E50C}">
  <dimension ref="A1:F27"/>
  <sheetViews>
    <sheetView workbookViewId="0">
      <selection activeCell="B13" sqref="B13"/>
    </sheetView>
  </sheetViews>
  <sheetFormatPr baseColWidth="10" defaultRowHeight="15" x14ac:dyDescent="0.2"/>
  <cols>
    <col min="3" max="3" width="19" customWidth="1"/>
  </cols>
  <sheetData>
    <row r="1" spans="1:6" x14ac:dyDescent="0.2">
      <c r="A1" s="28" t="s">
        <v>92</v>
      </c>
      <c r="B1" s="29"/>
      <c r="C1" s="29"/>
      <c r="D1" s="29"/>
      <c r="E1" s="29"/>
      <c r="F1" s="29"/>
    </row>
    <row r="2" spans="1:6" x14ac:dyDescent="0.2">
      <c r="A2" s="29"/>
      <c r="B2" s="29"/>
      <c r="C2" s="29"/>
      <c r="D2" s="29"/>
      <c r="E2" s="29"/>
      <c r="F2" s="29"/>
    </row>
    <row r="3" spans="1:6" x14ac:dyDescent="0.2">
      <c r="A3" s="29"/>
      <c r="B3" s="29"/>
      <c r="C3" s="29"/>
      <c r="D3" s="29"/>
      <c r="E3" s="29"/>
      <c r="F3" s="29"/>
    </row>
    <row r="4" spans="1:6" x14ac:dyDescent="0.2">
      <c r="A4" s="29"/>
      <c r="B4" s="29"/>
      <c r="C4" s="29"/>
      <c r="D4" s="29"/>
      <c r="E4" s="29"/>
      <c r="F4" s="29"/>
    </row>
    <row r="5" spans="1:6" x14ac:dyDescent="0.2">
      <c r="A5" s="29"/>
      <c r="B5" s="29"/>
      <c r="C5" s="29"/>
      <c r="D5" s="29"/>
      <c r="E5" s="29"/>
      <c r="F5" s="29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  <c r="B8" s="29"/>
      <c r="C8" s="29"/>
      <c r="D8" s="29"/>
      <c r="E8" s="29"/>
      <c r="F8" s="29"/>
    </row>
    <row r="9" spans="1:6" x14ac:dyDescent="0.2">
      <c r="A9" s="29"/>
      <c r="B9" s="29"/>
      <c r="C9" s="29"/>
      <c r="D9" s="29"/>
      <c r="E9" s="29"/>
      <c r="F9" s="29"/>
    </row>
    <row r="11" spans="1:6" x14ac:dyDescent="0.2">
      <c r="A11" s="10" t="s">
        <v>93</v>
      </c>
      <c r="B11" s="10" t="s">
        <v>94</v>
      </c>
      <c r="C11" s="10" t="s">
        <v>95</v>
      </c>
      <c r="D11" s="10" t="s">
        <v>53</v>
      </c>
      <c r="E11" s="10" t="s">
        <v>103</v>
      </c>
    </row>
    <row r="12" spans="1:6" x14ac:dyDescent="0.2">
      <c r="A12" s="10" t="s">
        <v>97</v>
      </c>
      <c r="B12" s="19">
        <v>12</v>
      </c>
      <c r="C12" s="10">
        <v>26</v>
      </c>
      <c r="D12" s="10">
        <f t="shared" ref="D12:D18" si="0">C12-B12</f>
        <v>14</v>
      </c>
      <c r="E12">
        <f t="shared" ref="E12:E18" si="1">D12/B12</f>
        <v>1.1666666666666667</v>
      </c>
    </row>
    <row r="13" spans="1:6" x14ac:dyDescent="0.2">
      <c r="A13" s="10" t="s">
        <v>101</v>
      </c>
      <c r="B13" s="19">
        <v>18</v>
      </c>
      <c r="C13" s="10">
        <v>32</v>
      </c>
      <c r="D13" s="10">
        <f t="shared" si="0"/>
        <v>14</v>
      </c>
      <c r="E13">
        <f t="shared" si="1"/>
        <v>0.77777777777777779</v>
      </c>
    </row>
    <row r="14" spans="1:6" x14ac:dyDescent="0.2">
      <c r="A14" s="10" t="s">
        <v>99</v>
      </c>
      <c r="B14" s="10">
        <v>22</v>
      </c>
      <c r="C14" s="10">
        <v>38</v>
      </c>
      <c r="D14" s="10">
        <f t="shared" si="0"/>
        <v>16</v>
      </c>
      <c r="E14">
        <f t="shared" si="1"/>
        <v>0.72727272727272729</v>
      </c>
    </row>
    <row r="15" spans="1:6" x14ac:dyDescent="0.2">
      <c r="A15" s="10" t="s">
        <v>100</v>
      </c>
      <c r="B15" s="10">
        <v>30</v>
      </c>
      <c r="C15" s="10">
        <v>48</v>
      </c>
      <c r="D15" s="10">
        <f t="shared" si="0"/>
        <v>18</v>
      </c>
      <c r="E15">
        <f t="shared" si="1"/>
        <v>0.6</v>
      </c>
      <c r="F15" t="s">
        <v>104</v>
      </c>
    </row>
    <row r="16" spans="1:6" x14ac:dyDescent="0.2">
      <c r="A16" s="10" t="s">
        <v>96</v>
      </c>
      <c r="B16" s="10">
        <v>15</v>
      </c>
      <c r="C16" s="10">
        <v>23</v>
      </c>
      <c r="D16" s="10">
        <f t="shared" si="0"/>
        <v>8</v>
      </c>
      <c r="E16">
        <f t="shared" si="1"/>
        <v>0.53333333333333333</v>
      </c>
    </row>
    <row r="17" spans="1:6" x14ac:dyDescent="0.2">
      <c r="A17" s="20" t="s">
        <v>102</v>
      </c>
      <c r="B17" s="20">
        <v>20</v>
      </c>
      <c r="C17" s="10">
        <v>30</v>
      </c>
      <c r="D17" s="20">
        <f t="shared" si="0"/>
        <v>10</v>
      </c>
      <c r="E17">
        <f t="shared" si="1"/>
        <v>0.5</v>
      </c>
      <c r="F17" t="s">
        <v>105</v>
      </c>
    </row>
    <row r="18" spans="1:6" x14ac:dyDescent="0.2">
      <c r="A18" s="10" t="s">
        <v>98</v>
      </c>
      <c r="B18" s="10">
        <v>25</v>
      </c>
      <c r="C18" s="10">
        <v>31</v>
      </c>
      <c r="D18" s="10">
        <f t="shared" si="0"/>
        <v>6</v>
      </c>
      <c r="E18">
        <f t="shared" si="1"/>
        <v>0.24</v>
      </c>
    </row>
    <row r="27" spans="1:6" x14ac:dyDescent="0.2">
      <c r="B27" t="s">
        <v>130</v>
      </c>
    </row>
  </sheetData>
  <mergeCells count="1">
    <mergeCell ref="A1:F9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8FFE-3B40-A749-8F3A-BD0CCE710E99}">
  <dimension ref="A1:E5"/>
  <sheetViews>
    <sheetView workbookViewId="0">
      <selection activeCell="A8" sqref="A8"/>
    </sheetView>
  </sheetViews>
  <sheetFormatPr baseColWidth="10" defaultRowHeight="15" x14ac:dyDescent="0.2"/>
  <sheetData>
    <row r="1" spans="1:5" x14ac:dyDescent="0.2">
      <c r="B1" t="s">
        <v>109</v>
      </c>
      <c r="C1" t="s">
        <v>110</v>
      </c>
      <c r="D1" t="s">
        <v>111</v>
      </c>
      <c r="E1" t="s">
        <v>112</v>
      </c>
    </row>
    <row r="2" spans="1:5" x14ac:dyDescent="0.2">
      <c r="A2" t="s">
        <v>106</v>
      </c>
      <c r="B2">
        <v>2</v>
      </c>
      <c r="C2">
        <f>B2*3</f>
        <v>6</v>
      </c>
      <c r="D2">
        <f>B2*2</f>
        <v>4</v>
      </c>
      <c r="E2">
        <f>B2*15</f>
        <v>30</v>
      </c>
    </row>
    <row r="3" spans="1:5" x14ac:dyDescent="0.2">
      <c r="A3" t="s">
        <v>107</v>
      </c>
      <c r="B3">
        <v>3</v>
      </c>
      <c r="C3">
        <f>B3*4</f>
        <v>12</v>
      </c>
      <c r="D3">
        <f>B3*6</f>
        <v>18</v>
      </c>
      <c r="E3">
        <f>B3*10</f>
        <v>30</v>
      </c>
    </row>
    <row r="4" spans="1:5" x14ac:dyDescent="0.2">
      <c r="A4" t="s">
        <v>108</v>
      </c>
      <c r="C4">
        <f>SUM(C2:C3)</f>
        <v>18</v>
      </c>
      <c r="D4">
        <f>SUM(D2:D3)</f>
        <v>22</v>
      </c>
      <c r="E4">
        <f>SUM(E2:E3)</f>
        <v>60</v>
      </c>
    </row>
    <row r="5" spans="1:5" x14ac:dyDescent="0.2">
      <c r="A5" t="s">
        <v>113</v>
      </c>
      <c r="B5">
        <v>1100</v>
      </c>
      <c r="C5">
        <v>4800</v>
      </c>
      <c r="D5">
        <v>3600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312-88B2-F44A-ABAE-65460C4C15B1}">
  <dimension ref="A1:H27"/>
  <sheetViews>
    <sheetView workbookViewId="0">
      <selection activeCell="D13" sqref="D13"/>
    </sheetView>
  </sheetViews>
  <sheetFormatPr baseColWidth="10" defaultRowHeight="15" x14ac:dyDescent="0.2"/>
  <sheetData>
    <row r="1" spans="1:8" x14ac:dyDescent="0.2">
      <c r="A1" t="s">
        <v>114</v>
      </c>
    </row>
    <row r="3" spans="1:8" x14ac:dyDescent="0.2">
      <c r="A3" t="s">
        <v>115</v>
      </c>
    </row>
    <row r="4" spans="1:8" x14ac:dyDescent="0.2">
      <c r="B4">
        <v>1</v>
      </c>
      <c r="C4">
        <v>2</v>
      </c>
      <c r="D4">
        <v>3</v>
      </c>
      <c r="E4">
        <v>4</v>
      </c>
      <c r="F4">
        <v>5</v>
      </c>
    </row>
    <row r="5" spans="1:8" x14ac:dyDescent="0.2">
      <c r="A5" t="s">
        <v>116</v>
      </c>
      <c r="B5">
        <v>6400</v>
      </c>
      <c r="C5">
        <f>B5-B6</f>
        <v>4800</v>
      </c>
      <c r="D5">
        <f t="shared" ref="D5:F5" si="0">C5-C6</f>
        <v>3600</v>
      </c>
      <c r="E5">
        <f t="shared" si="0"/>
        <v>2700</v>
      </c>
      <c r="F5">
        <f t="shared" si="0"/>
        <v>2025</v>
      </c>
      <c r="H5" t="s">
        <v>119</v>
      </c>
    </row>
    <row r="6" spans="1:8" x14ac:dyDescent="0.2">
      <c r="A6" t="s">
        <v>82</v>
      </c>
      <c r="B6">
        <f>25%*B5</f>
        <v>1600</v>
      </c>
      <c r="C6">
        <f>25%*C5</f>
        <v>1200</v>
      </c>
      <c r="D6">
        <f>25%*D5</f>
        <v>900</v>
      </c>
      <c r="E6">
        <f>25%*E5</f>
        <v>675</v>
      </c>
    </row>
    <row r="7" spans="1:8" x14ac:dyDescent="0.2">
      <c r="A7" t="s">
        <v>117</v>
      </c>
      <c r="C7" s="21">
        <f>B6*30%</f>
        <v>480</v>
      </c>
      <c r="D7" s="21">
        <f>C6*30%</f>
        <v>360</v>
      </c>
      <c r="E7" s="21">
        <f>D6*30%</f>
        <v>270</v>
      </c>
      <c r="F7" s="21">
        <f>E6*30%</f>
        <v>202.5</v>
      </c>
      <c r="G7" s="21">
        <f>F5*30%</f>
        <v>607.5</v>
      </c>
      <c r="H7" t="s">
        <v>118</v>
      </c>
    </row>
    <row r="9" spans="1:8" x14ac:dyDescent="0.2">
      <c r="A9" t="s">
        <v>0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2">
      <c r="A10" t="s">
        <v>120</v>
      </c>
      <c r="B10">
        <v>-6400</v>
      </c>
    </row>
    <row r="11" spans="1:8" x14ac:dyDescent="0.2">
      <c r="A11" t="s">
        <v>121</v>
      </c>
      <c r="D11" s="21">
        <f>C7</f>
        <v>480</v>
      </c>
      <c r="E11" s="21">
        <f t="shared" ref="E11:H11" si="1">D7</f>
        <v>360</v>
      </c>
      <c r="F11" s="21">
        <f t="shared" si="1"/>
        <v>270</v>
      </c>
      <c r="G11" s="21">
        <f t="shared" si="1"/>
        <v>202.5</v>
      </c>
      <c r="H11" s="21">
        <f t="shared" si="1"/>
        <v>607.5</v>
      </c>
    </row>
    <row r="12" spans="1:8" x14ac:dyDescent="0.2">
      <c r="A12" t="s">
        <v>51</v>
      </c>
      <c r="B12">
        <f>B10+B11</f>
        <v>-6400</v>
      </c>
      <c r="C12">
        <f t="shared" ref="C12:H12" si="2">C10+C11</f>
        <v>0</v>
      </c>
      <c r="D12" s="21">
        <f>D10+D11</f>
        <v>480</v>
      </c>
      <c r="E12">
        <f t="shared" si="2"/>
        <v>360</v>
      </c>
      <c r="F12">
        <f t="shared" si="2"/>
        <v>270</v>
      </c>
      <c r="G12">
        <f t="shared" si="2"/>
        <v>202.5</v>
      </c>
      <c r="H12">
        <f t="shared" si="2"/>
        <v>607.5</v>
      </c>
    </row>
    <row r="13" spans="1:8" x14ac:dyDescent="0.2">
      <c r="A13" t="s">
        <v>122</v>
      </c>
      <c r="C13" s="11">
        <v>0.114</v>
      </c>
      <c r="D13" t="s">
        <v>172</v>
      </c>
    </row>
    <row r="14" spans="1:8" x14ac:dyDescent="0.2">
      <c r="A14" t="s">
        <v>123</v>
      </c>
      <c r="C14" s="7">
        <v>0.3</v>
      </c>
    </row>
    <row r="15" spans="1:8" x14ac:dyDescent="0.2">
      <c r="A15" t="s">
        <v>124</v>
      </c>
      <c r="C15" s="11">
        <f>C13*(1-C14)</f>
        <v>7.9799999999999996E-2</v>
      </c>
    </row>
    <row r="17" spans="1:8" x14ac:dyDescent="0.2">
      <c r="A17" t="s">
        <v>87</v>
      </c>
      <c r="B17">
        <f>1/(1+7.98%)^B9</f>
        <v>1</v>
      </c>
      <c r="C17">
        <f>1/(1+7.98%)^C9</f>
        <v>0.92609742544915719</v>
      </c>
      <c r="D17">
        <f t="shared" ref="D17:H17" si="3">1/(1+7.98%)^D9</f>
        <v>0.85765644142355735</v>
      </c>
      <c r="E17">
        <f t="shared" si="3"/>
        <v>0.7942734223222423</v>
      </c>
      <c r="F17">
        <f t="shared" si="3"/>
        <v>0.7355745715153198</v>
      </c>
      <c r="G17">
        <f t="shared" si="3"/>
        <v>0.68121371690620458</v>
      </c>
      <c r="H17">
        <f t="shared" si="3"/>
        <v>0.63087026940748714</v>
      </c>
    </row>
    <row r="18" spans="1:8" x14ac:dyDescent="0.2">
      <c r="A18" t="s">
        <v>125</v>
      </c>
      <c r="C18" t="s">
        <v>126</v>
      </c>
    </row>
    <row r="22" spans="1:8" x14ac:dyDescent="0.2">
      <c r="A22" t="s">
        <v>127</v>
      </c>
    </row>
    <row r="23" spans="1:8" x14ac:dyDescent="0.2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</row>
    <row r="24" spans="1:8" x14ac:dyDescent="0.2">
      <c r="A24" t="s">
        <v>128</v>
      </c>
      <c r="B24">
        <v>-1420</v>
      </c>
      <c r="C24">
        <v>-1420</v>
      </c>
      <c r="D24">
        <v>-1420</v>
      </c>
      <c r="E24">
        <v>-1420</v>
      </c>
      <c r="F24">
        <v>-1420</v>
      </c>
    </row>
    <row r="25" spans="1:8" x14ac:dyDescent="0.2">
      <c r="A25" t="s">
        <v>129</v>
      </c>
      <c r="D25">
        <f>-C24*30%</f>
        <v>426</v>
      </c>
      <c r="E25">
        <f t="shared" ref="E25:G25" si="4">-D24*30%</f>
        <v>426</v>
      </c>
      <c r="F25">
        <f t="shared" si="4"/>
        <v>426</v>
      </c>
      <c r="G25">
        <f t="shared" si="4"/>
        <v>426</v>
      </c>
      <c r="H25">
        <f>-F24*30%</f>
        <v>426</v>
      </c>
    </row>
    <row r="26" spans="1:8" x14ac:dyDescent="0.2">
      <c r="B26">
        <f>B24+B25</f>
        <v>-1420</v>
      </c>
      <c r="C26">
        <f t="shared" ref="C26:H26" si="5">C24+C25</f>
        <v>-1420</v>
      </c>
      <c r="D26">
        <f t="shared" si="5"/>
        <v>-994</v>
      </c>
      <c r="E26">
        <f t="shared" si="5"/>
        <v>-994</v>
      </c>
      <c r="F26">
        <f t="shared" si="5"/>
        <v>-994</v>
      </c>
      <c r="G26">
        <f t="shared" si="5"/>
        <v>426</v>
      </c>
      <c r="H26">
        <f t="shared" si="5"/>
        <v>426</v>
      </c>
    </row>
    <row r="27" spans="1:8" s="22" customFormat="1" x14ac:dyDescent="0.2">
      <c r="A27" s="22" t="s">
        <v>53</v>
      </c>
      <c r="B27" s="22">
        <f>SUMPRODUCT(B26:H26)</f>
        <v>-4970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FB89-9417-AC4B-88BB-2EB6B0E10F25}">
  <dimension ref="A1:D20"/>
  <sheetViews>
    <sheetView workbookViewId="0">
      <selection activeCell="C2" sqref="C2"/>
    </sheetView>
  </sheetViews>
  <sheetFormatPr baseColWidth="10" defaultRowHeight="15" x14ac:dyDescent="0.2"/>
  <sheetData>
    <row r="1" spans="1:4" x14ac:dyDescent="0.2">
      <c r="A1" s="12" t="s">
        <v>0</v>
      </c>
      <c r="B1" s="12">
        <v>0</v>
      </c>
      <c r="C1" s="12">
        <v>1</v>
      </c>
    </row>
    <row r="2" spans="1:4" x14ac:dyDescent="0.2">
      <c r="A2" s="12" t="s">
        <v>131</v>
      </c>
      <c r="B2" s="12">
        <v>-20000</v>
      </c>
      <c r="C2" s="12">
        <v>16000</v>
      </c>
    </row>
    <row r="3" spans="1:4" x14ac:dyDescent="0.2">
      <c r="A3" s="12" t="s">
        <v>132</v>
      </c>
      <c r="B3" s="12"/>
      <c r="C3" s="12">
        <v>-5000</v>
      </c>
    </row>
    <row r="4" spans="1:4" x14ac:dyDescent="0.2">
      <c r="A4" s="12" t="s">
        <v>51</v>
      </c>
      <c r="B4" s="12">
        <f>B2+B3</f>
        <v>-20000</v>
      </c>
      <c r="C4" s="12">
        <f>C2+C3</f>
        <v>11000</v>
      </c>
    </row>
    <row r="5" spans="1:4" x14ac:dyDescent="0.2">
      <c r="A5" s="12" t="s">
        <v>59</v>
      </c>
      <c r="B5" s="12">
        <f>1/(1+10%)^B1</f>
        <v>1</v>
      </c>
      <c r="C5" s="12">
        <f>1/(1+10%)^C1</f>
        <v>0.90909090909090906</v>
      </c>
    </row>
    <row r="6" spans="1:4" x14ac:dyDescent="0.2">
      <c r="A6" s="12" t="s">
        <v>53</v>
      </c>
      <c r="B6" s="12">
        <f>SUMPRODUCT(B4:C4,B5:C5)</f>
        <v>-10000</v>
      </c>
      <c r="C6" s="12"/>
    </row>
    <row r="9" spans="1:4" x14ac:dyDescent="0.2">
      <c r="A9" s="12" t="s">
        <v>133</v>
      </c>
      <c r="B9" s="12">
        <v>0</v>
      </c>
      <c r="C9" s="12">
        <v>1</v>
      </c>
      <c r="D9" s="12">
        <v>2</v>
      </c>
    </row>
    <row r="10" spans="1:4" x14ac:dyDescent="0.2">
      <c r="A10" s="12" t="s">
        <v>131</v>
      </c>
      <c r="B10" s="12">
        <v>-20000</v>
      </c>
      <c r="C10" s="12"/>
      <c r="D10" s="12">
        <v>13000</v>
      </c>
    </row>
    <row r="11" spans="1:4" x14ac:dyDescent="0.2">
      <c r="A11" s="12" t="s">
        <v>132</v>
      </c>
      <c r="B11" s="12"/>
      <c r="C11" s="12">
        <v>-5000</v>
      </c>
      <c r="D11" s="12">
        <v>-5500</v>
      </c>
    </row>
    <row r="12" spans="1:4" x14ac:dyDescent="0.2">
      <c r="A12" s="12" t="s">
        <v>51</v>
      </c>
      <c r="B12" s="12">
        <f>B10+B11</f>
        <v>-20000</v>
      </c>
      <c r="C12" s="12">
        <f t="shared" ref="C12:D12" si="0">C10+C11</f>
        <v>-5000</v>
      </c>
      <c r="D12" s="12">
        <f t="shared" si="0"/>
        <v>7500</v>
      </c>
    </row>
    <row r="13" spans="1:4" x14ac:dyDescent="0.2">
      <c r="A13" s="12" t="s">
        <v>134</v>
      </c>
      <c r="B13" s="12">
        <f>1/(1+10%)^B9</f>
        <v>1</v>
      </c>
      <c r="C13" s="12">
        <f t="shared" ref="C13:D13" si="1">1/(1+10%)^C9</f>
        <v>0.90909090909090906</v>
      </c>
      <c r="D13" s="12">
        <f t="shared" si="1"/>
        <v>0.82644628099173545</v>
      </c>
    </row>
    <row r="14" spans="1:4" x14ac:dyDescent="0.2">
      <c r="A14" s="12" t="s">
        <v>53</v>
      </c>
      <c r="B14" s="12">
        <f>SUMPRODUCT(B12:D12,B13:D13)</f>
        <v>-18347.10743801653</v>
      </c>
      <c r="C14" s="12"/>
      <c r="D14" s="12"/>
    </row>
    <row r="16" spans="1:4" x14ac:dyDescent="0.2">
      <c r="A16" t="s">
        <v>135</v>
      </c>
      <c r="B16">
        <f>B6/C5</f>
        <v>-11000</v>
      </c>
    </row>
    <row r="17" spans="1:2" x14ac:dyDescent="0.2">
      <c r="A17" t="s">
        <v>136</v>
      </c>
      <c r="B17">
        <f>B14/D13</f>
        <v>-22200.000000000004</v>
      </c>
    </row>
    <row r="20" spans="1:2" x14ac:dyDescent="0.2">
      <c r="A20" t="s">
        <v>137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2438-DF5D-924C-B523-6D555A6618DD}">
  <dimension ref="A5:G29"/>
  <sheetViews>
    <sheetView workbookViewId="0">
      <selection activeCell="C24" sqref="C24:E29"/>
    </sheetView>
  </sheetViews>
  <sheetFormatPr baseColWidth="10" defaultRowHeight="15" x14ac:dyDescent="0.2"/>
  <sheetData>
    <row r="5" spans="1:7" x14ac:dyDescent="0.2">
      <c r="A5" t="s">
        <v>0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7" x14ac:dyDescent="0.2">
      <c r="A6" t="s">
        <v>138</v>
      </c>
      <c r="C6">
        <v>50000</v>
      </c>
      <c r="D6">
        <v>50000</v>
      </c>
      <c r="E6">
        <v>50000</v>
      </c>
      <c r="F6">
        <v>50000</v>
      </c>
      <c r="G6">
        <v>50000</v>
      </c>
    </row>
    <row r="7" spans="1:7" x14ac:dyDescent="0.2">
      <c r="A7" t="s">
        <v>66</v>
      </c>
      <c r="B7">
        <v>-460000</v>
      </c>
      <c r="G7">
        <v>40000</v>
      </c>
    </row>
    <row r="8" spans="1:7" x14ac:dyDescent="0.2">
      <c r="A8" t="s">
        <v>18</v>
      </c>
      <c r="B8">
        <f>B6+B7</f>
        <v>-460000</v>
      </c>
      <c r="C8">
        <f t="shared" ref="C8:F8" si="0">C6+C7</f>
        <v>50000</v>
      </c>
      <c r="D8">
        <f t="shared" si="0"/>
        <v>50000</v>
      </c>
      <c r="E8">
        <f t="shared" si="0"/>
        <v>50000</v>
      </c>
      <c r="F8">
        <f t="shared" si="0"/>
        <v>50000</v>
      </c>
      <c r="G8">
        <f>G6+G7</f>
        <v>90000</v>
      </c>
    </row>
    <row r="9" spans="1:7" x14ac:dyDescent="0.2">
      <c r="A9" s="23" t="s">
        <v>139</v>
      </c>
      <c r="B9">
        <f>1/(1+5%)^B5</f>
        <v>1</v>
      </c>
      <c r="C9">
        <f t="shared" ref="C9:F9" si="1">1/(1+5%)^C5</f>
        <v>0.95238095238095233</v>
      </c>
      <c r="D9">
        <f t="shared" si="1"/>
        <v>0.90702947845804982</v>
      </c>
      <c r="E9">
        <f t="shared" si="1"/>
        <v>0.86383759853147601</v>
      </c>
      <c r="F9">
        <f t="shared" si="1"/>
        <v>0.82270247479188197</v>
      </c>
      <c r="G9">
        <f>1/(1+5%)^G5</f>
        <v>0.78352616646845896</v>
      </c>
    </row>
    <row r="10" spans="1:7" x14ac:dyDescent="0.2">
      <c r="A10" t="s">
        <v>53</v>
      </c>
      <c r="B10">
        <f>SUMPRODUCT(B8:G8,B9:G9)</f>
        <v>-212185.11980972067</v>
      </c>
    </row>
    <row r="12" spans="1:7" x14ac:dyDescent="0.2">
      <c r="A12" t="s">
        <v>140</v>
      </c>
      <c r="C12">
        <v>-17359</v>
      </c>
    </row>
    <row r="13" spans="1:7" x14ac:dyDescent="0.2">
      <c r="A13" t="s">
        <v>141</v>
      </c>
    </row>
    <row r="24" spans="3:7" x14ac:dyDescent="0.2">
      <c r="C24" t="s">
        <v>163</v>
      </c>
      <c r="D24" t="s">
        <v>164</v>
      </c>
      <c r="E24" t="s">
        <v>165</v>
      </c>
      <c r="G24" t="s">
        <v>130</v>
      </c>
    </row>
    <row r="25" spans="3:7" x14ac:dyDescent="0.2">
      <c r="C25" t="s">
        <v>166</v>
      </c>
      <c r="D25">
        <v>4000</v>
      </c>
      <c r="E25">
        <v>900</v>
      </c>
    </row>
    <row r="26" spans="3:7" x14ac:dyDescent="0.2">
      <c r="C26" t="s">
        <v>167</v>
      </c>
      <c r="D26">
        <v>4000</v>
      </c>
      <c r="E26">
        <v>1000</v>
      </c>
    </row>
    <row r="27" spans="3:7" x14ac:dyDescent="0.2">
      <c r="C27" t="s">
        <v>168</v>
      </c>
      <c r="D27">
        <v>10000</v>
      </c>
      <c r="E27">
        <v>3500</v>
      </c>
    </row>
    <row r="28" spans="3:7" x14ac:dyDescent="0.2">
      <c r="C28" t="s">
        <v>169</v>
      </c>
      <c r="D28">
        <v>12000</v>
      </c>
      <c r="E28">
        <v>3600</v>
      </c>
    </row>
    <row r="29" spans="3:7" x14ac:dyDescent="0.2">
      <c r="C29" t="s">
        <v>170</v>
      </c>
      <c r="D29">
        <v>18000</v>
      </c>
      <c r="E29">
        <v>4600</v>
      </c>
    </row>
  </sheetData>
  <hyperlinks>
    <hyperlink ref="A9" r:id="rId1" xr:uid="{E4F94A02-FD75-C549-976F-3F26EE1EF5D8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844B-72FB-1C42-8DE3-F95D22D44B83}">
  <dimension ref="A1:E17"/>
  <sheetViews>
    <sheetView workbookViewId="0">
      <selection activeCell="B18" sqref="B18"/>
    </sheetView>
  </sheetViews>
  <sheetFormatPr baseColWidth="10" defaultRowHeight="15" x14ac:dyDescent="0.2"/>
  <sheetData>
    <row r="1" spans="1:5" x14ac:dyDescent="0.2">
      <c r="A1" t="s">
        <v>142</v>
      </c>
    </row>
    <row r="4" spans="1:5" x14ac:dyDescent="0.2">
      <c r="A4" s="12" t="s">
        <v>0</v>
      </c>
      <c r="B4" s="12">
        <v>0</v>
      </c>
      <c r="C4" s="12">
        <v>1</v>
      </c>
      <c r="D4" s="12">
        <v>2</v>
      </c>
      <c r="E4" s="12">
        <v>3</v>
      </c>
    </row>
    <row r="5" spans="1:5" x14ac:dyDescent="0.2">
      <c r="A5" s="12" t="s">
        <v>143</v>
      </c>
      <c r="B5" s="12">
        <v>-10000</v>
      </c>
      <c r="C5" s="12">
        <v>7000</v>
      </c>
      <c r="D5" s="12">
        <v>5000</v>
      </c>
      <c r="E5" s="12">
        <v>5000</v>
      </c>
    </row>
    <row r="6" spans="1:5" x14ac:dyDescent="0.2">
      <c r="A6" s="12" t="s">
        <v>144</v>
      </c>
      <c r="B6" s="12">
        <f>1/(1+10%)^B4</f>
        <v>1</v>
      </c>
      <c r="C6" s="12">
        <f t="shared" ref="C6:E6" si="0">1/(1+10%)^C4</f>
        <v>0.90909090909090906</v>
      </c>
      <c r="D6" s="12">
        <f t="shared" si="0"/>
        <v>0.82644628099173545</v>
      </c>
      <c r="E6" s="12">
        <f t="shared" si="0"/>
        <v>0.75131480090157754</v>
      </c>
    </row>
    <row r="7" spans="1:5" x14ac:dyDescent="0.2">
      <c r="A7" s="12" t="s">
        <v>53</v>
      </c>
      <c r="B7" s="24">
        <f>SUMPRODUCT(B5:E5,B6:E6)</f>
        <v>4252.441773102928</v>
      </c>
      <c r="C7" s="12"/>
      <c r="D7" s="12"/>
      <c r="E7" s="12"/>
    </row>
    <row r="11" spans="1:5" x14ac:dyDescent="0.2">
      <c r="A11" t="s">
        <v>145</v>
      </c>
    </row>
    <row r="12" spans="1:5" x14ac:dyDescent="0.2">
      <c r="B12" s="7">
        <v>0.7</v>
      </c>
      <c r="C12" s="7">
        <v>0.6</v>
      </c>
      <c r="D12" s="7">
        <v>0.5</v>
      </c>
    </row>
    <row r="14" spans="1:5" x14ac:dyDescent="0.2">
      <c r="A14" t="s">
        <v>0</v>
      </c>
      <c r="B14">
        <v>0</v>
      </c>
      <c r="C14">
        <v>1</v>
      </c>
      <c r="D14">
        <v>2</v>
      </c>
      <c r="E14">
        <v>3</v>
      </c>
    </row>
    <row r="15" spans="1:5" x14ac:dyDescent="0.2">
      <c r="A15" t="s">
        <v>143</v>
      </c>
      <c r="B15">
        <v>-10000</v>
      </c>
      <c r="C15">
        <f>C5*70%</f>
        <v>4900</v>
      </c>
      <c r="D15">
        <f>60%*D5</f>
        <v>3000</v>
      </c>
      <c r="E15">
        <f>50%*E5</f>
        <v>2500</v>
      </c>
    </row>
    <row r="16" spans="1:5" x14ac:dyDescent="0.2">
      <c r="A16" t="s">
        <v>146</v>
      </c>
      <c r="B16">
        <f>1/(1+5%)^B14</f>
        <v>1</v>
      </c>
      <c r="C16">
        <f t="shared" ref="C16:E16" si="1">1/(1+5%)^C14</f>
        <v>0.95238095238095233</v>
      </c>
      <c r="D16">
        <f t="shared" si="1"/>
        <v>0.90702947845804982</v>
      </c>
      <c r="E16">
        <f t="shared" si="1"/>
        <v>0.86383759853147601</v>
      </c>
    </row>
    <row r="17" spans="1:2" x14ac:dyDescent="0.2">
      <c r="A17" t="s">
        <v>53</v>
      </c>
      <c r="B17" s="21">
        <f>SUMPRODUCT(B15:E15,B16:E16)</f>
        <v>-452.65090163049445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954B-87C9-8C49-AAF1-C25EF7B340D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160" zoomScaleNormal="160" workbookViewId="0">
      <selection activeCell="C8" sqref="C8"/>
    </sheetView>
  </sheetViews>
  <sheetFormatPr baseColWidth="10" defaultColWidth="8.83203125" defaultRowHeight="15" x14ac:dyDescent="0.2"/>
  <cols>
    <col min="1" max="1" width="24.6640625" customWidth="1"/>
    <col min="2" max="2" width="9" customWidth="1"/>
  </cols>
  <sheetData>
    <row r="1" spans="1:4" x14ac:dyDescent="0.2">
      <c r="B1">
        <v>2020</v>
      </c>
      <c r="C1">
        <v>2021</v>
      </c>
      <c r="D1">
        <v>2022</v>
      </c>
    </row>
    <row r="2" spans="1:4" x14ac:dyDescent="0.2">
      <c r="A2" t="s">
        <v>8</v>
      </c>
      <c r="C2">
        <v>235450</v>
      </c>
      <c r="D2">
        <v>179545</v>
      </c>
    </row>
    <row r="3" spans="1:4" x14ac:dyDescent="0.2">
      <c r="A3" t="s">
        <v>9</v>
      </c>
      <c r="B3">
        <f>120000+287420+83100</f>
        <v>490520</v>
      </c>
      <c r="C3">
        <f>170000+442570+61600</f>
        <v>674170</v>
      </c>
      <c r="D3">
        <f>250000+561315+75000</f>
        <v>886315</v>
      </c>
    </row>
    <row r="4" spans="1:4" x14ac:dyDescent="0.2">
      <c r="A4" t="s">
        <v>4</v>
      </c>
      <c r="C4">
        <f>AVERAGE(B3:C3)</f>
        <v>582345</v>
      </c>
      <c r="D4">
        <f>AVERAGE(C3:D3)</f>
        <v>780242.5</v>
      </c>
    </row>
    <row r="5" spans="1:4" s="2" customFormat="1" x14ac:dyDescent="0.2">
      <c r="A5" s="2" t="s">
        <v>10</v>
      </c>
      <c r="C5" s="3">
        <f>C2/C4</f>
        <v>0.40431359417527413</v>
      </c>
      <c r="D5" s="3">
        <f>D2/D4</f>
        <v>0.23011435547281775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D7E5-24B9-524A-AEE9-28753D4BB304}">
  <dimension ref="A1:N17"/>
  <sheetViews>
    <sheetView workbookViewId="0">
      <selection activeCell="B8" sqref="B8"/>
    </sheetView>
  </sheetViews>
  <sheetFormatPr baseColWidth="10" defaultRowHeight="15" x14ac:dyDescent="0.2"/>
  <sheetData>
    <row r="1" spans="1:14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4" x14ac:dyDescent="0.2">
      <c r="A2" t="s">
        <v>58</v>
      </c>
      <c r="B2">
        <v>-80000</v>
      </c>
      <c r="G2">
        <v>7000</v>
      </c>
    </row>
    <row r="3" spans="1:14" x14ac:dyDescent="0.2">
      <c r="A3" t="s">
        <v>147</v>
      </c>
      <c r="C3">
        <f>160*245</f>
        <v>39200</v>
      </c>
      <c r="D3">
        <f t="shared" ref="D3:G3" si="0">160*245</f>
        <v>39200</v>
      </c>
      <c r="E3">
        <f t="shared" si="0"/>
        <v>39200</v>
      </c>
      <c r="F3">
        <f t="shared" si="0"/>
        <v>39200</v>
      </c>
      <c r="G3">
        <f t="shared" si="0"/>
        <v>39200</v>
      </c>
    </row>
    <row r="4" spans="1:14" x14ac:dyDescent="0.2">
      <c r="A4" t="s">
        <v>151</v>
      </c>
      <c r="C4">
        <v>-15000</v>
      </c>
      <c r="D4">
        <v>-15000</v>
      </c>
      <c r="E4">
        <v>-15000</v>
      </c>
      <c r="F4">
        <v>-15000</v>
      </c>
      <c r="G4">
        <v>-15000</v>
      </c>
    </row>
    <row r="5" spans="1:14" x14ac:dyDescent="0.2">
      <c r="A5" t="s">
        <v>18</v>
      </c>
      <c r="B5">
        <f>B2</f>
        <v>-80000</v>
      </c>
      <c r="C5">
        <f>C3+C4</f>
        <v>24200</v>
      </c>
      <c r="D5">
        <f t="shared" ref="D5:F5" si="1">D3+D4</f>
        <v>24200</v>
      </c>
      <c r="E5">
        <f t="shared" si="1"/>
        <v>24200</v>
      </c>
      <c r="F5">
        <f t="shared" si="1"/>
        <v>24200</v>
      </c>
      <c r="G5">
        <f>G3+G4+G2</f>
        <v>31200</v>
      </c>
    </row>
    <row r="6" spans="1:14" x14ac:dyDescent="0.2">
      <c r="A6" t="s">
        <v>152</v>
      </c>
      <c r="B6">
        <f>1/(1+14%)^B1</f>
        <v>1</v>
      </c>
      <c r="C6">
        <f t="shared" ref="C6:G6" si="2">1/(1+14%)^C1</f>
        <v>0.8771929824561403</v>
      </c>
      <c r="D6">
        <f t="shared" si="2"/>
        <v>0.76946752847029842</v>
      </c>
      <c r="E6">
        <f t="shared" si="2"/>
        <v>0.67497151620201612</v>
      </c>
      <c r="F6">
        <f t="shared" si="2"/>
        <v>0.59208027737018942</v>
      </c>
      <c r="G6">
        <f t="shared" si="2"/>
        <v>0.51936866435981521</v>
      </c>
    </row>
    <row r="7" spans="1:14" x14ac:dyDescent="0.2">
      <c r="A7" t="s">
        <v>153</v>
      </c>
      <c r="B7">
        <f>SUMPRODUCT(B5:G5,B6:G6)</f>
        <v>6716.1400968934231</v>
      </c>
    </row>
    <row r="10" spans="1:14" x14ac:dyDescent="0.2">
      <c r="A10" t="s">
        <v>154</v>
      </c>
    </row>
    <row r="11" spans="1:14" x14ac:dyDescent="0.2">
      <c r="A11" t="s">
        <v>155</v>
      </c>
      <c r="B11">
        <f>B7/B2</f>
        <v>-8.3951751211167783E-2</v>
      </c>
      <c r="C11" s="26">
        <v>0.33611111111111108</v>
      </c>
      <c r="D11" t="s">
        <v>156</v>
      </c>
    </row>
    <row r="12" spans="1:14" x14ac:dyDescent="0.2">
      <c r="A12" s="16" t="s">
        <v>157</v>
      </c>
      <c r="B12" s="27">
        <f>B7/SUMPRODUCT(C5:G5)</f>
        <v>5.2469844506979869E-2</v>
      </c>
      <c r="C12" s="16">
        <v>5</v>
      </c>
      <c r="D12" t="s">
        <v>156</v>
      </c>
      <c r="E12" t="s">
        <v>162</v>
      </c>
    </row>
    <row r="13" spans="1:14" x14ac:dyDescent="0.2">
      <c r="A13" s="16" t="s">
        <v>158</v>
      </c>
      <c r="B13" s="27">
        <f>B7/SUMPRODUCT(C3:G3,C6:G6)</f>
        <v>4.9905640463107581E-2</v>
      </c>
      <c r="C13" s="16"/>
    </row>
    <row r="14" spans="1:14" x14ac:dyDescent="0.2">
      <c r="A14" t="s">
        <v>159</v>
      </c>
      <c r="B14" s="25">
        <f>B7/SUMPRODUCT(C4:G4,C6:G6)</f>
        <v>-0.13042007374358783</v>
      </c>
      <c r="C14">
        <v>13</v>
      </c>
      <c r="D14" t="s">
        <v>156</v>
      </c>
    </row>
    <row r="15" spans="1:14" x14ac:dyDescent="0.2">
      <c r="A15" t="s">
        <v>160</v>
      </c>
      <c r="B15" s="7">
        <f>B7/(G2*G6)</f>
        <v>1.8473362971428506</v>
      </c>
    </row>
    <row r="16" spans="1:14" x14ac:dyDescent="0.2">
      <c r="A16" t="s">
        <v>161</v>
      </c>
      <c r="B16" s="7">
        <f>(C17-14%)/14%</f>
        <v>0.21428571428571425</v>
      </c>
      <c r="J16" t="s">
        <v>147</v>
      </c>
      <c r="K16" t="s">
        <v>148</v>
      </c>
      <c r="M16" t="s">
        <v>149</v>
      </c>
      <c r="N16" t="s">
        <v>150</v>
      </c>
    </row>
    <row r="17" spans="1:3" x14ac:dyDescent="0.2">
      <c r="A17" t="s">
        <v>55</v>
      </c>
      <c r="B17" s="7" t="e">
        <f>IRR(C5:E5)</f>
        <v>#NUM!</v>
      </c>
      <c r="C17" s="7">
        <v>0.17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06E2-85FD-144E-8010-83DC2528F399}">
  <dimension ref="A1"/>
  <sheetViews>
    <sheetView workbookViewId="0">
      <selection activeCell="D14" sqref="D1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82" zoomScaleNormal="150" workbookViewId="0">
      <selection activeCell="B6" sqref="B6"/>
    </sheetView>
  </sheetViews>
  <sheetFormatPr baseColWidth="10" defaultColWidth="8.83203125" defaultRowHeight="15" x14ac:dyDescent="0.2"/>
  <cols>
    <col min="1" max="1" width="15.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11</v>
      </c>
      <c r="B2">
        <v>17500</v>
      </c>
      <c r="C2">
        <v>17500</v>
      </c>
      <c r="D2">
        <v>17500</v>
      </c>
      <c r="E2">
        <v>17500</v>
      </c>
      <c r="F2">
        <v>17500</v>
      </c>
    </row>
    <row r="3" spans="1:6" x14ac:dyDescent="0.2">
      <c r="A3" t="s">
        <v>2</v>
      </c>
      <c r="B3">
        <f>40000/8</f>
        <v>5000</v>
      </c>
      <c r="C3">
        <f t="shared" ref="C3:F3" si="0">40000/8</f>
        <v>5000</v>
      </c>
      <c r="D3">
        <f t="shared" si="0"/>
        <v>5000</v>
      </c>
      <c r="E3">
        <f t="shared" si="0"/>
        <v>5000</v>
      </c>
      <c r="F3">
        <f t="shared" si="0"/>
        <v>5000</v>
      </c>
    </row>
    <row r="4" spans="1:6" x14ac:dyDescent="0.2">
      <c r="A4" t="s">
        <v>12</v>
      </c>
      <c r="B4">
        <f>B2+B3</f>
        <v>22500</v>
      </c>
      <c r="C4">
        <f t="shared" ref="C4:F4" si="1">C2+C3</f>
        <v>22500</v>
      </c>
      <c r="D4">
        <f t="shared" si="1"/>
        <v>22500</v>
      </c>
      <c r="E4">
        <f t="shared" si="1"/>
        <v>22500</v>
      </c>
      <c r="F4">
        <f t="shared" si="1"/>
        <v>22500</v>
      </c>
    </row>
    <row r="6" spans="1:6" x14ac:dyDescent="0.2">
      <c r="A6" t="s">
        <v>13</v>
      </c>
      <c r="B6">
        <f>40000/B4</f>
        <v>1.7777777777777777</v>
      </c>
      <c r="C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160" zoomScaleNormal="160" workbookViewId="0">
      <selection sqref="A1:F4"/>
    </sheetView>
  </sheetViews>
  <sheetFormatPr baseColWidth="10" defaultColWidth="8.83203125" defaultRowHeight="15" x14ac:dyDescent="0.2"/>
  <cols>
    <col min="1" max="1" width="19.83203125" customWidth="1"/>
    <col min="2" max="2" width="12.33203125" customWidth="1"/>
  </cols>
  <sheetData>
    <row r="1" spans="1:6" x14ac:dyDescent="0.2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">
        <v>16</v>
      </c>
      <c r="C2">
        <v>15000</v>
      </c>
      <c r="D2">
        <v>35000</v>
      </c>
      <c r="E2">
        <v>40000</v>
      </c>
      <c r="F2">
        <v>10000</v>
      </c>
    </row>
    <row r="3" spans="1:6" x14ac:dyDescent="0.2">
      <c r="A3" t="s">
        <v>17</v>
      </c>
      <c r="B3">
        <v>-95000</v>
      </c>
      <c r="F3">
        <v>15000</v>
      </c>
    </row>
    <row r="4" spans="1:6" x14ac:dyDescent="0.2">
      <c r="A4" t="s">
        <v>18</v>
      </c>
      <c r="B4">
        <f>B2+B3</f>
        <v>-95000</v>
      </c>
      <c r="C4">
        <f t="shared" ref="C4:F4" si="0">C2+C3</f>
        <v>15000</v>
      </c>
      <c r="D4">
        <f t="shared" si="0"/>
        <v>35000</v>
      </c>
      <c r="E4">
        <f t="shared" si="0"/>
        <v>40000</v>
      </c>
      <c r="F4">
        <f t="shared" si="0"/>
        <v>25000</v>
      </c>
    </row>
    <row r="5" spans="1:6" x14ac:dyDescent="0.2">
      <c r="A5" t="s">
        <v>19</v>
      </c>
      <c r="B5">
        <f>B4</f>
        <v>-95000</v>
      </c>
      <c r="C5">
        <f>B5+C4</f>
        <v>-80000</v>
      </c>
      <c r="D5">
        <f>C5+D4</f>
        <v>-45000</v>
      </c>
      <c r="E5">
        <f>D5+E4</f>
        <v>-5000</v>
      </c>
      <c r="F5">
        <f>E5+F4</f>
        <v>20000</v>
      </c>
    </row>
    <row r="7" spans="1:6" x14ac:dyDescent="0.2">
      <c r="A7" t="s">
        <v>20</v>
      </c>
      <c r="B7" t="s">
        <v>21</v>
      </c>
    </row>
    <row r="8" spans="1:6" x14ac:dyDescent="0.2">
      <c r="B8" s="4">
        <f>D9*E8/D8</f>
        <v>2.4</v>
      </c>
      <c r="C8" t="s">
        <v>22</v>
      </c>
      <c r="D8">
        <v>25</v>
      </c>
      <c r="E8">
        <v>12</v>
      </c>
    </row>
    <row r="9" spans="1:6" x14ac:dyDescent="0.2">
      <c r="D9">
        <v>5</v>
      </c>
      <c r="E9" t="s">
        <v>23</v>
      </c>
    </row>
    <row r="10" spans="1:6" x14ac:dyDescent="0.2">
      <c r="A10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zoomScale="170" zoomScaleNormal="170" workbookViewId="0">
      <selection activeCell="C14" sqref="C14"/>
    </sheetView>
  </sheetViews>
  <sheetFormatPr baseColWidth="10" defaultColWidth="8.83203125" defaultRowHeight="15" x14ac:dyDescent="0.2"/>
  <cols>
    <col min="1" max="1" width="18" customWidth="1"/>
  </cols>
  <sheetData>
    <row r="1" spans="1:6" x14ac:dyDescent="0.2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">
        <v>16</v>
      </c>
      <c r="B2" s="5"/>
      <c r="C2" s="5">
        <v>15000</v>
      </c>
      <c r="D2" s="5">
        <v>35000</v>
      </c>
      <c r="E2" s="5">
        <v>40000</v>
      </c>
      <c r="F2" s="5">
        <v>10000</v>
      </c>
    </row>
    <row r="3" spans="1:6" x14ac:dyDescent="0.2">
      <c r="A3" t="s">
        <v>17</v>
      </c>
      <c r="B3" s="5">
        <v>-95000</v>
      </c>
      <c r="C3" s="5"/>
      <c r="D3" s="5"/>
      <c r="E3" s="5"/>
      <c r="F3" s="5">
        <v>15000</v>
      </c>
    </row>
    <row r="4" spans="1:6" x14ac:dyDescent="0.2">
      <c r="A4" t="s">
        <v>18</v>
      </c>
      <c r="B4" s="5">
        <f>B2+B3</f>
        <v>-95000</v>
      </c>
      <c r="C4" s="5">
        <f t="shared" ref="C4:F4" si="0">C2+C3</f>
        <v>15000</v>
      </c>
      <c r="D4" s="5">
        <f t="shared" si="0"/>
        <v>35000</v>
      </c>
      <c r="E4" s="5">
        <f t="shared" si="0"/>
        <v>40000</v>
      </c>
      <c r="F4" s="5">
        <f t="shared" si="0"/>
        <v>25000</v>
      </c>
    </row>
    <row r="5" spans="1:6" x14ac:dyDescent="0.2">
      <c r="A5" t="s">
        <v>25</v>
      </c>
      <c r="B5">
        <f>1/(1+6%)^B1</f>
        <v>1</v>
      </c>
      <c r="C5">
        <f t="shared" ref="C5:F5" si="1">1/(1+6%)^C1</f>
        <v>0.94339622641509424</v>
      </c>
      <c r="D5">
        <f t="shared" si="1"/>
        <v>0.88999644001423983</v>
      </c>
      <c r="E5">
        <f t="shared" si="1"/>
        <v>0.8396192830323016</v>
      </c>
      <c r="F5">
        <f t="shared" si="1"/>
        <v>0.79209366323802044</v>
      </c>
    </row>
    <row r="6" spans="1:6" x14ac:dyDescent="0.2">
      <c r="A6" t="s">
        <v>26</v>
      </c>
      <c r="B6" s="5">
        <f>B4*B5</f>
        <v>-95000</v>
      </c>
      <c r="C6" s="5">
        <f t="shared" ref="C6:F6" si="2">C4*C5</f>
        <v>14150.943396226414</v>
      </c>
      <c r="D6" s="5">
        <f t="shared" si="2"/>
        <v>31149.875400498393</v>
      </c>
      <c r="E6" s="5">
        <f t="shared" si="2"/>
        <v>33584.771321292064</v>
      </c>
      <c r="F6" s="5">
        <f t="shared" si="2"/>
        <v>19802.34158095051</v>
      </c>
    </row>
    <row r="7" spans="1:6" x14ac:dyDescent="0.2">
      <c r="A7" t="s">
        <v>19</v>
      </c>
      <c r="B7" s="5">
        <f>B6</f>
        <v>-95000</v>
      </c>
      <c r="C7" s="5">
        <f>B7+C6</f>
        <v>-80849.056603773584</v>
      </c>
      <c r="D7" s="5">
        <f t="shared" ref="D7:F7" si="3">C7+D6</f>
        <v>-49699.181203275191</v>
      </c>
      <c r="E7" s="5">
        <f t="shared" si="3"/>
        <v>-16114.409881983127</v>
      </c>
      <c r="F7" s="5">
        <f t="shared" si="3"/>
        <v>3687.9316989673825</v>
      </c>
    </row>
    <row r="9" spans="1:6" s="2" customFormat="1" x14ac:dyDescent="0.2">
      <c r="A9" s="2" t="s">
        <v>27</v>
      </c>
      <c r="C9" s="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3"/>
  <sheetViews>
    <sheetView zoomScale="160" zoomScaleNormal="160" workbookViewId="0">
      <selection activeCell="A18" sqref="A18"/>
    </sheetView>
  </sheetViews>
  <sheetFormatPr baseColWidth="10" defaultColWidth="8.83203125" defaultRowHeight="15" x14ac:dyDescent="0.2"/>
  <cols>
    <col min="1" max="1" width="45.5" customWidth="1"/>
  </cols>
  <sheetData>
    <row r="2" spans="1:2" x14ac:dyDescent="0.2">
      <c r="A2" t="s">
        <v>29</v>
      </c>
      <c r="B2">
        <v>300</v>
      </c>
    </row>
    <row r="3" spans="1:2" x14ac:dyDescent="0.2">
      <c r="A3" t="s">
        <v>30</v>
      </c>
      <c r="B3">
        <v>120</v>
      </c>
    </row>
    <row r="4" spans="1:2" x14ac:dyDescent="0.2">
      <c r="A4" t="s">
        <v>31</v>
      </c>
      <c r="B4">
        <v>-140</v>
      </c>
    </row>
    <row r="5" spans="1:2" s="2" customFormat="1" x14ac:dyDescent="0.2">
      <c r="A5" s="2" t="s">
        <v>16</v>
      </c>
      <c r="B5" s="2">
        <f>SUM(B2:B4)</f>
        <v>280</v>
      </c>
    </row>
    <row r="6" spans="1:2" x14ac:dyDescent="0.2">
      <c r="A6" t="s">
        <v>32</v>
      </c>
      <c r="B6">
        <v>50</v>
      </c>
    </row>
    <row r="7" spans="1:2" x14ac:dyDescent="0.2">
      <c r="A7" t="s">
        <v>33</v>
      </c>
      <c r="B7">
        <v>10</v>
      </c>
    </row>
    <row r="8" spans="1:2" x14ac:dyDescent="0.2">
      <c r="A8" t="s">
        <v>34</v>
      </c>
      <c r="B8">
        <v>15</v>
      </c>
    </row>
    <row r="9" spans="1:2" s="2" customFormat="1" x14ac:dyDescent="0.2">
      <c r="A9" s="2" t="s">
        <v>17</v>
      </c>
      <c r="B9" s="2">
        <f>SUM(B6:B8)</f>
        <v>75</v>
      </c>
    </row>
    <row r="10" spans="1:2" s="2" customFormat="1" x14ac:dyDescent="0.2">
      <c r="A10" s="2" t="s">
        <v>35</v>
      </c>
      <c r="B10" s="2">
        <f>B5-B9</f>
        <v>205</v>
      </c>
    </row>
    <row r="11" spans="1:2" x14ac:dyDescent="0.2">
      <c r="A11" t="s">
        <v>36</v>
      </c>
      <c r="B11">
        <v>5</v>
      </c>
    </row>
    <row r="12" spans="1:2" x14ac:dyDescent="0.2">
      <c r="A12" t="s">
        <v>37</v>
      </c>
      <c r="B12">
        <v>20</v>
      </c>
    </row>
    <row r="13" spans="1:2" s="2" customFormat="1" x14ac:dyDescent="0.2">
      <c r="A13" s="2" t="s">
        <v>38</v>
      </c>
      <c r="B13" s="2">
        <f>B10-B11-B12</f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zoomScale="150" zoomScaleNormal="180" workbookViewId="0">
      <selection activeCell="A19" sqref="A19"/>
    </sheetView>
  </sheetViews>
  <sheetFormatPr baseColWidth="10" defaultColWidth="8.83203125" defaultRowHeight="15" x14ac:dyDescent="0.2"/>
  <cols>
    <col min="1" max="1" width="35.5" customWidth="1"/>
    <col min="2" max="2" width="10.33203125" bestFit="1" customWidth="1"/>
  </cols>
  <sheetData>
    <row r="1" spans="1:2" x14ac:dyDescent="0.2">
      <c r="A1" t="s">
        <v>39</v>
      </c>
      <c r="B1">
        <v>470</v>
      </c>
    </row>
    <row r="2" spans="1:2" x14ac:dyDescent="0.2">
      <c r="A2" t="s">
        <v>2</v>
      </c>
      <c r="B2">
        <v>75</v>
      </c>
    </row>
    <row r="3" spans="1:2" x14ac:dyDescent="0.2">
      <c r="A3" t="s">
        <v>40</v>
      </c>
      <c r="B3">
        <v>-180</v>
      </c>
    </row>
    <row r="4" spans="1:2" s="2" customFormat="1" x14ac:dyDescent="0.2">
      <c r="A4" s="2" t="s">
        <v>41</v>
      </c>
      <c r="B4" s="2">
        <f>SUM(B1:B3)</f>
        <v>365</v>
      </c>
    </row>
    <row r="5" spans="1:2" x14ac:dyDescent="0.2">
      <c r="A5" t="s">
        <v>42</v>
      </c>
      <c r="B5">
        <v>25</v>
      </c>
    </row>
    <row r="6" spans="1:2" ht="32" x14ac:dyDescent="0.2">
      <c r="A6" s="6" t="s">
        <v>43</v>
      </c>
      <c r="B6">
        <v>60</v>
      </c>
    </row>
    <row r="7" spans="1:2" x14ac:dyDescent="0.2">
      <c r="A7" t="s">
        <v>32</v>
      </c>
      <c r="B7">
        <v>55</v>
      </c>
    </row>
    <row r="8" spans="1:2" s="2" customFormat="1" x14ac:dyDescent="0.2">
      <c r="A8" s="2" t="s">
        <v>17</v>
      </c>
      <c r="B8" s="2">
        <f>SUM(B5:B7)</f>
        <v>140</v>
      </c>
    </row>
    <row r="9" spans="1:2" s="2" customFormat="1" x14ac:dyDescent="0.2">
      <c r="A9" s="2" t="s">
        <v>35</v>
      </c>
      <c r="B9" s="2">
        <f>B4-B8</f>
        <v>225</v>
      </c>
    </row>
    <row r="10" spans="1:2" x14ac:dyDescent="0.2">
      <c r="A10" t="s">
        <v>44</v>
      </c>
      <c r="B10">
        <v>-10</v>
      </c>
    </row>
    <row r="11" spans="1:2" x14ac:dyDescent="0.2">
      <c r="A11" t="s">
        <v>37</v>
      </c>
      <c r="B11">
        <v>-15</v>
      </c>
    </row>
    <row r="12" spans="1:2" x14ac:dyDescent="0.2">
      <c r="A12" t="s">
        <v>45</v>
      </c>
      <c r="B12">
        <v>30</v>
      </c>
    </row>
    <row r="13" spans="1:2" s="2" customFormat="1" x14ac:dyDescent="0.2">
      <c r="A13" s="2" t="s">
        <v>38</v>
      </c>
      <c r="B13" s="2">
        <f>SUM(B9:B12)</f>
        <v>230</v>
      </c>
    </row>
    <row r="15" spans="1:2" x14ac:dyDescent="0.2">
      <c r="A15" t="s">
        <v>46</v>
      </c>
      <c r="B15">
        <v>0.05</v>
      </c>
    </row>
    <row r="16" spans="1:2" x14ac:dyDescent="0.2">
      <c r="A16" t="s">
        <v>47</v>
      </c>
      <c r="B16">
        <f>460000/0.25</f>
        <v>1840000</v>
      </c>
    </row>
    <row r="17" spans="1:2" x14ac:dyDescent="0.2">
      <c r="A17" t="s">
        <v>48</v>
      </c>
      <c r="B17">
        <f>B16*B15</f>
        <v>92000</v>
      </c>
    </row>
    <row r="18" spans="1:2" x14ac:dyDescent="0.2">
      <c r="A18" t="s">
        <v>49</v>
      </c>
      <c r="B18">
        <f>B13*1000/B17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160" zoomScaleNormal="160" workbookViewId="0">
      <selection activeCell="B12" sqref="B12"/>
    </sheetView>
  </sheetViews>
  <sheetFormatPr baseColWidth="10" defaultColWidth="8.83203125" defaultRowHeight="15" x14ac:dyDescent="0.2"/>
  <sheetData>
    <row r="1" spans="1:7" x14ac:dyDescent="0.2">
      <c r="A1" t="s">
        <v>50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 t="s">
        <v>51</v>
      </c>
      <c r="B2">
        <v>-2000</v>
      </c>
      <c r="C2">
        <v>500</v>
      </c>
      <c r="D2">
        <v>500</v>
      </c>
      <c r="E2">
        <v>600</v>
      </c>
      <c r="F2">
        <v>600</v>
      </c>
      <c r="G2">
        <v>440</v>
      </c>
    </row>
    <row r="3" spans="1:7" x14ac:dyDescent="0.2">
      <c r="A3" t="s">
        <v>52</v>
      </c>
      <c r="B3">
        <f>1/(1+12%)^B1</f>
        <v>1</v>
      </c>
      <c r="C3">
        <f t="shared" ref="C3:G3" si="0">1/(1+12%)^C1</f>
        <v>0.89285714285714279</v>
      </c>
      <c r="D3">
        <f t="shared" si="0"/>
        <v>0.79719387755102034</v>
      </c>
      <c r="E3">
        <f t="shared" si="0"/>
        <v>0.71178024781341087</v>
      </c>
      <c r="F3">
        <f t="shared" si="0"/>
        <v>0.63551807840483121</v>
      </c>
      <c r="G3">
        <f t="shared" si="0"/>
        <v>0.56742685571859919</v>
      </c>
    </row>
    <row r="4" spans="1:7" s="2" customFormat="1" x14ac:dyDescent="0.2">
      <c r="A4" s="2" t="s">
        <v>53</v>
      </c>
      <c r="B4" s="2">
        <f>SUMPRODUCT(B2:G2,B3:G3)</f>
        <v>-96.927677548789717</v>
      </c>
      <c r="D4" s="2" t="s">
        <v>54</v>
      </c>
    </row>
    <row r="6" spans="1:7" x14ac:dyDescent="0.2">
      <c r="A6" s="2" t="s">
        <v>55</v>
      </c>
      <c r="B6" s="8">
        <f>IRR(B2:G2)</f>
        <v>0.10030665321073551</v>
      </c>
      <c r="D6" s="2" t="s">
        <v>56</v>
      </c>
    </row>
    <row r="8" spans="1:7" x14ac:dyDescent="0.2">
      <c r="A8" t="s">
        <v>50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2">
      <c r="A9" t="s">
        <v>51</v>
      </c>
      <c r="B9">
        <v>-2000</v>
      </c>
      <c r="C9">
        <v>500</v>
      </c>
      <c r="D9">
        <v>500</v>
      </c>
      <c r="E9">
        <v>600</v>
      </c>
      <c r="F9">
        <v>600</v>
      </c>
      <c r="G9">
        <v>440</v>
      </c>
    </row>
    <row r="10" spans="1:7" x14ac:dyDescent="0.2">
      <c r="A10" t="s">
        <v>57</v>
      </c>
      <c r="B10">
        <f>1/(1+8%)^B8</f>
        <v>1</v>
      </c>
      <c r="C10">
        <f t="shared" ref="C10:G10" si="1">1/(1+8%)^C8</f>
        <v>0.92592592592592582</v>
      </c>
      <c r="D10">
        <f t="shared" si="1"/>
        <v>0.85733882030178321</v>
      </c>
      <c r="E10">
        <f t="shared" si="1"/>
        <v>0.79383224102016958</v>
      </c>
      <c r="F10">
        <f t="shared" si="1"/>
        <v>0.73502985279645328</v>
      </c>
      <c r="G10">
        <f t="shared" si="1"/>
        <v>0.68058319703375303</v>
      </c>
    </row>
    <row r="11" spans="1:7" s="2" customFormat="1" x14ac:dyDescent="0.2">
      <c r="A11" s="2" t="s">
        <v>53</v>
      </c>
      <c r="B11" s="2">
        <f>SUMPRODUCT(B9:G9,B10:G10)</f>
        <v>108.40623609867964</v>
      </c>
    </row>
    <row r="13" spans="1:7" x14ac:dyDescent="0.2">
      <c r="A13" s="2" t="s">
        <v>55</v>
      </c>
      <c r="B13" s="9">
        <f>8%+(B11/(B11-B4))*(12%-8%)</f>
        <v>0.10111803825739152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tabSelected="1" zoomScale="150" zoomScaleNormal="150" workbookViewId="0">
      <selection activeCell="B14" sqref="B14"/>
    </sheetView>
  </sheetViews>
  <sheetFormatPr baseColWidth="10" defaultColWidth="8.83203125" defaultRowHeight="15" x14ac:dyDescent="0.2"/>
  <cols>
    <col min="1" max="1" width="15.33203125" customWidth="1"/>
  </cols>
  <sheetData>
    <row r="1" spans="1:7" x14ac:dyDescent="0.2">
      <c r="A1" t="s">
        <v>50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 t="s">
        <v>58</v>
      </c>
      <c r="B2" s="5">
        <v>-24000</v>
      </c>
      <c r="C2" s="5"/>
      <c r="D2" s="5"/>
      <c r="E2" s="5"/>
      <c r="F2" s="5"/>
      <c r="G2" s="5"/>
    </row>
    <row r="3" spans="1:7" x14ac:dyDescent="0.2">
      <c r="A3" t="s">
        <v>12</v>
      </c>
      <c r="B3" s="5"/>
      <c r="C3" s="5">
        <v>7800</v>
      </c>
      <c r="D3" s="5">
        <v>6000</v>
      </c>
      <c r="E3" s="5">
        <v>4200</v>
      </c>
      <c r="F3" s="5">
        <v>7400</v>
      </c>
      <c r="G3" s="5">
        <v>9200</v>
      </c>
    </row>
    <row r="4" spans="1:7" x14ac:dyDescent="0.2">
      <c r="A4" t="s">
        <v>51</v>
      </c>
      <c r="B4" s="5">
        <f>B2+B3</f>
        <v>-24000</v>
      </c>
      <c r="C4" s="5">
        <f t="shared" ref="C4:G4" si="0">C2+C3</f>
        <v>7800</v>
      </c>
      <c r="D4" s="5">
        <f t="shared" si="0"/>
        <v>6000</v>
      </c>
      <c r="E4" s="5">
        <f t="shared" si="0"/>
        <v>4200</v>
      </c>
      <c r="F4" s="5">
        <f t="shared" si="0"/>
        <v>7400</v>
      </c>
      <c r="G4" s="5">
        <f t="shared" si="0"/>
        <v>9200</v>
      </c>
    </row>
    <row r="5" spans="1:7" x14ac:dyDescent="0.2">
      <c r="A5" t="s">
        <v>59</v>
      </c>
      <c r="B5">
        <f>1/(1+10%)^B1</f>
        <v>1</v>
      </c>
      <c r="C5">
        <f t="shared" ref="C5:G5" si="1">1/(1+10%)^C1</f>
        <v>0.90909090909090906</v>
      </c>
      <c r="D5">
        <f t="shared" si="1"/>
        <v>0.82644628099173545</v>
      </c>
      <c r="E5">
        <f t="shared" si="1"/>
        <v>0.75131480090157754</v>
      </c>
      <c r="F5">
        <f t="shared" si="1"/>
        <v>0.68301345536507052</v>
      </c>
      <c r="G5">
        <f t="shared" si="1"/>
        <v>0.62092132305915493</v>
      </c>
    </row>
    <row r="6" spans="1:7" x14ac:dyDescent="0.2">
      <c r="A6" t="s">
        <v>53</v>
      </c>
      <c r="B6" s="5">
        <f>SUMPRODUCT(B4:G4,B5:G5)</f>
        <v>1971.8846824918783</v>
      </c>
    </row>
    <row r="8" spans="1:7" x14ac:dyDescent="0.2">
      <c r="A8" t="s">
        <v>55</v>
      </c>
      <c r="B8" s="7">
        <f>IRR(B4:G4)</f>
        <v>0.13073553947083782</v>
      </c>
    </row>
    <row r="10" spans="1:7" x14ac:dyDescent="0.2">
      <c r="A10" t="s">
        <v>60</v>
      </c>
      <c r="C10">
        <v>4</v>
      </c>
      <c r="D10">
        <v>3</v>
      </c>
      <c r="E10">
        <v>2</v>
      </c>
      <c r="F10">
        <v>1</v>
      </c>
      <c r="G10">
        <v>0</v>
      </c>
    </row>
    <row r="11" spans="1:7" x14ac:dyDescent="0.2">
      <c r="A11" t="s">
        <v>61</v>
      </c>
      <c r="C11" s="5">
        <f>C3*(1+12%)^C10</f>
        <v>12273.451008000004</v>
      </c>
      <c r="D11" s="5">
        <f t="shared" ref="D11:G11" si="2">D3*(1+12%)^D10</f>
        <v>8429.5680000000029</v>
      </c>
      <c r="E11" s="5">
        <f t="shared" si="2"/>
        <v>5268.4800000000005</v>
      </c>
      <c r="F11" s="5">
        <f t="shared" si="2"/>
        <v>8288</v>
      </c>
      <c r="G11" s="5">
        <f t="shared" si="2"/>
        <v>9200</v>
      </c>
    </row>
    <row r="12" spans="1:7" x14ac:dyDescent="0.2">
      <c r="A12" t="s">
        <v>62</v>
      </c>
      <c r="G12" s="5">
        <f>SUM(C11:G11)</f>
        <v>43459.499008000006</v>
      </c>
    </row>
    <row r="13" spans="1:7" x14ac:dyDescent="0.2">
      <c r="A13" t="s">
        <v>63</v>
      </c>
      <c r="B13">
        <f>-G12/B2</f>
        <v>1.810812458666667</v>
      </c>
    </row>
    <row r="14" spans="1:7" x14ac:dyDescent="0.2">
      <c r="A14" t="s">
        <v>64</v>
      </c>
      <c r="B14" s="1">
        <f>B13^(1/5)-1</f>
        <v>0.12609413036590511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7ECA890E00CDE43A80048227272DEC7" ma:contentTypeVersion="3" ma:contentTypeDescription="Создание документа." ma:contentTypeScope="" ma:versionID="e5fc6fb2fbbd816baee153392c17bcea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8ee14f33f74841b7b6773d68d7cfaf8a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E9D657-7150-4E43-A286-A3C4B6A6DB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CC3C6-4B56-4370-847A-7A48D2EC6E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267330-01A9-4BCF-96A1-6C8BE2C83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9ef79-c414-455e-8b8f-0c91b6926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Sheet1</vt:lpstr>
      <vt:lpstr>Dealing with taxation </vt:lpstr>
      <vt:lpstr>FM</vt:lpstr>
      <vt:lpstr>Sheet4</vt:lpstr>
      <vt:lpstr>Quantity</vt:lpstr>
      <vt:lpstr>Lease</vt:lpstr>
      <vt:lpstr>Replacment cylcle decision</vt:lpstr>
      <vt:lpstr>Risk and uncertainty </vt:lpstr>
      <vt:lpstr>Risk 2</vt:lpstr>
      <vt:lpstr>Sheet6</vt:lpstr>
      <vt:lpstr>Sensitivty analysis 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usitgu</dc:creator>
  <cp:keywords/>
  <dc:description/>
  <cp:lastModifiedBy>Microsoft Office User</cp:lastModifiedBy>
  <cp:revision/>
  <dcterms:created xsi:type="dcterms:W3CDTF">2023-10-28T11:47:25Z</dcterms:created>
  <dcterms:modified xsi:type="dcterms:W3CDTF">2023-12-11T08:13:23Z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