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usitgu\Documents\"/>
    </mc:Choice>
  </mc:AlternateContent>
  <xr:revisionPtr revIDLastSave="0" documentId="11_0C15483C785A24A3D195BF64D46C1AFA28F06328" xr6:coauthVersionLast="47" xr6:coauthVersionMax="47" xr10:uidLastSave="{00000000-0000-0000-0000-000000000000}"/>
  <bookViews>
    <workbookView xWindow="0" yWindow="0" windowWidth="28800" windowHeight="12300" firstSheet="1" activeTab="1" xr2:uid="{00000000-000D-0000-FFFF-FFFF00000000}"/>
  </bookViews>
  <sheets>
    <sheet name="Лист1" sheetId="1" r:id="rId1"/>
    <sheet name="4" sheetId="2" r:id="rId2"/>
  </sheets>
  <definedNames>
    <definedName name="ExternalData_1" localSheetId="1" hidden="1">'4'!$A$1:$B$21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 s="1"/>
  <c r="G5" i="2" s="1"/>
  <c r="G6" i="2" s="1"/>
  <c r="G7" i="2" s="1"/>
  <c r="D70" i="1" l="1"/>
  <c r="C72" i="1"/>
  <c r="C71" i="1"/>
  <c r="C70" i="1"/>
  <c r="C74" i="1" s="1"/>
  <c r="E71" i="1" s="1"/>
  <c r="C66" i="1"/>
  <c r="E63" i="1"/>
  <c r="E62" i="1"/>
  <c r="E61" i="1"/>
  <c r="C65" i="1"/>
  <c r="C63" i="1"/>
  <c r="C62" i="1"/>
  <c r="C61" i="1"/>
  <c r="C58" i="1"/>
  <c r="D51" i="1"/>
  <c r="D49" i="1"/>
  <c r="D48" i="1"/>
  <c r="D50" i="1"/>
  <c r="D46" i="1"/>
  <c r="D45" i="1"/>
  <c r="D44" i="1"/>
  <c r="E43" i="1"/>
  <c r="D43" i="1"/>
  <c r="D42" i="1"/>
  <c r="D41" i="1"/>
  <c r="D37" i="1"/>
  <c r="D38" i="1" s="1"/>
  <c r="D36" i="1"/>
  <c r="H16" i="1"/>
  <c r="H15" i="1"/>
  <c r="H14" i="1"/>
  <c r="C28" i="1"/>
  <c r="C27" i="1"/>
  <c r="C26" i="1"/>
  <c r="C25" i="1"/>
  <c r="B18" i="1"/>
  <c r="B17" i="1"/>
  <c r="C15" i="1"/>
  <c r="C14" i="1"/>
  <c r="C13" i="1"/>
  <c r="C11" i="1"/>
  <c r="C10" i="1"/>
  <c r="E7" i="1"/>
  <c r="E72" i="1" l="1"/>
  <c r="E70" i="1"/>
  <c r="C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<sst xmlns="http://schemas.openxmlformats.org/spreadsheetml/2006/main" count="91" uniqueCount="73">
  <si>
    <t xml:space="preserve">Gordon Formula </t>
  </si>
  <si>
    <t>P (0) = CF (1) / (r - g)</t>
  </si>
  <si>
    <t>r = required rate of return</t>
  </si>
  <si>
    <t>g = anticipated CF growth</t>
  </si>
  <si>
    <t>1)</t>
  </si>
  <si>
    <t>R - g</t>
  </si>
  <si>
    <t>CF (1) / P (0)</t>
  </si>
  <si>
    <t>g = 0</t>
  </si>
  <si>
    <t xml:space="preserve">2) </t>
  </si>
  <si>
    <t>Cf (1)</t>
  </si>
  <si>
    <t>P(0)</t>
  </si>
  <si>
    <t>3)</t>
  </si>
  <si>
    <t>CF (1)</t>
  </si>
  <si>
    <t>CF(0)</t>
  </si>
  <si>
    <t>R-G</t>
  </si>
  <si>
    <t>G = 3%</t>
  </si>
  <si>
    <t>R</t>
  </si>
  <si>
    <t>5)</t>
  </si>
  <si>
    <t>Cum Div price</t>
  </si>
  <si>
    <t>price including current dividend</t>
  </si>
  <si>
    <t>Ex Div price</t>
  </si>
  <si>
    <t>price net of current dividend</t>
  </si>
  <si>
    <t xml:space="preserve">6) </t>
  </si>
  <si>
    <t>G=b*ROE</t>
  </si>
  <si>
    <t>b = retention rate = (1-dividend rate) = (1 - Div/Earnings)</t>
  </si>
  <si>
    <t>G</t>
  </si>
  <si>
    <t>Div (1)</t>
  </si>
  <si>
    <t>7)</t>
  </si>
  <si>
    <t>Sources of equity financing</t>
  </si>
  <si>
    <t>Rights issue</t>
  </si>
  <si>
    <t>new shares offered to existing shareholders in proportion to their holding</t>
  </si>
  <si>
    <t>Placement</t>
  </si>
  <si>
    <t>Shares placed among institutional investors</t>
  </si>
  <si>
    <t>IPO</t>
  </si>
  <si>
    <t>Shares offered to general public for the first time</t>
  </si>
  <si>
    <t>Cum-rights price</t>
  </si>
  <si>
    <t>Total Nr of shares after the issue</t>
  </si>
  <si>
    <t>Total capital per 1 shareholder</t>
  </si>
  <si>
    <t>Ex-rights price (theoretical)</t>
  </si>
  <si>
    <t>Ex-rights price (actual)</t>
  </si>
  <si>
    <t>overvalued</t>
  </si>
  <si>
    <t>8)</t>
  </si>
  <si>
    <t>Price of newly issued share</t>
  </si>
  <si>
    <t>Nr of shares issued, m</t>
  </si>
  <si>
    <t>TERP</t>
  </si>
  <si>
    <t>Value of a right</t>
  </si>
  <si>
    <t>Value of a right per 1 existing share</t>
  </si>
  <si>
    <t>wealth of a shareholder before issue</t>
  </si>
  <si>
    <t>wealth of a shareholder after issue</t>
  </si>
  <si>
    <t>payment for new shares</t>
  </si>
  <si>
    <t>Selling unused rights</t>
  </si>
  <si>
    <t>Price of all shares</t>
  </si>
  <si>
    <t>Total</t>
  </si>
  <si>
    <t>9) Capital asset picing model (CAPM)</t>
  </si>
  <si>
    <t>Cost of equity = Risk-free rate + Equity risk premium*Beta</t>
  </si>
  <si>
    <t>beta</t>
  </si>
  <si>
    <t>market return</t>
  </si>
  <si>
    <t>Risk free rate</t>
  </si>
  <si>
    <t>cost of equity capital</t>
  </si>
  <si>
    <t xml:space="preserve">10) </t>
  </si>
  <si>
    <t>Market value</t>
  </si>
  <si>
    <t xml:space="preserve">Cost </t>
  </si>
  <si>
    <t>Capital weights</t>
  </si>
  <si>
    <t>Loan notes (bonds, debentures)</t>
  </si>
  <si>
    <t>Preference shares</t>
  </si>
  <si>
    <t>Ordinary shares</t>
  </si>
  <si>
    <t>Total capital D+E</t>
  </si>
  <si>
    <t>WACC</t>
  </si>
  <si>
    <t>If tax = 30%</t>
  </si>
  <si>
    <t>Date</t>
  </si>
  <si>
    <t>Dividend</t>
  </si>
  <si>
    <t>Average quarterly growth rate</t>
  </si>
  <si>
    <t>Average annual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</si>
</sst>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2"/>
    </xf>
    <xf numFmtId="3" fontId="2" fillId="0" borderId="0" xfId="0" applyNumberFormat="1" applyFont="1"/>
    <xf numFmtId="3" fontId="0" fillId="0" borderId="0" xfId="0" applyNumberFormat="1"/>
    <xf numFmtId="9" fontId="0" fillId="0" borderId="0" xfId="0" applyNumberFormat="1"/>
    <xf numFmtId="164" fontId="2" fillId="0" borderId="0" xfId="1" applyNumberFormat="1" applyFont="1"/>
    <xf numFmtId="9" fontId="0" fillId="2" borderId="0" xfId="0" applyNumberFormat="1" applyFill="1"/>
    <xf numFmtId="14" fontId="0" fillId="0" borderId="0" xfId="0" applyNumberFormat="1"/>
    <xf numFmtId="165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ate" tableColumnId="5"/>
      <queryTableField id="2" name="Dividen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_2" displayName="Таблица1_2" ref="A1:B21" tableType="queryTable" totalsRowShown="0">
  <autoFilter ref="A1:B21" xr:uid="{00000000-0009-0000-0100-000001000000}"/>
  <tableColumns count="2">
    <tableColumn id="5" xr3:uid="{00000000-0010-0000-0000-000005000000}" uniqueName="5" name="Date" queryTableFieldId="1" dataDxfId="1"/>
    <tableColumn id="6" xr3:uid="{00000000-0010-0000-0000-000006000000}" uniqueName="6" name="Dividen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opLeftCell="A7" zoomScale="180" zoomScaleNormal="180" workbookViewId="0">
      <selection activeCell="C13" sqref="C13"/>
    </sheetView>
  </sheetViews>
  <sheetFormatPr defaultRowHeight="15"/>
  <cols>
    <col min="2" max="2" width="18.7109375" customWidth="1"/>
    <col min="3" max="3" width="14.7109375" customWidth="1"/>
    <col min="6" max="6" width="2.140625" customWidth="1"/>
  </cols>
  <sheetData>
    <row r="1" spans="1:8">
      <c r="A1" t="s">
        <v>0</v>
      </c>
    </row>
    <row r="3" spans="1:8" s="1" customFormat="1">
      <c r="A3" s="1" t="s">
        <v>1</v>
      </c>
    </row>
    <row r="4" spans="1:8">
      <c r="A4" t="s">
        <v>2</v>
      </c>
    </row>
    <row r="5" spans="1:8">
      <c r="A5" t="s">
        <v>3</v>
      </c>
    </row>
    <row r="7" spans="1:8">
      <c r="A7" t="s">
        <v>4</v>
      </c>
      <c r="B7" t="s">
        <v>5</v>
      </c>
      <c r="C7" t="s">
        <v>6</v>
      </c>
      <c r="E7" s="2">
        <f>0.3/1.5</f>
        <v>0.19999999999999998</v>
      </c>
    </row>
    <row r="8" spans="1:8">
      <c r="B8" t="s">
        <v>7</v>
      </c>
    </row>
    <row r="10" spans="1:8">
      <c r="A10" t="s">
        <v>8</v>
      </c>
      <c r="B10" t="s">
        <v>9</v>
      </c>
      <c r="C10">
        <f>0.2*(1+6%)</f>
        <v>0.21200000000000002</v>
      </c>
    </row>
    <row r="11" spans="1:8">
      <c r="B11" t="s">
        <v>10</v>
      </c>
      <c r="C11">
        <f>C10/(20%-6%)</f>
        <v>1.5142857142857142</v>
      </c>
    </row>
    <row r="13" spans="1:8">
      <c r="A13" t="s">
        <v>11</v>
      </c>
      <c r="B13" t="s">
        <v>12</v>
      </c>
      <c r="C13">
        <f>0.18*(1+3%)</f>
        <v>0.18540000000000001</v>
      </c>
      <c r="G13" t="s">
        <v>13</v>
      </c>
      <c r="H13">
        <v>0.18</v>
      </c>
    </row>
    <row r="14" spans="1:8">
      <c r="B14" t="s">
        <v>14</v>
      </c>
      <c r="C14" s="3">
        <f>C13/1.73</f>
        <v>0.10716763005780347</v>
      </c>
      <c r="E14" t="s">
        <v>15</v>
      </c>
      <c r="G14" t="s">
        <v>10</v>
      </c>
      <c r="H14">
        <f>1.73-H13</f>
        <v>1.55</v>
      </c>
    </row>
    <row r="15" spans="1:8">
      <c r="B15" t="s">
        <v>16</v>
      </c>
      <c r="C15" s="4">
        <f>C14+3%</f>
        <v>0.13716763005780347</v>
      </c>
      <c r="G15" t="s">
        <v>14</v>
      </c>
      <c r="H15">
        <f>C13/H14</f>
        <v>0.11961290322580645</v>
      </c>
    </row>
    <row r="16" spans="1:8">
      <c r="G16" t="s">
        <v>16</v>
      </c>
      <c r="H16" s="5">
        <f>H15+3%</f>
        <v>0.14961290322580645</v>
      </c>
    </row>
    <row r="17" spans="1:5">
      <c r="A17" t="s">
        <v>17</v>
      </c>
      <c r="B17">
        <f>1.26*1000*(85%)</f>
        <v>1071</v>
      </c>
    </row>
    <row r="18" spans="1:5">
      <c r="B18">
        <f>(1-21%)*(1-15%)</f>
        <v>0.67149999999999999</v>
      </c>
    </row>
    <row r="20" spans="1:5">
      <c r="A20" t="s">
        <v>18</v>
      </c>
      <c r="C20" t="s">
        <v>19</v>
      </c>
    </row>
    <row r="21" spans="1:5">
      <c r="A21" t="s">
        <v>20</v>
      </c>
      <c r="C21" t="s">
        <v>21</v>
      </c>
    </row>
    <row r="23" spans="1:5">
      <c r="A23" t="s">
        <v>22</v>
      </c>
      <c r="B23" t="s">
        <v>10</v>
      </c>
      <c r="C23">
        <v>1.25</v>
      </c>
    </row>
    <row r="24" spans="1:5">
      <c r="B24" t="s">
        <v>23</v>
      </c>
      <c r="C24" t="s">
        <v>24</v>
      </c>
    </row>
    <row r="25" spans="1:5">
      <c r="B25" t="s">
        <v>25</v>
      </c>
      <c r="C25" s="2">
        <f>(1-60%)*30%</f>
        <v>0.12</v>
      </c>
    </row>
    <row r="26" spans="1:5">
      <c r="B26" t="s">
        <v>26</v>
      </c>
      <c r="C26">
        <f>(1.45-1.25)*(1+C25)</f>
        <v>0.22399999999999998</v>
      </c>
    </row>
    <row r="27" spans="1:5">
      <c r="B27" t="s">
        <v>14</v>
      </c>
      <c r="C27" s="3">
        <f>C26/C23</f>
        <v>0.17919999999999997</v>
      </c>
    </row>
    <row r="28" spans="1:5">
      <c r="B28" t="s">
        <v>16</v>
      </c>
      <c r="C28" s="4">
        <f>C27+C25</f>
        <v>0.29919999999999997</v>
      </c>
    </row>
    <row r="30" spans="1:5">
      <c r="A30" t="s">
        <v>27</v>
      </c>
      <c r="B30" t="s">
        <v>28</v>
      </c>
    </row>
    <row r="31" spans="1:5">
      <c r="C31" t="s">
        <v>29</v>
      </c>
      <c r="E31" t="s">
        <v>30</v>
      </c>
    </row>
    <row r="32" spans="1:5">
      <c r="C32" t="s">
        <v>31</v>
      </c>
      <c r="E32" t="s">
        <v>32</v>
      </c>
    </row>
    <row r="33" spans="1:5">
      <c r="C33" t="s">
        <v>33</v>
      </c>
      <c r="E33" t="s">
        <v>34</v>
      </c>
    </row>
    <row r="35" spans="1:5">
      <c r="B35" t="s">
        <v>35</v>
      </c>
      <c r="D35">
        <v>2.1</v>
      </c>
    </row>
    <row r="36" spans="1:5">
      <c r="B36" t="s">
        <v>36</v>
      </c>
      <c r="D36">
        <f>4+1</f>
        <v>5</v>
      </c>
    </row>
    <row r="37" spans="1:5">
      <c r="B37" t="s">
        <v>37</v>
      </c>
      <c r="D37">
        <f>D35*4+1.5</f>
        <v>9.9</v>
      </c>
    </row>
    <row r="38" spans="1:5">
      <c r="B38" t="s">
        <v>38</v>
      </c>
      <c r="D38">
        <f>D37/D36</f>
        <v>1.98</v>
      </c>
    </row>
    <row r="39" spans="1:5">
      <c r="B39" t="s">
        <v>39</v>
      </c>
      <c r="D39">
        <v>2</v>
      </c>
      <c r="E39" t="s">
        <v>40</v>
      </c>
    </row>
    <row r="41" spans="1:5">
      <c r="A41" t="s">
        <v>41</v>
      </c>
      <c r="B41" t="s">
        <v>42</v>
      </c>
      <c r="D41">
        <f>2*(1-18%)</f>
        <v>1.6400000000000001</v>
      </c>
    </row>
    <row r="42" spans="1:5">
      <c r="B42" t="s">
        <v>43</v>
      </c>
      <c r="D42">
        <f>164/D41</f>
        <v>99.999999999999986</v>
      </c>
    </row>
    <row r="43" spans="1:5">
      <c r="B43" t="s">
        <v>44</v>
      </c>
      <c r="D43">
        <f>(164+500*2)/600</f>
        <v>1.94</v>
      </c>
      <c r="E43">
        <f>(5*2+D41)/6</f>
        <v>1.9400000000000002</v>
      </c>
    </row>
    <row r="44" spans="1:5">
      <c r="B44" t="s">
        <v>45</v>
      </c>
      <c r="D44">
        <f>D43-D41</f>
        <v>0.29999999999999982</v>
      </c>
    </row>
    <row r="45" spans="1:5">
      <c r="B45" t="s">
        <v>46</v>
      </c>
      <c r="D45">
        <f>D44/5</f>
        <v>5.9999999999999963E-2</v>
      </c>
    </row>
    <row r="46" spans="1:5" s="1" customFormat="1">
      <c r="B46" s="1" t="s">
        <v>47</v>
      </c>
      <c r="D46" s="8">
        <f>10000*2</f>
        <v>20000</v>
      </c>
    </row>
    <row r="47" spans="1:5">
      <c r="B47" t="s">
        <v>48</v>
      </c>
      <c r="D47" s="9"/>
    </row>
    <row r="48" spans="1:5">
      <c r="B48" s="6" t="s">
        <v>49</v>
      </c>
      <c r="D48" s="9">
        <f>-50%*1/5*10000*D41</f>
        <v>-1640.0000000000002</v>
      </c>
    </row>
    <row r="49" spans="1:5">
      <c r="B49" s="6" t="s">
        <v>50</v>
      </c>
      <c r="D49" s="9">
        <f>1000*D44</f>
        <v>299.99999999999983</v>
      </c>
    </row>
    <row r="50" spans="1:5">
      <c r="B50" s="6" t="s">
        <v>51</v>
      </c>
      <c r="D50" s="9">
        <f>(10000+1000)*D43</f>
        <v>21340</v>
      </c>
    </row>
    <row r="51" spans="1:5" s="1" customFormat="1">
      <c r="B51" s="7" t="s">
        <v>52</v>
      </c>
      <c r="D51" s="8">
        <f>SUM(D48:D50)</f>
        <v>20000</v>
      </c>
    </row>
    <row r="53" spans="1:5">
      <c r="A53" t="s">
        <v>53</v>
      </c>
    </row>
    <row r="54" spans="1:5">
      <c r="B54" t="s">
        <v>54</v>
      </c>
    </row>
    <row r="55" spans="1:5">
      <c r="B55" t="s">
        <v>55</v>
      </c>
      <c r="C55">
        <v>0.9</v>
      </c>
    </row>
    <row r="56" spans="1:5">
      <c r="B56" t="s">
        <v>56</v>
      </c>
      <c r="C56" s="10">
        <v>0.1</v>
      </c>
    </row>
    <row r="57" spans="1:5">
      <c r="B57" t="s">
        <v>57</v>
      </c>
      <c r="C57" s="10">
        <v>0.04</v>
      </c>
    </row>
    <row r="58" spans="1:5">
      <c r="B58" t="s">
        <v>58</v>
      </c>
      <c r="C58" s="10">
        <f>C57+(C56-C57)*C55</f>
        <v>9.4E-2</v>
      </c>
    </row>
    <row r="60" spans="1:5">
      <c r="A60" t="s">
        <v>59</v>
      </c>
      <c r="C60" t="s">
        <v>60</v>
      </c>
      <c r="D60" t="s">
        <v>61</v>
      </c>
      <c r="E60" t="s">
        <v>62</v>
      </c>
    </row>
    <row r="61" spans="1:5">
      <c r="B61" t="s">
        <v>63</v>
      </c>
      <c r="C61" s="9">
        <f>1000000/100*50</f>
        <v>500000</v>
      </c>
      <c r="D61" s="10">
        <v>0.09</v>
      </c>
      <c r="E61" s="2">
        <f>C61/C65</f>
        <v>0.25</v>
      </c>
    </row>
    <row r="62" spans="1:5">
      <c r="B62" t="s">
        <v>64</v>
      </c>
      <c r="C62" s="9">
        <f>625000*0.4</f>
        <v>250000</v>
      </c>
      <c r="D62" s="10">
        <v>0.12</v>
      </c>
      <c r="E62" s="2">
        <f>C62/C65</f>
        <v>0.125</v>
      </c>
    </row>
    <row r="63" spans="1:5">
      <c r="B63" t="s">
        <v>65</v>
      </c>
      <c r="C63" s="9">
        <f>5000000*0.25</f>
        <v>1250000</v>
      </c>
      <c r="D63" s="10">
        <v>0.18</v>
      </c>
      <c r="E63" s="2">
        <f>1-E62-E61</f>
        <v>0.625</v>
      </c>
    </row>
    <row r="65" spans="1:5">
      <c r="B65" t="s">
        <v>66</v>
      </c>
      <c r="C65" s="9">
        <f>SUM(C61:C64)</f>
        <v>2000000</v>
      </c>
    </row>
    <row r="66" spans="1:5" s="1" customFormat="1">
      <c r="B66" s="1" t="s">
        <v>67</v>
      </c>
      <c r="C66" s="11">
        <f>SUMPRODUCT(E61:E63,D61:D63)</f>
        <v>0.15</v>
      </c>
    </row>
    <row r="68" spans="1:5">
      <c r="A68" t="s">
        <v>68</v>
      </c>
    </row>
    <row r="69" spans="1:5">
      <c r="C69" t="s">
        <v>60</v>
      </c>
      <c r="D69" t="s">
        <v>61</v>
      </c>
      <c r="E69" t="s">
        <v>62</v>
      </c>
    </row>
    <row r="70" spans="1:5">
      <c r="B70" t="s">
        <v>63</v>
      </c>
      <c r="C70" s="9">
        <f>1000000/100*50</f>
        <v>500000</v>
      </c>
      <c r="D70" s="12">
        <f>9%*(1-30%)</f>
        <v>6.3E-2</v>
      </c>
      <c r="E70" s="2">
        <f>C70/C74</f>
        <v>0.25</v>
      </c>
    </row>
    <row r="71" spans="1:5">
      <c r="B71" t="s">
        <v>64</v>
      </c>
      <c r="C71" s="9">
        <f>625000*0.4</f>
        <v>250000</v>
      </c>
      <c r="D71" s="10">
        <v>0.12</v>
      </c>
      <c r="E71" s="2">
        <f>C71/C74</f>
        <v>0.125</v>
      </c>
    </row>
    <row r="72" spans="1:5">
      <c r="B72" t="s">
        <v>65</v>
      </c>
      <c r="C72" s="9">
        <f>5000000*0.25</f>
        <v>1250000</v>
      </c>
      <c r="D72" s="10">
        <v>0.18</v>
      </c>
      <c r="E72" s="2">
        <f>1-E71-E70</f>
        <v>0.625</v>
      </c>
    </row>
    <row r="74" spans="1:5">
      <c r="B74" t="s">
        <v>66</v>
      </c>
      <c r="C74" s="9">
        <f>SUM(C70:C73)</f>
        <v>2000000</v>
      </c>
    </row>
    <row r="75" spans="1:5">
      <c r="B75" s="1" t="s">
        <v>67</v>
      </c>
      <c r="C75" s="11">
        <f>SUMPRODUCT(E70:E72,D70:D72)</f>
        <v>0.14324999999999999</v>
      </c>
      <c r="D75" s="1"/>
      <c r="E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zoomScale="150" zoomScaleNormal="150" workbookViewId="0">
      <selection activeCell="F20" sqref="F20"/>
    </sheetView>
  </sheetViews>
  <sheetFormatPr defaultRowHeight="15"/>
  <cols>
    <col min="1" max="1" width="21" customWidth="1"/>
    <col min="2" max="2" width="11.28515625" bestFit="1" customWidth="1"/>
  </cols>
  <sheetData>
    <row r="1" spans="1:7">
      <c r="A1" t="s">
        <v>69</v>
      </c>
      <c r="B1" t="s">
        <v>70</v>
      </c>
    </row>
    <row r="2" spans="1:7">
      <c r="A2" s="13">
        <v>43440</v>
      </c>
      <c r="B2">
        <v>0.15</v>
      </c>
      <c r="D2" t="s">
        <v>71</v>
      </c>
      <c r="G2" s="14">
        <f>(B21/Таблица1_2[[#This Row],[Dividend]])^(1/19)-1</f>
        <v>2.5045532052292208E-2</v>
      </c>
    </row>
    <row r="3" spans="1:7">
      <c r="A3" s="13">
        <v>43524</v>
      </c>
      <c r="B3">
        <v>0.15</v>
      </c>
      <c r="D3" t="s">
        <v>72</v>
      </c>
      <c r="G3" s="3">
        <f>G2*4</f>
        <v>0.10018212820916883</v>
      </c>
    </row>
    <row r="4" spans="1:7">
      <c r="A4" s="13">
        <v>43622</v>
      </c>
      <c r="B4">
        <v>0.15</v>
      </c>
      <c r="D4" t="s">
        <v>10</v>
      </c>
      <c r="G4">
        <v>29.73</v>
      </c>
    </row>
    <row r="5" spans="1:7">
      <c r="A5" s="13">
        <v>43713</v>
      </c>
      <c r="B5">
        <v>0.18</v>
      </c>
      <c r="D5" t="s">
        <v>12</v>
      </c>
      <c r="G5">
        <f>SUM(B18:B21)*(1+G3)</f>
        <v>0.99016391538825199</v>
      </c>
    </row>
    <row r="6" spans="1:7">
      <c r="A6" s="13">
        <v>43804</v>
      </c>
      <c r="B6">
        <v>0.18</v>
      </c>
      <c r="D6" t="s">
        <v>14</v>
      </c>
      <c r="G6">
        <f>G5/G4</f>
        <v>3.3305210742961722E-2</v>
      </c>
    </row>
    <row r="7" spans="1:7">
      <c r="A7" s="13">
        <v>43895</v>
      </c>
      <c r="B7">
        <v>0.18</v>
      </c>
      <c r="D7" t="s">
        <v>16</v>
      </c>
      <c r="G7" s="4">
        <f>G6+G3</f>
        <v>0.13348733895213055</v>
      </c>
    </row>
    <row r="8" spans="1:7">
      <c r="A8" s="13">
        <v>43986</v>
      </c>
      <c r="B8">
        <v>0.18</v>
      </c>
    </row>
    <row r="9" spans="1:7">
      <c r="A9" s="13">
        <v>44077</v>
      </c>
      <c r="B9">
        <v>0.18</v>
      </c>
    </row>
    <row r="10" spans="1:7">
      <c r="A10" s="13">
        <v>44168</v>
      </c>
      <c r="B10">
        <v>0.18</v>
      </c>
    </row>
    <row r="11" spans="1:7">
      <c r="A11" s="13">
        <v>44259</v>
      </c>
      <c r="B11">
        <v>0.18</v>
      </c>
    </row>
    <row r="12" spans="1:7">
      <c r="A12" s="13">
        <v>44350</v>
      </c>
      <c r="B12">
        <v>0.18</v>
      </c>
    </row>
    <row r="13" spans="1:7">
      <c r="A13" s="13">
        <v>44441</v>
      </c>
      <c r="B13">
        <v>0.21</v>
      </c>
    </row>
    <row r="14" spans="1:7">
      <c r="A14" s="13">
        <v>44532</v>
      </c>
      <c r="B14">
        <v>0.21</v>
      </c>
    </row>
    <row r="15" spans="1:7">
      <c r="A15" s="13">
        <v>44623</v>
      </c>
      <c r="B15">
        <v>0.21</v>
      </c>
    </row>
    <row r="16" spans="1:7">
      <c r="A16" s="13">
        <v>44714</v>
      </c>
      <c r="B16">
        <v>0.21</v>
      </c>
    </row>
    <row r="17" spans="1:2">
      <c r="A17" s="13">
        <v>44805</v>
      </c>
      <c r="B17">
        <v>0.22</v>
      </c>
    </row>
    <row r="18" spans="1:2">
      <c r="A18" s="13">
        <v>44896</v>
      </c>
      <c r="B18">
        <v>0.22</v>
      </c>
    </row>
    <row r="19" spans="1:2">
      <c r="A19" s="13">
        <v>44987</v>
      </c>
      <c r="B19">
        <v>0.22</v>
      </c>
    </row>
    <row r="20" spans="1:2">
      <c r="A20" s="13">
        <v>45078</v>
      </c>
      <c r="B20">
        <v>0.22</v>
      </c>
    </row>
    <row r="21" spans="1:2">
      <c r="A21" s="13">
        <v>45169</v>
      </c>
      <c r="B21">
        <v>0.24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7ECA890E00CDE43A80048227272DEC7" ma:contentTypeVersion="3" ma:contentTypeDescription="Создание документа." ma:contentTypeScope="" ma:versionID="e5fc6fb2fbbd816baee153392c17bcea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8ee14f33f74841b7b6773d68d7cfaf8a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F8227B-92DF-4157-ABB0-FE8A6672330E}"/>
</file>

<file path=customXml/itemProps2.xml><?xml version="1.0" encoding="utf-8"?>
<ds:datastoreItem xmlns:ds="http://schemas.openxmlformats.org/officeDocument/2006/customXml" ds:itemID="{D69789C0-8536-4BA1-8807-D6006C9C25E3}"/>
</file>

<file path=customXml/itemProps3.xml><?xml version="1.0" encoding="utf-8"?>
<ds:datastoreItem xmlns:ds="http://schemas.openxmlformats.org/officeDocument/2006/customXml" ds:itemID="{FAFC542C-5752-40C6-903B-BB36C3B626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usitgu</dc:creator>
  <cp:keywords/>
  <dc:description/>
  <cp:lastModifiedBy>Aleksandr Yurevich Andrianov</cp:lastModifiedBy>
  <cp:revision/>
  <dcterms:created xsi:type="dcterms:W3CDTF">2023-11-25T11:25:33Z</dcterms:created>
  <dcterms:modified xsi:type="dcterms:W3CDTF">2023-12-01T16:46:36Z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