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itgu\Documents\"/>
    </mc:Choice>
  </mc:AlternateContent>
  <bookViews>
    <workbookView xWindow="0" yWindow="0" windowWidth="21570" windowHeight="8055" activeTab="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7" l="1"/>
  <c r="B47" i="7"/>
  <c r="B46" i="7"/>
  <c r="B45" i="7"/>
  <c r="B44" i="7"/>
  <c r="B43" i="7"/>
  <c r="C42" i="7"/>
  <c r="D42" i="7"/>
  <c r="E42" i="7"/>
  <c r="F42" i="7"/>
  <c r="G42" i="7"/>
  <c r="B42" i="7"/>
  <c r="C41" i="7"/>
  <c r="D41" i="7"/>
  <c r="E41" i="7"/>
  <c r="F41" i="7"/>
  <c r="G41" i="7"/>
  <c r="B41" i="7"/>
  <c r="C40" i="7"/>
  <c r="D40" i="7"/>
  <c r="E40" i="7"/>
  <c r="F40" i="7"/>
  <c r="G40" i="7"/>
  <c r="B40" i="7"/>
  <c r="D33" i="7"/>
  <c r="C38" i="7"/>
  <c r="D38" i="7"/>
  <c r="E33" i="7" s="1"/>
  <c r="E38" i="7" s="1"/>
  <c r="F33" i="7" s="1"/>
  <c r="F38" i="7" s="1"/>
  <c r="G33" i="7" s="1"/>
  <c r="G38" i="7" s="1"/>
  <c r="C33" i="7"/>
  <c r="B38" i="7"/>
  <c r="C36" i="7"/>
  <c r="D36" i="7"/>
  <c r="E36" i="7"/>
  <c r="F36" i="7"/>
  <c r="G36" i="7"/>
  <c r="C37" i="7"/>
  <c r="D37" i="7"/>
  <c r="E37" i="7"/>
  <c r="F37" i="7"/>
  <c r="G37" i="7"/>
  <c r="B37" i="7"/>
  <c r="B36" i="7"/>
  <c r="C35" i="7"/>
  <c r="D35" i="7"/>
  <c r="E35" i="7"/>
  <c r="F35" i="7"/>
  <c r="G35" i="7"/>
  <c r="B35" i="7"/>
  <c r="C34" i="7"/>
  <c r="D34" i="7"/>
  <c r="E34" i="7"/>
  <c r="F34" i="7"/>
  <c r="G34" i="7"/>
  <c r="B34" i="7"/>
  <c r="B30" i="7"/>
  <c r="B29" i="7"/>
  <c r="B28" i="7"/>
  <c r="B27" i="7"/>
  <c r="B26" i="7"/>
  <c r="C25" i="7"/>
  <c r="D25" i="7"/>
  <c r="E25" i="7"/>
  <c r="F25" i="7"/>
  <c r="G25" i="7"/>
  <c r="B25" i="7"/>
  <c r="C24" i="7"/>
  <c r="D24" i="7"/>
  <c r="E24" i="7"/>
  <c r="F24" i="7"/>
  <c r="G24" i="7"/>
  <c r="B24" i="7"/>
  <c r="D23" i="7"/>
  <c r="E23" i="7"/>
  <c r="F23" i="7"/>
  <c r="G23" i="7"/>
  <c r="C23" i="7"/>
  <c r="B23" i="7"/>
  <c r="D22" i="7"/>
  <c r="E22" i="7"/>
  <c r="F22" i="7"/>
  <c r="G22" i="7"/>
  <c r="C22" i="7"/>
  <c r="B22" i="7"/>
  <c r="C21" i="7"/>
  <c r="D21" i="7"/>
  <c r="E21" i="7"/>
  <c r="F21" i="7"/>
  <c r="G21" i="7"/>
  <c r="B21" i="7"/>
  <c r="C20" i="7"/>
  <c r="D20" i="7"/>
  <c r="E20" i="7"/>
  <c r="F20" i="7"/>
  <c r="G20" i="7"/>
  <c r="B20" i="7"/>
  <c r="D19" i="7"/>
  <c r="E19" i="7"/>
  <c r="F19" i="7"/>
  <c r="G19" i="7"/>
  <c r="C19" i="7"/>
  <c r="B19" i="7"/>
  <c r="C18" i="7"/>
  <c r="D18" i="7"/>
  <c r="E18" i="7"/>
  <c r="F18" i="7"/>
  <c r="G18" i="7"/>
  <c r="B18" i="7"/>
  <c r="C17" i="7"/>
  <c r="D17" i="7"/>
  <c r="E17" i="7"/>
  <c r="F17" i="7"/>
  <c r="G17" i="7"/>
  <c r="B17" i="7"/>
  <c r="C16" i="7"/>
  <c r="D16" i="7"/>
  <c r="E16" i="7"/>
  <c r="F16" i="7"/>
  <c r="G16" i="7"/>
  <c r="B16" i="7"/>
  <c r="D15" i="7"/>
  <c r="E15" i="7" s="1"/>
  <c r="F15" i="7" s="1"/>
  <c r="G15" i="7" s="1"/>
  <c r="C15" i="7"/>
  <c r="B15" i="7"/>
  <c r="B7" i="6"/>
  <c r="B20" i="5"/>
  <c r="B16" i="5"/>
  <c r="B18" i="5"/>
  <c r="B15" i="5"/>
  <c r="B13" i="5"/>
  <c r="B11" i="5"/>
  <c r="B10" i="5"/>
  <c r="B8" i="5"/>
  <c r="B7" i="5"/>
  <c r="B6" i="5"/>
  <c r="G5" i="4"/>
  <c r="G6" i="4"/>
  <c r="G4" i="4"/>
  <c r="E5" i="4"/>
  <c r="E6" i="4"/>
  <c r="E4" i="4"/>
  <c r="F4" i="3"/>
  <c r="F2" i="3"/>
  <c r="B6" i="3"/>
  <c r="B15" i="2"/>
  <c r="B12" i="2"/>
  <c r="D12" i="1"/>
  <c r="D8" i="1"/>
  <c r="D9" i="1"/>
  <c r="D10" i="1"/>
  <c r="D7" i="1"/>
  <c r="D3" i="1"/>
  <c r="D4" i="1"/>
  <c r="D5" i="1"/>
  <c r="D2" i="1"/>
  <c r="C2" i="1"/>
</calcChain>
</file>

<file path=xl/sharedStrings.xml><?xml version="1.0" encoding="utf-8"?>
<sst xmlns="http://schemas.openxmlformats.org/spreadsheetml/2006/main" count="113" uniqueCount="102">
  <si>
    <t>Non-current assets</t>
  </si>
  <si>
    <t>Inventory</t>
  </si>
  <si>
    <t>AR</t>
  </si>
  <si>
    <t>Cash</t>
  </si>
  <si>
    <t>Share capital</t>
  </si>
  <si>
    <t>reserves</t>
  </si>
  <si>
    <t>Bonds</t>
  </si>
  <si>
    <t>Current liabilities</t>
  </si>
  <si>
    <t>Adj.</t>
  </si>
  <si>
    <t>NRV</t>
  </si>
  <si>
    <t>Net realizable value of the company</t>
  </si>
  <si>
    <t>Dr AR</t>
  </si>
  <si>
    <t>Cr Sales</t>
  </si>
  <si>
    <t>Dr Cash</t>
  </si>
  <si>
    <t>Cr AR</t>
  </si>
  <si>
    <t>DR Expenses</t>
  </si>
  <si>
    <t>Cr Bad debt reserve</t>
  </si>
  <si>
    <t>Profits before tax</t>
  </si>
  <si>
    <t>Tax charge</t>
  </si>
  <si>
    <t>Actual earnings</t>
  </si>
  <si>
    <t>Adding back expenses</t>
  </si>
  <si>
    <t>Apply usual expenses</t>
  </si>
  <si>
    <t>Adjusted earnings</t>
  </si>
  <si>
    <t>P/E</t>
  </si>
  <si>
    <t>P</t>
  </si>
  <si>
    <t>profit after tax</t>
  </si>
  <si>
    <t>Rental income</t>
  </si>
  <si>
    <t>Core earnings</t>
  </si>
  <si>
    <t>P core business</t>
  </si>
  <si>
    <t>Core business</t>
  </si>
  <si>
    <t>Rental business</t>
  </si>
  <si>
    <t>Total value of the Co</t>
  </si>
  <si>
    <t>Dividend yield = Annual dividend / Share price</t>
  </si>
  <si>
    <t>Co</t>
  </si>
  <si>
    <t>Price</t>
  </si>
  <si>
    <t>Dividend</t>
  </si>
  <si>
    <t>A</t>
  </si>
  <si>
    <t>B</t>
  </si>
  <si>
    <t>Payout ratio (Dividend/Earnings)</t>
  </si>
  <si>
    <t>1-dividend payout = retention ratio</t>
  </si>
  <si>
    <t>Div yield</t>
  </si>
  <si>
    <t>Industry div yieled</t>
  </si>
  <si>
    <t>Valuation</t>
  </si>
  <si>
    <t>C</t>
  </si>
  <si>
    <t>Revenue</t>
  </si>
  <si>
    <t>production expenses</t>
  </si>
  <si>
    <t>Admin</t>
  </si>
  <si>
    <t>TAD</t>
  </si>
  <si>
    <t>net income before tax</t>
  </si>
  <si>
    <t>Tax</t>
  </si>
  <si>
    <t>Net income after tax</t>
  </si>
  <si>
    <t>operating CF</t>
  </si>
  <si>
    <t>Investment CF</t>
  </si>
  <si>
    <t>FCF</t>
  </si>
  <si>
    <t>1) PV of FCF</t>
  </si>
  <si>
    <t>we use nominal values</t>
  </si>
  <si>
    <t>2) PV of FCF</t>
  </si>
  <si>
    <t>we use real values</t>
  </si>
  <si>
    <t>Rn = (1+Rr)*(1+i)-1</t>
  </si>
  <si>
    <t>FCFF</t>
  </si>
  <si>
    <t>Equity value</t>
  </si>
  <si>
    <t>Cost of equity</t>
  </si>
  <si>
    <t>Before tax cost of debt</t>
  </si>
  <si>
    <t>After tax WACC</t>
  </si>
  <si>
    <t>tax rate</t>
  </si>
  <si>
    <t>value of the Company</t>
  </si>
  <si>
    <t>Period</t>
  </si>
  <si>
    <t>Sales growth, %</t>
  </si>
  <si>
    <t>Operating margin, %</t>
  </si>
  <si>
    <t>Tax rate, %</t>
  </si>
  <si>
    <t>IFCI, % of sales change</t>
  </si>
  <si>
    <t>IWCI, % of sales change</t>
  </si>
  <si>
    <t>Current sales, $m, p.a.</t>
  </si>
  <si>
    <t>dereciation charge, $m p.a.</t>
  </si>
  <si>
    <t>MV of ST investments, $m</t>
  </si>
  <si>
    <t>MV of debt, $m</t>
  </si>
  <si>
    <t>Cost of capital, %</t>
  </si>
  <si>
    <t>Sales</t>
  </si>
  <si>
    <t>Operating profit</t>
  </si>
  <si>
    <t>Tax expense</t>
  </si>
  <si>
    <t>Net operating profit</t>
  </si>
  <si>
    <t>Add back depreciation</t>
  </si>
  <si>
    <t>Operating CF</t>
  </si>
  <si>
    <t>Replacement of FA</t>
  </si>
  <si>
    <t>IFCI</t>
  </si>
  <si>
    <t>IWCI</t>
  </si>
  <si>
    <t>DF @14%</t>
  </si>
  <si>
    <t>PV horizon</t>
  </si>
  <si>
    <t>PV post-horizon</t>
  </si>
  <si>
    <t>MV debt</t>
  </si>
  <si>
    <t>Adding MV of ST investments</t>
  </si>
  <si>
    <t>Value of equity</t>
  </si>
  <si>
    <t>Economic value added</t>
  </si>
  <si>
    <t>Net operating profit - WACC*(Equity + Debt)</t>
  </si>
  <si>
    <t>Capital  year start</t>
  </si>
  <si>
    <t>Dr depreciation expense Cr Assets</t>
  </si>
  <si>
    <t>Depreciation</t>
  </si>
  <si>
    <t>End of year capital</t>
  </si>
  <si>
    <t>net operating profit</t>
  </si>
  <si>
    <t>Finance charge</t>
  </si>
  <si>
    <t>EVA</t>
  </si>
  <si>
    <t>Current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</si>
</sst>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9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9" fontId="3" fillId="0" borderId="0" xfId="0" applyNumberFormat="1" applyFont="1"/>
    <xf numFmtId="10" fontId="2" fillId="0" borderId="0" xfId="0" applyNumberFormat="1" applyFont="1"/>
    <xf numFmtId="4" fontId="0" fillId="0" borderId="0" xfId="0" applyNumberFormat="1"/>
    <xf numFmtId="4" fontId="2" fillId="0" borderId="0" xfId="0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40" zoomScaleNormal="140" workbookViewId="0">
      <selection activeCell="A23" sqref="A23"/>
    </sheetView>
  </sheetViews>
  <sheetFormatPr defaultRowHeight="15" x14ac:dyDescent="0.25"/>
  <cols>
    <col min="1" max="1" width="21.85546875" customWidth="1"/>
  </cols>
  <sheetData>
    <row r="1" spans="1:4" x14ac:dyDescent="0.25">
      <c r="C1" t="s">
        <v>8</v>
      </c>
      <c r="D1" t="s">
        <v>9</v>
      </c>
    </row>
    <row r="2" spans="1:4" x14ac:dyDescent="0.25">
      <c r="A2" t="s">
        <v>0</v>
      </c>
      <c r="B2">
        <v>1000</v>
      </c>
      <c r="C2">
        <f>700-200</f>
        <v>500</v>
      </c>
      <c r="D2">
        <f>B2+C2</f>
        <v>1500</v>
      </c>
    </row>
    <row r="3" spans="1:4" x14ac:dyDescent="0.25">
      <c r="A3" t="s">
        <v>1</v>
      </c>
      <c r="B3">
        <v>500</v>
      </c>
      <c r="C3">
        <v>-100</v>
      </c>
      <c r="D3">
        <f t="shared" ref="D3:D10" si="0">B3+C3</f>
        <v>400</v>
      </c>
    </row>
    <row r="4" spans="1:4" x14ac:dyDescent="0.25">
      <c r="A4" t="s">
        <v>2</v>
      </c>
      <c r="B4">
        <v>300</v>
      </c>
      <c r="C4">
        <v>-50</v>
      </c>
      <c r="D4">
        <f t="shared" si="0"/>
        <v>250</v>
      </c>
    </row>
    <row r="5" spans="1:4" x14ac:dyDescent="0.25">
      <c r="A5" t="s">
        <v>3</v>
      </c>
      <c r="B5">
        <v>400</v>
      </c>
      <c r="D5">
        <f t="shared" si="0"/>
        <v>400</v>
      </c>
    </row>
    <row r="7" spans="1:4" x14ac:dyDescent="0.25">
      <c r="A7" t="s">
        <v>4</v>
      </c>
      <c r="B7">
        <v>400</v>
      </c>
      <c r="C7" s="1">
        <v>250</v>
      </c>
      <c r="D7">
        <f t="shared" si="0"/>
        <v>650</v>
      </c>
    </row>
    <row r="8" spans="1:4" x14ac:dyDescent="0.25">
      <c r="A8" t="s">
        <v>5</v>
      </c>
      <c r="B8">
        <v>900</v>
      </c>
      <c r="D8">
        <f t="shared" si="0"/>
        <v>900</v>
      </c>
    </row>
    <row r="9" spans="1:4" x14ac:dyDescent="0.25">
      <c r="A9" t="s">
        <v>6</v>
      </c>
      <c r="B9">
        <v>400</v>
      </c>
      <c r="D9">
        <f t="shared" si="0"/>
        <v>400</v>
      </c>
    </row>
    <row r="10" spans="1:4" x14ac:dyDescent="0.25">
      <c r="A10" t="s">
        <v>7</v>
      </c>
      <c r="B10">
        <v>500</v>
      </c>
      <c r="C10">
        <v>100</v>
      </c>
      <c r="D10">
        <f t="shared" si="0"/>
        <v>600</v>
      </c>
    </row>
    <row r="12" spans="1:4" s="2" customFormat="1" x14ac:dyDescent="0.25">
      <c r="A12" s="2" t="s">
        <v>10</v>
      </c>
      <c r="D12" s="2">
        <f>D7+D8</f>
        <v>1550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opLeftCell="A7" zoomScale="140" zoomScaleNormal="140" workbookViewId="0">
      <selection activeCell="B32" sqref="B32"/>
    </sheetView>
  </sheetViews>
  <sheetFormatPr defaultRowHeight="15" x14ac:dyDescent="0.25"/>
  <cols>
    <col min="1" max="1" width="20.28515625" customWidth="1"/>
    <col min="3" max="3" width="27.140625" customWidth="1"/>
  </cols>
  <sheetData>
    <row r="2" spans="1:4" x14ac:dyDescent="0.25">
      <c r="A2" t="s">
        <v>11</v>
      </c>
      <c r="B2">
        <v>1000</v>
      </c>
      <c r="C2" t="s">
        <v>12</v>
      </c>
      <c r="D2">
        <v>1000</v>
      </c>
    </row>
    <row r="3" spans="1:4" x14ac:dyDescent="0.25">
      <c r="A3" t="s">
        <v>13</v>
      </c>
      <c r="B3">
        <v>950</v>
      </c>
      <c r="C3" t="s">
        <v>14</v>
      </c>
      <c r="D3">
        <v>950</v>
      </c>
    </row>
    <row r="4" spans="1:4" x14ac:dyDescent="0.25">
      <c r="A4" t="s">
        <v>15</v>
      </c>
      <c r="B4">
        <v>50</v>
      </c>
      <c r="C4" t="s">
        <v>16</v>
      </c>
      <c r="D4">
        <v>50</v>
      </c>
    </row>
    <row r="7" spans="1:4" x14ac:dyDescent="0.25">
      <c r="A7" t="s">
        <v>17</v>
      </c>
      <c r="B7" s="3">
        <v>1750</v>
      </c>
    </row>
    <row r="8" spans="1:4" x14ac:dyDescent="0.25">
      <c r="A8" t="s">
        <v>18</v>
      </c>
      <c r="B8" s="3">
        <v>-500</v>
      </c>
    </row>
    <row r="9" spans="1:4" x14ac:dyDescent="0.25">
      <c r="A9" t="s">
        <v>19</v>
      </c>
      <c r="B9" s="3">
        <v>1250</v>
      </c>
    </row>
    <row r="10" spans="1:4" x14ac:dyDescent="0.25">
      <c r="A10" t="s">
        <v>20</v>
      </c>
      <c r="B10" s="3">
        <v>650</v>
      </c>
    </row>
    <row r="11" spans="1:4" x14ac:dyDescent="0.25">
      <c r="A11" t="s">
        <v>21</v>
      </c>
      <c r="B11" s="3">
        <v>-150</v>
      </c>
    </row>
    <row r="12" spans="1:4" x14ac:dyDescent="0.25">
      <c r="A12" t="s">
        <v>22</v>
      </c>
      <c r="B12" s="3">
        <f>B9+B10+B11</f>
        <v>1750</v>
      </c>
    </row>
    <row r="13" spans="1:4" x14ac:dyDescent="0.25">
      <c r="B13" s="3"/>
    </row>
    <row r="14" spans="1:4" x14ac:dyDescent="0.25">
      <c r="A14" t="s">
        <v>23</v>
      </c>
      <c r="B14" s="3">
        <v>16</v>
      </c>
    </row>
    <row r="15" spans="1:4" s="2" customFormat="1" x14ac:dyDescent="0.25">
      <c r="A15" s="2" t="s">
        <v>24</v>
      </c>
      <c r="B15" s="4">
        <f>B12*B14</f>
        <v>28000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40" zoomScaleNormal="140" workbookViewId="0">
      <selection activeCell="F14" sqref="F14"/>
    </sheetView>
  </sheetViews>
  <sheetFormatPr defaultRowHeight="15" x14ac:dyDescent="0.25"/>
  <cols>
    <col min="1" max="1" width="14" bestFit="1" customWidth="1"/>
    <col min="2" max="2" width="15.28515625" customWidth="1"/>
    <col min="5" max="5" width="11.140625" customWidth="1"/>
    <col min="6" max="6" width="18.28515625" customWidth="1"/>
  </cols>
  <sheetData>
    <row r="1" spans="1:6" x14ac:dyDescent="0.25">
      <c r="A1" t="s">
        <v>25</v>
      </c>
      <c r="B1" s="3">
        <v>900000</v>
      </c>
    </row>
    <row r="2" spans="1:6" x14ac:dyDescent="0.25">
      <c r="A2" t="s">
        <v>26</v>
      </c>
      <c r="B2" s="3">
        <v>-40000</v>
      </c>
      <c r="D2" t="s">
        <v>29</v>
      </c>
      <c r="F2" s="3">
        <f>B6</f>
        <v>7740000</v>
      </c>
    </row>
    <row r="3" spans="1:6" x14ac:dyDescent="0.25">
      <c r="A3" t="s">
        <v>27</v>
      </c>
      <c r="B3" s="3">
        <v>860000</v>
      </c>
      <c r="D3" t="s">
        <v>30</v>
      </c>
      <c r="F3">
        <v>800000</v>
      </c>
    </row>
    <row r="4" spans="1:6" x14ac:dyDescent="0.25">
      <c r="B4" s="3"/>
      <c r="D4" s="2" t="s">
        <v>31</v>
      </c>
      <c r="E4" s="2"/>
      <c r="F4" s="4">
        <f>F2+F3</f>
        <v>8540000</v>
      </c>
    </row>
    <row r="5" spans="1:6" x14ac:dyDescent="0.25">
      <c r="A5" t="s">
        <v>23</v>
      </c>
      <c r="B5" s="3">
        <v>9</v>
      </c>
    </row>
    <row r="6" spans="1:6" x14ac:dyDescent="0.25">
      <c r="A6" t="s">
        <v>28</v>
      </c>
      <c r="B6" s="3">
        <f>B3*B5</f>
        <v>7740000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60" zoomScaleNormal="160" workbookViewId="0">
      <selection activeCell="F11" sqref="F11"/>
    </sheetView>
  </sheetViews>
  <sheetFormatPr defaultRowHeight="15" x14ac:dyDescent="0.25"/>
  <cols>
    <col min="4" max="4" width="9.5703125" bestFit="1" customWidth="1"/>
  </cols>
  <sheetData>
    <row r="1" spans="1:7" x14ac:dyDescent="0.25">
      <c r="A1" t="s">
        <v>32</v>
      </c>
    </row>
    <row r="3" spans="1:7" x14ac:dyDescent="0.25">
      <c r="A3" t="s">
        <v>33</v>
      </c>
      <c r="B3" t="s">
        <v>34</v>
      </c>
      <c r="C3" t="s">
        <v>35</v>
      </c>
      <c r="D3" t="s">
        <v>38</v>
      </c>
      <c r="E3" t="s">
        <v>40</v>
      </c>
      <c r="F3" t="s">
        <v>41</v>
      </c>
      <c r="G3" t="s">
        <v>42</v>
      </c>
    </row>
    <row r="4" spans="1:7" s="2" customFormat="1" ht="31.5" x14ac:dyDescent="0.5">
      <c r="A4" s="2" t="s">
        <v>36</v>
      </c>
      <c r="B4" s="2">
        <v>33.5</v>
      </c>
      <c r="C4" s="2">
        <v>2.48</v>
      </c>
      <c r="D4" s="8">
        <v>0.8</v>
      </c>
      <c r="E4" s="7">
        <f>C4/B4</f>
        <v>7.4029850746268652E-2</v>
      </c>
      <c r="F4" s="9">
        <v>3.9E-2</v>
      </c>
      <c r="G4" s="2">
        <f>C4/F4</f>
        <v>63.589743589743591</v>
      </c>
    </row>
    <row r="5" spans="1:7" x14ac:dyDescent="0.25">
      <c r="A5" t="s">
        <v>37</v>
      </c>
      <c r="B5">
        <v>15.8</v>
      </c>
      <c r="C5">
        <v>0.57999999999999996</v>
      </c>
      <c r="D5" s="5">
        <v>0.35</v>
      </c>
      <c r="E5" s="6">
        <f t="shared" ref="E5:E6" si="0">C5/B5</f>
        <v>3.6708860759493665E-2</v>
      </c>
      <c r="F5" s="9">
        <v>3.9E-2</v>
      </c>
      <c r="G5" s="2">
        <f t="shared" ref="G5:G6" si="1">C5/F5</f>
        <v>14.87179487179487</v>
      </c>
    </row>
    <row r="6" spans="1:7" x14ac:dyDescent="0.25">
      <c r="A6" t="s">
        <v>43</v>
      </c>
      <c r="B6">
        <v>3.4</v>
      </c>
      <c r="C6">
        <v>0.18</v>
      </c>
      <c r="D6" s="5">
        <v>0.4</v>
      </c>
      <c r="E6" s="6">
        <f t="shared" si="0"/>
        <v>5.2941176470588235E-2</v>
      </c>
      <c r="F6" s="9">
        <v>3.9E-2</v>
      </c>
      <c r="G6" s="2">
        <f t="shared" si="1"/>
        <v>4.615384615384615</v>
      </c>
    </row>
    <row r="8" spans="1:7" x14ac:dyDescent="0.25">
      <c r="D8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zoomScale="150" zoomScaleNormal="150" workbookViewId="0">
      <selection activeCell="B21" sqref="B21"/>
    </sheetView>
  </sheetViews>
  <sheetFormatPr defaultRowHeight="15" x14ac:dyDescent="0.25"/>
  <cols>
    <col min="1" max="1" width="26.7109375" customWidth="1"/>
  </cols>
  <sheetData>
    <row r="2" spans="1:4" x14ac:dyDescent="0.25">
      <c r="A2" t="s">
        <v>44</v>
      </c>
      <c r="B2">
        <v>400</v>
      </c>
    </row>
    <row r="3" spans="1:4" x14ac:dyDescent="0.25">
      <c r="A3" t="s">
        <v>45</v>
      </c>
      <c r="B3">
        <v>290</v>
      </c>
    </row>
    <row r="4" spans="1:4" x14ac:dyDescent="0.25">
      <c r="A4" t="s">
        <v>46</v>
      </c>
      <c r="B4">
        <v>24</v>
      </c>
    </row>
    <row r="5" spans="1:4" x14ac:dyDescent="0.25">
      <c r="A5" t="s">
        <v>47</v>
      </c>
      <c r="B5">
        <v>31</v>
      </c>
    </row>
    <row r="6" spans="1:4" x14ac:dyDescent="0.25">
      <c r="A6" t="s">
        <v>48</v>
      </c>
      <c r="B6">
        <f>B2-B3-B4-B5</f>
        <v>55</v>
      </c>
    </row>
    <row r="7" spans="1:4" x14ac:dyDescent="0.25">
      <c r="A7" t="s">
        <v>49</v>
      </c>
      <c r="B7">
        <f>B6*25%</f>
        <v>13.75</v>
      </c>
    </row>
    <row r="8" spans="1:4" s="2" customFormat="1" x14ac:dyDescent="0.25">
      <c r="A8" s="2" t="s">
        <v>50</v>
      </c>
      <c r="B8" s="2">
        <f>B6-B7</f>
        <v>41.25</v>
      </c>
    </row>
    <row r="10" spans="1:4" x14ac:dyDescent="0.25">
      <c r="A10" t="s">
        <v>47</v>
      </c>
      <c r="B10">
        <f>B5</f>
        <v>31</v>
      </c>
    </row>
    <row r="11" spans="1:4" s="2" customFormat="1" x14ac:dyDescent="0.25">
      <c r="A11" s="2" t="s">
        <v>51</v>
      </c>
      <c r="B11" s="2">
        <f>B8+B10</f>
        <v>72.25</v>
      </c>
    </row>
    <row r="12" spans="1:4" x14ac:dyDescent="0.25">
      <c r="A12" t="s">
        <v>52</v>
      </c>
      <c r="B12">
        <v>48</v>
      </c>
    </row>
    <row r="13" spans="1:4" s="2" customFormat="1" x14ac:dyDescent="0.25">
      <c r="A13" s="2" t="s">
        <v>59</v>
      </c>
      <c r="B13" s="2">
        <f>B11-B12</f>
        <v>24.25</v>
      </c>
    </row>
    <row r="15" spans="1:4" x14ac:dyDescent="0.25">
      <c r="A15" s="2" t="s">
        <v>54</v>
      </c>
      <c r="B15">
        <f>B13*(1+3%)/(14%-3%)</f>
        <v>227.06818181818178</v>
      </c>
      <c r="D15" t="s">
        <v>55</v>
      </c>
    </row>
    <row r="16" spans="1:4" x14ac:dyDescent="0.25">
      <c r="A16" t="s">
        <v>56</v>
      </c>
      <c r="B16">
        <f>B13/B18</f>
        <v>227.06818181818144</v>
      </c>
      <c r="D16" t="s">
        <v>57</v>
      </c>
    </row>
    <row r="18" spans="1:2" x14ac:dyDescent="0.25">
      <c r="A18" t="s">
        <v>58</v>
      </c>
      <c r="B18" s="6">
        <f>(1+14%)/(1+3%)-1</f>
        <v>0.10679611650485454</v>
      </c>
    </row>
    <row r="20" spans="1:2" s="2" customFormat="1" x14ac:dyDescent="0.25">
      <c r="A20" s="2" t="s">
        <v>60</v>
      </c>
      <c r="B20" s="2">
        <f>B16-21*116%</f>
        <v>202.70818181818146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40" zoomScaleNormal="140" workbookViewId="0">
      <selection activeCell="B1" sqref="B1"/>
    </sheetView>
  </sheetViews>
  <sheetFormatPr defaultRowHeight="15" x14ac:dyDescent="0.25"/>
  <cols>
    <col min="1" max="1" width="26.140625" customWidth="1"/>
  </cols>
  <sheetData>
    <row r="1" spans="1:2" x14ac:dyDescent="0.25">
      <c r="A1" t="s">
        <v>53</v>
      </c>
      <c r="B1">
        <v>2</v>
      </c>
    </row>
    <row r="2" spans="1:2" x14ac:dyDescent="0.25">
      <c r="A2" t="s">
        <v>61</v>
      </c>
      <c r="B2" s="5">
        <v>0.1</v>
      </c>
    </row>
    <row r="3" spans="1:2" x14ac:dyDescent="0.25">
      <c r="A3" t="s">
        <v>62</v>
      </c>
      <c r="B3" s="5">
        <v>0.05</v>
      </c>
    </row>
    <row r="4" spans="1:2" x14ac:dyDescent="0.25">
      <c r="A4" t="s">
        <v>63</v>
      </c>
      <c r="B4" s="5">
        <v>0.08</v>
      </c>
    </row>
    <row r="5" spans="1:2" x14ac:dyDescent="0.25">
      <c r="A5" t="s">
        <v>64</v>
      </c>
      <c r="B5" s="5">
        <v>0.2</v>
      </c>
    </row>
    <row r="7" spans="1:2" s="2" customFormat="1" x14ac:dyDescent="0.25">
      <c r="A7" s="2" t="s">
        <v>65</v>
      </c>
      <c r="B7" s="2">
        <f>B1/B4</f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tabSelected="1" zoomScale="120" zoomScaleNormal="120" workbookViewId="0">
      <selection activeCell="E43" sqref="E43"/>
    </sheetView>
  </sheetViews>
  <sheetFormatPr defaultRowHeight="15" x14ac:dyDescent="0.25"/>
  <cols>
    <col min="1" max="1" width="28" customWidth="1"/>
  </cols>
  <sheetData>
    <row r="2" spans="1:7" x14ac:dyDescent="0.25">
      <c r="A2" t="s">
        <v>66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7" x14ac:dyDescent="0.25">
      <c r="A3" t="s">
        <v>67</v>
      </c>
      <c r="B3">
        <v>8</v>
      </c>
      <c r="C3">
        <v>5</v>
      </c>
      <c r="D3">
        <v>7</v>
      </c>
      <c r="E3">
        <v>6</v>
      </c>
      <c r="F3">
        <v>5</v>
      </c>
      <c r="G3">
        <v>0</v>
      </c>
    </row>
    <row r="4" spans="1:7" x14ac:dyDescent="0.25">
      <c r="A4" t="s">
        <v>68</v>
      </c>
      <c r="B4">
        <v>20</v>
      </c>
      <c r="C4">
        <v>20</v>
      </c>
      <c r="D4">
        <v>17</v>
      </c>
      <c r="E4">
        <v>15</v>
      </c>
      <c r="F4">
        <v>12</v>
      </c>
      <c r="G4">
        <v>10</v>
      </c>
    </row>
    <row r="5" spans="1:7" x14ac:dyDescent="0.25">
      <c r="A5" t="s">
        <v>69</v>
      </c>
      <c r="B5">
        <v>30</v>
      </c>
      <c r="C5">
        <v>30</v>
      </c>
      <c r="D5">
        <v>30</v>
      </c>
      <c r="E5">
        <v>30</v>
      </c>
      <c r="F5">
        <v>30</v>
      </c>
      <c r="G5">
        <v>30</v>
      </c>
    </row>
    <row r="6" spans="1:7" x14ac:dyDescent="0.25">
      <c r="A6" t="s">
        <v>70</v>
      </c>
      <c r="B6">
        <v>2</v>
      </c>
      <c r="C6">
        <v>3</v>
      </c>
      <c r="D6">
        <v>5</v>
      </c>
      <c r="E6">
        <v>4</v>
      </c>
      <c r="F6">
        <v>2</v>
      </c>
      <c r="G6">
        <v>0</v>
      </c>
    </row>
    <row r="7" spans="1:7" x14ac:dyDescent="0.25">
      <c r="A7" t="s">
        <v>71</v>
      </c>
      <c r="B7">
        <v>10</v>
      </c>
      <c r="C7">
        <v>10</v>
      </c>
      <c r="D7">
        <v>12</v>
      </c>
      <c r="E7">
        <v>8</v>
      </c>
      <c r="F7">
        <v>5</v>
      </c>
      <c r="G7">
        <v>0</v>
      </c>
    </row>
    <row r="9" spans="1:7" x14ac:dyDescent="0.25">
      <c r="A9" t="s">
        <v>72</v>
      </c>
      <c r="B9">
        <v>20</v>
      </c>
    </row>
    <row r="10" spans="1:7" x14ac:dyDescent="0.25">
      <c r="A10" t="s">
        <v>73</v>
      </c>
      <c r="B10">
        <v>5</v>
      </c>
    </row>
    <row r="11" spans="1:7" s="2" customFormat="1" x14ac:dyDescent="0.25">
      <c r="A11" s="2" t="s">
        <v>74</v>
      </c>
      <c r="B11" s="2">
        <v>10</v>
      </c>
    </row>
    <row r="12" spans="1:7" x14ac:dyDescent="0.25">
      <c r="A12" t="s">
        <v>75</v>
      </c>
      <c r="B12">
        <v>15</v>
      </c>
    </row>
    <row r="13" spans="1:7" x14ac:dyDescent="0.25">
      <c r="A13" t="s">
        <v>76</v>
      </c>
      <c r="B13">
        <v>14</v>
      </c>
    </row>
    <row r="15" spans="1:7" x14ac:dyDescent="0.25">
      <c r="A15" t="s">
        <v>77</v>
      </c>
      <c r="B15" s="10">
        <f>B9*(1+B3%)</f>
        <v>21.6</v>
      </c>
      <c r="C15" s="10">
        <f>B15*(1+C3%)</f>
        <v>22.680000000000003</v>
      </c>
      <c r="D15" s="10">
        <f t="shared" ref="D15:G15" si="0">C15*(1+D3%)</f>
        <v>24.267600000000005</v>
      </c>
      <c r="E15" s="10">
        <f t="shared" si="0"/>
        <v>25.723656000000005</v>
      </c>
      <c r="F15" s="10">
        <f t="shared" si="0"/>
        <v>27.009838800000008</v>
      </c>
      <c r="G15" s="10">
        <f t="shared" si="0"/>
        <v>27.009838800000008</v>
      </c>
    </row>
    <row r="16" spans="1:7" x14ac:dyDescent="0.25">
      <c r="A16" t="s">
        <v>78</v>
      </c>
      <c r="B16" s="10">
        <f>B15*B4%</f>
        <v>4.32</v>
      </c>
      <c r="C16" s="10">
        <f t="shared" ref="C16:G16" si="1">C15*C4%</f>
        <v>4.5360000000000005</v>
      </c>
      <c r="D16" s="10">
        <f t="shared" si="1"/>
        <v>4.1254920000000013</v>
      </c>
      <c r="E16" s="10">
        <f t="shared" si="1"/>
        <v>3.8585484000000005</v>
      </c>
      <c r="F16" s="10">
        <f t="shared" si="1"/>
        <v>3.2411806560000009</v>
      </c>
      <c r="G16" s="10">
        <f t="shared" si="1"/>
        <v>2.7009838800000008</v>
      </c>
    </row>
    <row r="17" spans="1:7" x14ac:dyDescent="0.25">
      <c r="A17" t="s">
        <v>79</v>
      </c>
      <c r="B17" s="10">
        <f>B16*B5%</f>
        <v>1.296</v>
      </c>
      <c r="C17" s="10">
        <f t="shared" ref="C17:G17" si="2">C16*C5%</f>
        <v>1.3608</v>
      </c>
      <c r="D17" s="10">
        <f t="shared" si="2"/>
        <v>1.2376476000000003</v>
      </c>
      <c r="E17" s="10">
        <f t="shared" si="2"/>
        <v>1.1575645200000002</v>
      </c>
      <c r="F17" s="10">
        <f t="shared" si="2"/>
        <v>0.97235419680000024</v>
      </c>
      <c r="G17" s="10">
        <f t="shared" si="2"/>
        <v>0.81029516400000023</v>
      </c>
    </row>
    <row r="18" spans="1:7" x14ac:dyDescent="0.25">
      <c r="A18" t="s">
        <v>80</v>
      </c>
      <c r="B18" s="10">
        <f>B16-B17</f>
        <v>3.024</v>
      </c>
      <c r="C18" s="10">
        <f t="shared" ref="C18:G18" si="3">C16-C17</f>
        <v>3.1752000000000002</v>
      </c>
      <c r="D18" s="10">
        <f t="shared" si="3"/>
        <v>2.887844400000001</v>
      </c>
      <c r="E18" s="10">
        <f t="shared" si="3"/>
        <v>2.7009838800000003</v>
      </c>
      <c r="F18" s="10">
        <f t="shared" si="3"/>
        <v>2.2688264592000005</v>
      </c>
      <c r="G18" s="10">
        <f t="shared" si="3"/>
        <v>1.8906887160000005</v>
      </c>
    </row>
    <row r="19" spans="1:7" x14ac:dyDescent="0.25">
      <c r="A19" t="s">
        <v>81</v>
      </c>
      <c r="B19" s="10">
        <f>B10</f>
        <v>5</v>
      </c>
      <c r="C19" s="10">
        <f>B19</f>
        <v>5</v>
      </c>
      <c r="D19" s="10">
        <f t="shared" ref="D19:G19" si="4">C19</f>
        <v>5</v>
      </c>
      <c r="E19" s="10">
        <f t="shared" si="4"/>
        <v>5</v>
      </c>
      <c r="F19" s="10">
        <f t="shared" si="4"/>
        <v>5</v>
      </c>
      <c r="G19" s="10">
        <f t="shared" si="4"/>
        <v>5</v>
      </c>
    </row>
    <row r="20" spans="1:7" x14ac:dyDescent="0.25">
      <c r="A20" t="s">
        <v>82</v>
      </c>
      <c r="B20" s="10">
        <f>B18+B19</f>
        <v>8.0240000000000009</v>
      </c>
      <c r="C20" s="10">
        <f t="shared" ref="C20:G20" si="5">C18+C19</f>
        <v>8.1752000000000002</v>
      </c>
      <c r="D20" s="10">
        <f t="shared" si="5"/>
        <v>7.8878444000000005</v>
      </c>
      <c r="E20" s="10">
        <f t="shared" si="5"/>
        <v>7.7009838800000008</v>
      </c>
      <c r="F20" s="10">
        <f t="shared" si="5"/>
        <v>7.2688264592000005</v>
      </c>
      <c r="G20" s="10">
        <f t="shared" si="5"/>
        <v>6.8906887160000005</v>
      </c>
    </row>
    <row r="21" spans="1:7" x14ac:dyDescent="0.25">
      <c r="A21" t="s">
        <v>83</v>
      </c>
      <c r="B21" s="10">
        <f>-B19</f>
        <v>-5</v>
      </c>
      <c r="C21" s="10">
        <f t="shared" ref="C21:G21" si="6">-C19</f>
        <v>-5</v>
      </c>
      <c r="D21" s="10">
        <f t="shared" si="6"/>
        <v>-5</v>
      </c>
      <c r="E21" s="10">
        <f t="shared" si="6"/>
        <v>-5</v>
      </c>
      <c r="F21" s="10">
        <f t="shared" si="6"/>
        <v>-5</v>
      </c>
      <c r="G21" s="10">
        <f t="shared" si="6"/>
        <v>-5</v>
      </c>
    </row>
    <row r="22" spans="1:7" x14ac:dyDescent="0.25">
      <c r="A22" t="s">
        <v>84</v>
      </c>
      <c r="B22" s="10">
        <f>-(B15-B9)*B6%</f>
        <v>-3.2000000000000028E-2</v>
      </c>
      <c r="C22" s="10">
        <f>-(C15-B15)*C6%</f>
        <v>-3.2400000000000054E-2</v>
      </c>
      <c r="D22" s="10">
        <f t="shared" ref="D22:G22" si="7">-(D15-C15)*D6%</f>
        <v>-7.9380000000000103E-2</v>
      </c>
      <c r="E22" s="10">
        <f t="shared" si="7"/>
        <v>-5.8242240000000008E-2</v>
      </c>
      <c r="F22" s="10">
        <f t="shared" si="7"/>
        <v>-2.572365600000005E-2</v>
      </c>
      <c r="G22" s="10">
        <f t="shared" si="7"/>
        <v>0</v>
      </c>
    </row>
    <row r="23" spans="1:7" x14ac:dyDescent="0.25">
      <c r="A23" t="s">
        <v>85</v>
      </c>
      <c r="B23" s="10">
        <f>-(B15-B9)*B7%</f>
        <v>-0.16000000000000014</v>
      </c>
      <c r="C23" s="10">
        <f>-(C15-B15)*C7%</f>
        <v>-0.10800000000000019</v>
      </c>
      <c r="D23" s="10">
        <f t="shared" ref="D23:G23" si="8">-(D15-C15)*D7%</f>
        <v>-0.19051200000000021</v>
      </c>
      <c r="E23" s="10">
        <f t="shared" si="8"/>
        <v>-0.11648448000000002</v>
      </c>
      <c r="F23" s="10">
        <f t="shared" si="8"/>
        <v>-6.4309140000000126E-2</v>
      </c>
      <c r="G23" s="10">
        <f t="shared" si="8"/>
        <v>0</v>
      </c>
    </row>
    <row r="24" spans="1:7" s="2" customFormat="1" x14ac:dyDescent="0.25">
      <c r="A24" s="2" t="s">
        <v>53</v>
      </c>
      <c r="B24" s="11">
        <f>B20+SUM(B21:B23)</f>
        <v>2.8320000000000007</v>
      </c>
      <c r="C24" s="11">
        <f t="shared" ref="C24:G24" si="9">C20+SUM(C21:C23)</f>
        <v>3.0347999999999997</v>
      </c>
      <c r="D24" s="11">
        <f t="shared" si="9"/>
        <v>2.6179524000000001</v>
      </c>
      <c r="E24" s="11">
        <f t="shared" si="9"/>
        <v>2.5262571600000001</v>
      </c>
      <c r="F24" s="11">
        <f t="shared" si="9"/>
        <v>2.1787936632000005</v>
      </c>
      <c r="G24" s="11">
        <f t="shared" si="9"/>
        <v>1.8906887160000005</v>
      </c>
    </row>
    <row r="25" spans="1:7" x14ac:dyDescent="0.25">
      <c r="A25" t="s">
        <v>86</v>
      </c>
      <c r="B25">
        <f>1/(1+14%)^B2</f>
        <v>0.8771929824561403</v>
      </c>
      <c r="C25">
        <f t="shared" ref="C25:G25" si="10">1/(1+14%)^C2</f>
        <v>0.76946752847029842</v>
      </c>
      <c r="D25">
        <f t="shared" si="10"/>
        <v>0.67497151620201612</v>
      </c>
      <c r="E25">
        <f t="shared" si="10"/>
        <v>0.59208027737018942</v>
      </c>
      <c r="F25">
        <f t="shared" si="10"/>
        <v>0.51936866435981521</v>
      </c>
      <c r="G25">
        <f t="shared" si="10"/>
        <v>0.45558654768404844</v>
      </c>
    </row>
    <row r="26" spans="1:7" x14ac:dyDescent="0.25">
      <c r="A26" t="s">
        <v>87</v>
      </c>
      <c r="B26">
        <f>SUMPRODUCT(B24:F24,B25:F25)</f>
        <v>9.2137780772631999</v>
      </c>
    </row>
    <row r="27" spans="1:7" x14ac:dyDescent="0.25">
      <c r="A27" t="s">
        <v>88</v>
      </c>
      <c r="B27">
        <f>(G24/B13%)*F25</f>
        <v>7.0140319510649585</v>
      </c>
    </row>
    <row r="28" spans="1:7" x14ac:dyDescent="0.25">
      <c r="A28" t="s">
        <v>89</v>
      </c>
      <c r="B28">
        <f>-B12</f>
        <v>-15</v>
      </c>
    </row>
    <row r="29" spans="1:7" x14ac:dyDescent="0.25">
      <c r="A29" t="s">
        <v>90</v>
      </c>
      <c r="B29">
        <f>B11</f>
        <v>10</v>
      </c>
    </row>
    <row r="30" spans="1:7" x14ac:dyDescent="0.25">
      <c r="A30" s="2" t="s">
        <v>91</v>
      </c>
      <c r="B30" s="11">
        <f>SUM(B26:B29)</f>
        <v>11.227810028328157</v>
      </c>
    </row>
    <row r="32" spans="1:7" x14ac:dyDescent="0.25">
      <c r="A32" t="s">
        <v>92</v>
      </c>
      <c r="B32" t="s">
        <v>93</v>
      </c>
    </row>
    <row r="33" spans="1:9" x14ac:dyDescent="0.25">
      <c r="A33" t="s">
        <v>94</v>
      </c>
      <c r="B33" s="10">
        <v>5</v>
      </c>
      <c r="C33" s="10">
        <f>B38</f>
        <v>5.1920000000000002</v>
      </c>
      <c r="D33" s="10">
        <f t="shared" ref="D33:G33" si="11">C38</f>
        <v>5.3324000000000007</v>
      </c>
      <c r="E33" s="10">
        <f t="shared" si="11"/>
        <v>5.6022920000000003</v>
      </c>
      <c r="F33" s="10">
        <f t="shared" si="11"/>
        <v>5.7770187200000009</v>
      </c>
      <c r="G33" s="10">
        <f t="shared" si="11"/>
        <v>5.867051516000001</v>
      </c>
    </row>
    <row r="34" spans="1:9" x14ac:dyDescent="0.25">
      <c r="A34" t="s">
        <v>83</v>
      </c>
      <c r="B34" s="10">
        <f>-B21</f>
        <v>5</v>
      </c>
      <c r="C34" s="10">
        <f t="shared" ref="C34:G34" si="12">-C21</f>
        <v>5</v>
      </c>
      <c r="D34" s="10">
        <f t="shared" si="12"/>
        <v>5</v>
      </c>
      <c r="E34" s="10">
        <f t="shared" si="12"/>
        <v>5</v>
      </c>
      <c r="F34" s="10">
        <f t="shared" si="12"/>
        <v>5</v>
      </c>
      <c r="G34" s="10">
        <f t="shared" si="12"/>
        <v>5</v>
      </c>
    </row>
    <row r="35" spans="1:9" x14ac:dyDescent="0.25">
      <c r="A35" t="s">
        <v>96</v>
      </c>
      <c r="B35" s="10">
        <f>-B19</f>
        <v>-5</v>
      </c>
      <c r="C35" s="10">
        <f t="shared" ref="C35:G35" si="13">-C19</f>
        <v>-5</v>
      </c>
      <c r="D35" s="10">
        <f t="shared" si="13"/>
        <v>-5</v>
      </c>
      <c r="E35" s="10">
        <f t="shared" si="13"/>
        <v>-5</v>
      </c>
      <c r="F35" s="10">
        <f t="shared" si="13"/>
        <v>-5</v>
      </c>
      <c r="G35" s="10">
        <f t="shared" si="13"/>
        <v>-5</v>
      </c>
      <c r="I35" t="s">
        <v>95</v>
      </c>
    </row>
    <row r="36" spans="1:9" x14ac:dyDescent="0.25">
      <c r="A36" t="s">
        <v>84</v>
      </c>
      <c r="B36" s="10">
        <f>-B22</f>
        <v>3.2000000000000028E-2</v>
      </c>
      <c r="C36" s="10">
        <f t="shared" ref="C36:G36" si="14">-C22</f>
        <v>3.2400000000000054E-2</v>
      </c>
      <c r="D36" s="10">
        <f t="shared" si="14"/>
        <v>7.9380000000000103E-2</v>
      </c>
      <c r="E36" s="10">
        <f t="shared" si="14"/>
        <v>5.8242240000000008E-2</v>
      </c>
      <c r="F36" s="10">
        <f t="shared" si="14"/>
        <v>2.572365600000005E-2</v>
      </c>
      <c r="G36" s="10">
        <f t="shared" si="14"/>
        <v>0</v>
      </c>
    </row>
    <row r="37" spans="1:9" x14ac:dyDescent="0.25">
      <c r="A37" t="s">
        <v>85</v>
      </c>
      <c r="B37" s="10">
        <f>-B23</f>
        <v>0.16000000000000014</v>
      </c>
      <c r="C37" s="10">
        <f t="shared" ref="C37:G37" si="15">-C23</f>
        <v>0.10800000000000019</v>
      </c>
      <c r="D37" s="10">
        <f t="shared" si="15"/>
        <v>0.19051200000000021</v>
      </c>
      <c r="E37" s="10">
        <f t="shared" si="15"/>
        <v>0.11648448000000002</v>
      </c>
      <c r="F37" s="10">
        <f t="shared" si="15"/>
        <v>6.4309140000000126E-2</v>
      </c>
      <c r="G37" s="10">
        <f t="shared" si="15"/>
        <v>0</v>
      </c>
    </row>
    <row r="38" spans="1:9" x14ac:dyDescent="0.25">
      <c r="A38" t="s">
        <v>97</v>
      </c>
      <c r="B38" s="10">
        <f>SUM(B33:B37)</f>
        <v>5.1920000000000002</v>
      </c>
      <c r="C38" s="10">
        <f t="shared" ref="C38:G38" si="16">SUM(C33:C37)</f>
        <v>5.3324000000000007</v>
      </c>
      <c r="D38" s="10">
        <f t="shared" si="16"/>
        <v>5.6022920000000003</v>
      </c>
      <c r="E38" s="10">
        <f t="shared" si="16"/>
        <v>5.7770187200000009</v>
      </c>
      <c r="F38" s="10">
        <f t="shared" si="16"/>
        <v>5.867051516000001</v>
      </c>
      <c r="G38" s="10">
        <f t="shared" si="16"/>
        <v>5.8670515160000001</v>
      </c>
    </row>
    <row r="40" spans="1:9" x14ac:dyDescent="0.25">
      <c r="A40" t="s">
        <v>98</v>
      </c>
      <c r="B40" s="10">
        <f>B18</f>
        <v>3.024</v>
      </c>
      <c r="C40" s="10">
        <f t="shared" ref="C40:G40" si="17">C18</f>
        <v>3.1752000000000002</v>
      </c>
      <c r="D40" s="10">
        <f t="shared" si="17"/>
        <v>2.887844400000001</v>
      </c>
      <c r="E40" s="10">
        <f t="shared" si="17"/>
        <v>2.7009838800000003</v>
      </c>
      <c r="F40" s="10">
        <f t="shared" si="17"/>
        <v>2.2688264592000005</v>
      </c>
      <c r="G40" s="10">
        <f t="shared" si="17"/>
        <v>1.8906887160000005</v>
      </c>
    </row>
    <row r="41" spans="1:9" x14ac:dyDescent="0.25">
      <c r="A41" t="s">
        <v>99</v>
      </c>
      <c r="B41">
        <f>-B33*$B$13%</f>
        <v>-0.70000000000000007</v>
      </c>
      <c r="C41">
        <f t="shared" ref="C41:G41" si="18">-C33*$B$13%</f>
        <v>-0.72688000000000008</v>
      </c>
      <c r="D41">
        <f t="shared" si="18"/>
        <v>-0.7465360000000002</v>
      </c>
      <c r="E41">
        <f t="shared" si="18"/>
        <v>-0.78432088000000011</v>
      </c>
      <c r="F41">
        <f t="shared" si="18"/>
        <v>-0.80878262080000018</v>
      </c>
      <c r="G41">
        <f t="shared" si="18"/>
        <v>-0.82138721224000022</v>
      </c>
    </row>
    <row r="42" spans="1:9" x14ac:dyDescent="0.25">
      <c r="A42" t="s">
        <v>100</v>
      </c>
      <c r="B42" s="10">
        <f>B40+B41</f>
        <v>2.3239999999999998</v>
      </c>
      <c r="C42" s="10">
        <f t="shared" ref="C42:G42" si="19">C40+C41</f>
        <v>2.4483200000000003</v>
      </c>
      <c r="D42" s="10">
        <f t="shared" si="19"/>
        <v>2.1413084000000007</v>
      </c>
      <c r="E42" s="10">
        <f t="shared" si="19"/>
        <v>1.9166630000000002</v>
      </c>
      <c r="F42" s="10">
        <f t="shared" si="19"/>
        <v>1.4600438384000003</v>
      </c>
      <c r="G42" s="10">
        <f t="shared" si="19"/>
        <v>1.0693015037600002</v>
      </c>
    </row>
    <row r="43" spans="1:9" x14ac:dyDescent="0.25">
      <c r="A43" t="s">
        <v>87</v>
      </c>
      <c r="B43">
        <f>SUMPRODUCT(B42:F42,B25:F25)</f>
        <v>7.2609407868583506</v>
      </c>
    </row>
    <row r="44" spans="1:9" x14ac:dyDescent="0.25">
      <c r="A44" t="s">
        <v>88</v>
      </c>
      <c r="B44">
        <f>(G42/B13%)*F25</f>
        <v>3.9668692414698086</v>
      </c>
    </row>
    <row r="45" spans="1:9" x14ac:dyDescent="0.25">
      <c r="A45" t="s">
        <v>101</v>
      </c>
      <c r="B45" s="10">
        <f>B33</f>
        <v>5</v>
      </c>
    </row>
    <row r="46" spans="1:9" x14ac:dyDescent="0.25">
      <c r="A46" t="s">
        <v>89</v>
      </c>
      <c r="B46" s="10">
        <f>B28</f>
        <v>-15</v>
      </c>
    </row>
    <row r="47" spans="1:9" x14ac:dyDescent="0.25">
      <c r="A47" t="s">
        <v>90</v>
      </c>
      <c r="B47">
        <f>B29</f>
        <v>10</v>
      </c>
    </row>
    <row r="48" spans="1:9" x14ac:dyDescent="0.25">
      <c r="A48" s="2" t="s">
        <v>91</v>
      </c>
      <c r="B48" s="11">
        <f>SUM(B43:B47)</f>
        <v>11.227810028328157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CA890E00CDE43A80048227272DEC7" ma:contentTypeVersion="3" ma:contentTypeDescription="Create a new document." ma:contentTypeScope="" ma:versionID="629522c7d58b8dd16d35bf73eb5d2145">
  <xsd:schema xmlns:xsd="http://www.w3.org/2001/XMLSchema" xmlns:xs="http://www.w3.org/2001/XMLSchema" xmlns:p="http://schemas.microsoft.com/office/2006/metadata/properties" xmlns:ns2="02c9ef79-c414-455e-8b8f-0c91b69265d0" targetNamespace="http://schemas.microsoft.com/office/2006/metadata/properties" ma:root="true" ma:fieldsID="39e3e53f338f2528584df321a08c8b99" ns2:_="">
    <xsd:import namespace="02c9ef79-c414-455e-8b8f-0c91b69265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9ef79-c414-455e-8b8f-0c91b69265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B67473-968A-478E-8655-21AB6E8C8EF4}"/>
</file>

<file path=customXml/itemProps2.xml><?xml version="1.0" encoding="utf-8"?>
<ds:datastoreItem xmlns:ds="http://schemas.openxmlformats.org/officeDocument/2006/customXml" ds:itemID="{374A3B74-95E9-4DC0-B005-E2ED8766AFB2}"/>
</file>

<file path=customXml/itemProps3.xml><?xml version="1.0" encoding="utf-8"?>
<ds:datastoreItem xmlns:ds="http://schemas.openxmlformats.org/officeDocument/2006/customXml" ds:itemID="{01AB24CF-CF8F-41E5-8555-D3DB314A72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usitgu</dc:creator>
  <cp:lastModifiedBy>usitgu</cp:lastModifiedBy>
  <dcterms:created xsi:type="dcterms:W3CDTF">2023-12-02T07:11:37Z</dcterms:created>
  <dcterms:modified xsi:type="dcterms:W3CDTF">2023-12-02T10:19:22Z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0x010100F7ECA890E00CDE43A80048227272DEC7</vt:lpwstr>
  </property>
</Properties>
</file>