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itgu\Documents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0" i="1" l="1"/>
  <c r="E108" i="1"/>
  <c r="E105" i="1"/>
  <c r="E106" i="1"/>
  <c r="E107" i="1"/>
  <c r="E104" i="1"/>
  <c r="D108" i="1"/>
  <c r="D107" i="1"/>
  <c r="D106" i="1"/>
  <c r="D105" i="1"/>
  <c r="D104" i="1"/>
  <c r="C107" i="1"/>
  <c r="C106" i="1"/>
  <c r="C105" i="1"/>
  <c r="C104" i="1"/>
  <c r="C101" i="1"/>
  <c r="C97" i="1"/>
  <c r="I96" i="1"/>
  <c r="E96" i="1"/>
  <c r="F96" i="1"/>
  <c r="G96" i="1"/>
  <c r="H96" i="1"/>
  <c r="D96" i="1"/>
  <c r="C96" i="1"/>
  <c r="C93" i="1"/>
  <c r="C90" i="1"/>
  <c r="C89" i="1"/>
  <c r="C85" i="1"/>
  <c r="C83" i="1"/>
  <c r="C81" i="1"/>
  <c r="D67" i="1"/>
  <c r="C67" i="1"/>
  <c r="D65" i="1"/>
  <c r="D51" i="1"/>
  <c r="D52" i="1"/>
  <c r="C65" i="1"/>
  <c r="C64" i="1"/>
  <c r="D64" i="1"/>
  <c r="C48" i="1"/>
  <c r="D47" i="1"/>
  <c r="E47" i="1"/>
  <c r="C47" i="1"/>
  <c r="C51" i="1"/>
  <c r="F45" i="1"/>
  <c r="E46" i="1" s="1"/>
  <c r="C42" i="1"/>
  <c r="C37" i="1"/>
  <c r="D34" i="1"/>
  <c r="D29" i="1"/>
  <c r="E29" i="1" s="1"/>
  <c r="D24" i="1"/>
  <c r="E24" i="1"/>
  <c r="F24" i="1"/>
  <c r="G24" i="1"/>
  <c r="H24" i="1"/>
  <c r="I24" i="1"/>
  <c r="J24" i="1"/>
  <c r="K24" i="1"/>
  <c r="L24" i="1"/>
  <c r="C24" i="1"/>
  <c r="L23" i="1"/>
  <c r="K23" i="1"/>
  <c r="J23" i="1"/>
  <c r="I23" i="1"/>
  <c r="H23" i="1"/>
  <c r="G23" i="1"/>
  <c r="F23" i="1"/>
  <c r="E23" i="1"/>
  <c r="D23" i="1"/>
  <c r="C23" i="1"/>
  <c r="C20" i="1"/>
  <c r="D19" i="1"/>
  <c r="E19" i="1"/>
  <c r="F19" i="1"/>
  <c r="G19" i="1"/>
  <c r="H19" i="1"/>
  <c r="I19" i="1"/>
  <c r="J19" i="1"/>
  <c r="K19" i="1"/>
  <c r="L19" i="1"/>
  <c r="C19" i="1"/>
  <c r="L18" i="1"/>
  <c r="D18" i="1"/>
  <c r="E18" i="1"/>
  <c r="F18" i="1"/>
  <c r="G18" i="1"/>
  <c r="H18" i="1"/>
  <c r="I18" i="1"/>
  <c r="J18" i="1"/>
  <c r="K18" i="1"/>
  <c r="C18" i="1"/>
  <c r="D14" i="1"/>
  <c r="E14" i="1"/>
  <c r="F14" i="1" s="1"/>
  <c r="C10" i="1"/>
  <c r="D9" i="1"/>
  <c r="E9" i="1"/>
  <c r="F9" i="1"/>
  <c r="G9" i="1"/>
  <c r="C9" i="1"/>
  <c r="C4" i="1"/>
  <c r="C3" i="1"/>
  <c r="F29" i="1" l="1"/>
  <c r="E34" i="1"/>
  <c r="C25" i="1"/>
  <c r="G14" i="1"/>
  <c r="H14" i="1" s="1"/>
  <c r="C15" i="1"/>
  <c r="G29" i="1" l="1"/>
  <c r="F34" i="1"/>
  <c r="H29" i="1" l="1"/>
  <c r="G34" i="1"/>
  <c r="H34" i="1" s="1"/>
  <c r="C30" i="1"/>
  <c r="C35" i="1" l="1"/>
</calcChain>
</file>

<file path=xl/sharedStrings.xml><?xml version="1.0" encoding="utf-8"?>
<sst xmlns="http://schemas.openxmlformats.org/spreadsheetml/2006/main" count="89" uniqueCount="64">
  <si>
    <t>Coupon</t>
  </si>
  <si>
    <t>Current price</t>
  </si>
  <si>
    <t>Required rate of return</t>
  </si>
  <si>
    <t>Post tax cost of debt</t>
  </si>
  <si>
    <t>Bonds = loan note = debenture</t>
  </si>
  <si>
    <t>Period</t>
  </si>
  <si>
    <t>CF</t>
  </si>
  <si>
    <t>DF @10%</t>
  </si>
  <si>
    <t>MV of a  BOND</t>
  </si>
  <si>
    <t>IRR</t>
  </si>
  <si>
    <t>DF @YTM/2</t>
  </si>
  <si>
    <t>Price (0)</t>
  </si>
  <si>
    <t>Investor chooses not to convert</t>
  </si>
  <si>
    <t>period</t>
  </si>
  <si>
    <t>Cost of debt (after tax)</t>
  </si>
  <si>
    <t>Investor chooses to convert</t>
  </si>
  <si>
    <t>Share price at year 5</t>
  </si>
  <si>
    <t>Nr of shares</t>
  </si>
  <si>
    <t>7 (1)</t>
  </si>
  <si>
    <t>Forecast earnings year 1</t>
  </si>
  <si>
    <t>Average P/E industry</t>
  </si>
  <si>
    <t>Company's value</t>
  </si>
  <si>
    <t>7 (2)</t>
  </si>
  <si>
    <t>Dividend</t>
  </si>
  <si>
    <t>TV</t>
  </si>
  <si>
    <t>cost of equity (current)</t>
  </si>
  <si>
    <t>Rf</t>
  </si>
  <si>
    <t>ERP</t>
  </si>
  <si>
    <t>Beta</t>
  </si>
  <si>
    <t>CAPM</t>
  </si>
  <si>
    <t>DF @cost of equity</t>
  </si>
  <si>
    <t>PV of future CF</t>
  </si>
  <si>
    <t>7 (3)</t>
  </si>
  <si>
    <t>WACC (current)</t>
  </si>
  <si>
    <t>WACC to be used for valuation purposes</t>
  </si>
  <si>
    <t>Debt</t>
  </si>
  <si>
    <t>Currently</t>
  </si>
  <si>
    <t>Future</t>
  </si>
  <si>
    <t>Equity</t>
  </si>
  <si>
    <t>Cost</t>
  </si>
  <si>
    <t>Market values (weights)</t>
  </si>
  <si>
    <t>WACC</t>
  </si>
  <si>
    <t>Div (0), cents</t>
  </si>
  <si>
    <t>Ex div MV share</t>
  </si>
  <si>
    <t>Ex div MV pref share</t>
  </si>
  <si>
    <t>Ex interest MV bond</t>
  </si>
  <si>
    <t>Interest rate</t>
  </si>
  <si>
    <t>tax rate</t>
  </si>
  <si>
    <t>Ordinary shares</t>
  </si>
  <si>
    <t xml:space="preserve">Div </t>
  </si>
  <si>
    <t>Average growth rate</t>
  </si>
  <si>
    <t>Price of share</t>
  </si>
  <si>
    <t>Cost of equity</t>
  </si>
  <si>
    <t>nr of shares, m</t>
  </si>
  <si>
    <t>MV of equity</t>
  </si>
  <si>
    <t>Pref shares</t>
  </si>
  <si>
    <t>MV of pref shares</t>
  </si>
  <si>
    <t>Cost of pref shares</t>
  </si>
  <si>
    <t>Loan notes</t>
  </si>
  <si>
    <t>MV of a bond, m</t>
  </si>
  <si>
    <t>Cost of bonds</t>
  </si>
  <si>
    <t>Bank loan</t>
  </si>
  <si>
    <t>MV</t>
  </si>
  <si>
    <t>Cost of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</si>
</sst>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0" fontId="0" fillId="0" borderId="0" xfId="0" applyAlignment="1">
      <alignment horizontal="left" indent="4"/>
    </xf>
    <xf numFmtId="165" fontId="0" fillId="0" borderId="0" xfId="0" applyNumberFormat="1"/>
    <xf numFmtId="164" fontId="2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topLeftCell="A43" zoomScale="150" zoomScaleNormal="150" workbookViewId="0">
      <selection activeCell="D117" sqref="D117"/>
    </sheetView>
  </sheetViews>
  <sheetFormatPr defaultRowHeight="15" x14ac:dyDescent="0.25"/>
  <cols>
    <col min="1" max="1" width="4.5703125" customWidth="1"/>
    <col min="2" max="2" width="26.85546875" customWidth="1"/>
  </cols>
  <sheetData>
    <row r="1" spans="1:8" x14ac:dyDescent="0.25">
      <c r="A1">
        <v>1</v>
      </c>
      <c r="B1" t="s">
        <v>0</v>
      </c>
      <c r="C1">
        <v>10</v>
      </c>
    </row>
    <row r="2" spans="1:8" x14ac:dyDescent="0.25">
      <c r="B2" t="s">
        <v>1</v>
      </c>
      <c r="C2">
        <v>80</v>
      </c>
    </row>
    <row r="3" spans="1:8" x14ac:dyDescent="0.25">
      <c r="B3" t="s">
        <v>2</v>
      </c>
      <c r="C3" s="2">
        <f>C1/C2</f>
        <v>0.125</v>
      </c>
    </row>
    <row r="4" spans="1:8" x14ac:dyDescent="0.25">
      <c r="B4" t="s">
        <v>3</v>
      </c>
      <c r="C4" s="2">
        <f>C3*(1-30%)</f>
        <v>8.7499999999999994E-2</v>
      </c>
    </row>
    <row r="6" spans="1:8" x14ac:dyDescent="0.25">
      <c r="A6">
        <v>2</v>
      </c>
      <c r="B6" t="s">
        <v>4</v>
      </c>
    </row>
    <row r="7" spans="1:8" x14ac:dyDescent="0.25">
      <c r="B7" t="s">
        <v>5</v>
      </c>
      <c r="C7">
        <v>1</v>
      </c>
      <c r="D7">
        <v>2</v>
      </c>
      <c r="E7">
        <v>3</v>
      </c>
      <c r="F7">
        <v>4</v>
      </c>
      <c r="G7">
        <v>5</v>
      </c>
    </row>
    <row r="8" spans="1:8" x14ac:dyDescent="0.25">
      <c r="B8" t="s">
        <v>6</v>
      </c>
      <c r="C8">
        <v>12</v>
      </c>
      <c r="D8">
        <v>12</v>
      </c>
      <c r="E8">
        <v>12</v>
      </c>
      <c r="F8">
        <v>12</v>
      </c>
      <c r="G8">
        <v>112</v>
      </c>
    </row>
    <row r="9" spans="1:8" x14ac:dyDescent="0.25">
      <c r="B9" t="s">
        <v>7</v>
      </c>
      <c r="C9">
        <f>1/(1+10%)^C7</f>
        <v>0.90909090909090906</v>
      </c>
      <c r="D9">
        <f t="shared" ref="D9:G9" si="0">1/(1+10%)^D7</f>
        <v>0.82644628099173545</v>
      </c>
      <c r="E9">
        <f t="shared" si="0"/>
        <v>0.75131480090157754</v>
      </c>
      <c r="F9">
        <f t="shared" si="0"/>
        <v>0.68301345536507052</v>
      </c>
      <c r="G9">
        <f t="shared" si="0"/>
        <v>0.62092132305915493</v>
      </c>
    </row>
    <row r="10" spans="1:8" x14ac:dyDescent="0.25">
      <c r="B10" t="s">
        <v>8</v>
      </c>
      <c r="C10">
        <f>SUMPRODUCT(C9:G9,C8:G8)</f>
        <v>107.58157353881687</v>
      </c>
    </row>
    <row r="12" spans="1:8" x14ac:dyDescent="0.25">
      <c r="A12">
        <v>3</v>
      </c>
    </row>
    <row r="13" spans="1:8" x14ac:dyDescent="0.25">
      <c r="B13" t="s">
        <v>5</v>
      </c>
      <c r="C13">
        <v>0</v>
      </c>
      <c r="D13">
        <v>1</v>
      </c>
      <c r="E13">
        <v>2</v>
      </c>
      <c r="F13">
        <v>3</v>
      </c>
      <c r="G13">
        <v>4</v>
      </c>
      <c r="H13">
        <v>5</v>
      </c>
    </row>
    <row r="14" spans="1:8" x14ac:dyDescent="0.25">
      <c r="B14" t="s">
        <v>6</v>
      </c>
      <c r="C14">
        <v>107.59</v>
      </c>
      <c r="D14">
        <f>-12*(1-30%)</f>
        <v>-8.3999999999999986</v>
      </c>
      <c r="E14">
        <f>D14</f>
        <v>-8.3999999999999986</v>
      </c>
      <c r="F14">
        <f t="shared" ref="F14:G14" si="1">E14</f>
        <v>-8.3999999999999986</v>
      </c>
      <c r="G14">
        <f t="shared" si="1"/>
        <v>-8.3999999999999986</v>
      </c>
      <c r="H14">
        <f>G14-100</f>
        <v>-108.4</v>
      </c>
    </row>
    <row r="15" spans="1:8" x14ac:dyDescent="0.25">
      <c r="B15" t="s">
        <v>9</v>
      </c>
      <c r="C15" s="5">
        <f>IRR(C14:H14)</f>
        <v>6.5701258653012129E-2</v>
      </c>
    </row>
    <row r="17" spans="1:12" x14ac:dyDescent="0.25">
      <c r="A17">
        <v>4</v>
      </c>
      <c r="B17" t="s">
        <v>5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</row>
    <row r="18" spans="1:12" x14ac:dyDescent="0.25">
      <c r="B18" t="s">
        <v>6</v>
      </c>
      <c r="C18">
        <f>100/2</f>
        <v>50</v>
      </c>
      <c r="D18">
        <f t="shared" ref="D18:K18" si="2">100/2</f>
        <v>50</v>
      </c>
      <c r="E18">
        <f t="shared" si="2"/>
        <v>50</v>
      </c>
      <c r="F18">
        <f t="shared" si="2"/>
        <v>50</v>
      </c>
      <c r="G18">
        <f t="shared" si="2"/>
        <v>50</v>
      </c>
      <c r="H18">
        <f t="shared" si="2"/>
        <v>50</v>
      </c>
      <c r="I18">
        <f t="shared" si="2"/>
        <v>50</v>
      </c>
      <c r="J18">
        <f t="shared" si="2"/>
        <v>50</v>
      </c>
      <c r="K18">
        <f t="shared" si="2"/>
        <v>50</v>
      </c>
      <c r="L18">
        <f>100/2+1000</f>
        <v>1050</v>
      </c>
    </row>
    <row r="19" spans="1:12" x14ac:dyDescent="0.25">
      <c r="B19" t="s">
        <v>10</v>
      </c>
      <c r="C19">
        <f>1/(1+7.5%)^C17</f>
        <v>0.93023255813953487</v>
      </c>
      <c r="D19">
        <f t="shared" ref="D19:L19" si="3">1/(1+7.5%)^D17</f>
        <v>0.86533261222282321</v>
      </c>
      <c r="E19">
        <f t="shared" si="3"/>
        <v>0.80496056950960304</v>
      </c>
      <c r="F19">
        <f t="shared" si="3"/>
        <v>0.7488005297763749</v>
      </c>
      <c r="G19">
        <f t="shared" si="3"/>
        <v>0.69655863235011617</v>
      </c>
      <c r="H19">
        <f t="shared" si="3"/>
        <v>0.64796151846522443</v>
      </c>
      <c r="I19">
        <f t="shared" si="3"/>
        <v>0.60275490089788319</v>
      </c>
      <c r="J19">
        <f t="shared" si="3"/>
        <v>0.56070223339337966</v>
      </c>
      <c r="K19">
        <f t="shared" si="3"/>
        <v>0.52158347292407414</v>
      </c>
      <c r="L19">
        <f t="shared" si="3"/>
        <v>0.48519392830146441</v>
      </c>
    </row>
    <row r="20" spans="1:12" x14ac:dyDescent="0.25">
      <c r="B20" t="s">
        <v>11</v>
      </c>
      <c r="C20">
        <f>SUMPRODUCT(C18:L18,C19:L19)</f>
        <v>828.39797610048822</v>
      </c>
    </row>
    <row r="22" spans="1:12" x14ac:dyDescent="0.25">
      <c r="A22">
        <v>4</v>
      </c>
      <c r="B22" t="s">
        <v>5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</row>
    <row r="23" spans="1:12" x14ac:dyDescent="0.25">
      <c r="B23" t="s">
        <v>6</v>
      </c>
      <c r="C23">
        <f>100/2</f>
        <v>50</v>
      </c>
      <c r="D23">
        <f t="shared" ref="D23:K23" si="4">100/2</f>
        <v>50</v>
      </c>
      <c r="E23">
        <f t="shared" si="4"/>
        <v>50</v>
      </c>
      <c r="F23">
        <f t="shared" si="4"/>
        <v>50</v>
      </c>
      <c r="G23">
        <f t="shared" si="4"/>
        <v>50</v>
      </c>
      <c r="H23">
        <f t="shared" si="4"/>
        <v>50</v>
      </c>
      <c r="I23">
        <f t="shared" si="4"/>
        <v>50</v>
      </c>
      <c r="J23">
        <f t="shared" si="4"/>
        <v>50</v>
      </c>
      <c r="K23">
        <f t="shared" si="4"/>
        <v>50</v>
      </c>
      <c r="L23">
        <f>100/2+1000</f>
        <v>1050</v>
      </c>
    </row>
    <row r="24" spans="1:12" x14ac:dyDescent="0.25">
      <c r="B24" t="s">
        <v>10</v>
      </c>
      <c r="C24">
        <f>1/(1+6%)^C22</f>
        <v>0.94339622641509424</v>
      </c>
      <c r="D24">
        <f t="shared" ref="D24:L24" si="5">1/(1+6%)^D22</f>
        <v>0.88999644001423983</v>
      </c>
      <c r="E24">
        <f t="shared" si="5"/>
        <v>0.8396192830323016</v>
      </c>
      <c r="F24">
        <f t="shared" si="5"/>
        <v>0.79209366323802044</v>
      </c>
      <c r="G24">
        <f t="shared" si="5"/>
        <v>0.74725817286605689</v>
      </c>
      <c r="H24">
        <f t="shared" si="5"/>
        <v>0.70496054043967626</v>
      </c>
      <c r="I24">
        <f t="shared" si="5"/>
        <v>0.66505711362233599</v>
      </c>
      <c r="J24">
        <f t="shared" si="5"/>
        <v>0.62741237134182648</v>
      </c>
      <c r="K24">
        <f t="shared" si="5"/>
        <v>0.59189846353002495</v>
      </c>
      <c r="L24">
        <f t="shared" si="5"/>
        <v>0.55839477691511785</v>
      </c>
    </row>
    <row r="25" spans="1:12" x14ac:dyDescent="0.25">
      <c r="B25" t="s">
        <v>11</v>
      </c>
      <c r="C25">
        <f>SUMPRODUCT(C23:L23,C24:L24)</f>
        <v>926.39912948585265</v>
      </c>
    </row>
    <row r="27" spans="1:12" x14ac:dyDescent="0.25">
      <c r="A27">
        <v>5</v>
      </c>
      <c r="B27" t="s">
        <v>12</v>
      </c>
    </row>
    <row r="28" spans="1:12" x14ac:dyDescent="0.25">
      <c r="B28" t="s">
        <v>13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</row>
    <row r="29" spans="1:12" x14ac:dyDescent="0.25">
      <c r="B29" t="s">
        <v>6</v>
      </c>
      <c r="C29">
        <v>85</v>
      </c>
      <c r="D29">
        <f>-8*(1-30%)</f>
        <v>-5.6</v>
      </c>
      <c r="E29">
        <f>D29</f>
        <v>-5.6</v>
      </c>
      <c r="F29">
        <f t="shared" ref="F29:G29" si="6">E29</f>
        <v>-5.6</v>
      </c>
      <c r="G29">
        <f t="shared" si="6"/>
        <v>-5.6</v>
      </c>
      <c r="H29">
        <f>G29-105</f>
        <v>-110.6</v>
      </c>
    </row>
    <row r="30" spans="1:12" s="6" customFormat="1" x14ac:dyDescent="0.25">
      <c r="B30" s="6" t="s">
        <v>14</v>
      </c>
      <c r="C30" s="7">
        <f>IRR(C29:H29)</f>
        <v>0.10410901065080558</v>
      </c>
    </row>
    <row r="32" spans="1:12" x14ac:dyDescent="0.25">
      <c r="B32" t="s">
        <v>15</v>
      </c>
    </row>
    <row r="33" spans="1:8" x14ac:dyDescent="0.25">
      <c r="B33" t="s">
        <v>13</v>
      </c>
      <c r="C33">
        <v>0</v>
      </c>
      <c r="D33">
        <v>1</v>
      </c>
      <c r="E33">
        <v>2</v>
      </c>
      <c r="F33">
        <v>3</v>
      </c>
      <c r="G33">
        <v>4</v>
      </c>
      <c r="H33">
        <v>5</v>
      </c>
    </row>
    <row r="34" spans="1:8" x14ac:dyDescent="0.25">
      <c r="B34" t="s">
        <v>6</v>
      </c>
      <c r="C34">
        <v>85</v>
      </c>
      <c r="D34">
        <f>D29</f>
        <v>-5.6</v>
      </c>
      <c r="E34">
        <f t="shared" ref="E34:G34" si="7">E29</f>
        <v>-5.6</v>
      </c>
      <c r="F34">
        <f t="shared" si="7"/>
        <v>-5.6</v>
      </c>
      <c r="G34">
        <f t="shared" si="7"/>
        <v>-5.6</v>
      </c>
      <c r="H34">
        <f>-C38*C37+G34</f>
        <v>-117.804138456</v>
      </c>
    </row>
    <row r="35" spans="1:8" s="8" customFormat="1" x14ac:dyDescent="0.25">
      <c r="B35" s="8" t="s">
        <v>14</v>
      </c>
      <c r="C35" s="9">
        <f>IRR(C34:H34)</f>
        <v>0.1166024408128834</v>
      </c>
    </row>
    <row r="36" spans="1:8" x14ac:dyDescent="0.25">
      <c r="C36" s="4"/>
    </row>
    <row r="37" spans="1:8" x14ac:dyDescent="0.25">
      <c r="B37" t="s">
        <v>16</v>
      </c>
      <c r="C37">
        <f>4*(1+7%)^5</f>
        <v>5.6102069228000007</v>
      </c>
    </row>
    <row r="38" spans="1:8" x14ac:dyDescent="0.25">
      <c r="B38" t="s">
        <v>17</v>
      </c>
      <c r="C38">
        <v>20</v>
      </c>
    </row>
    <row r="40" spans="1:8" x14ac:dyDescent="0.25">
      <c r="A40" t="s">
        <v>18</v>
      </c>
      <c r="B40" t="s">
        <v>19</v>
      </c>
      <c r="C40">
        <v>3000</v>
      </c>
    </row>
    <row r="41" spans="1:8" x14ac:dyDescent="0.25">
      <c r="B41" t="s">
        <v>20</v>
      </c>
      <c r="C41">
        <v>5</v>
      </c>
    </row>
    <row r="42" spans="1:8" s="6" customFormat="1" x14ac:dyDescent="0.25">
      <c r="B42" s="6" t="s">
        <v>21</v>
      </c>
      <c r="C42" s="6">
        <f>C40*C41</f>
        <v>15000</v>
      </c>
    </row>
    <row r="44" spans="1:8" x14ac:dyDescent="0.25">
      <c r="A44" t="s">
        <v>22</v>
      </c>
      <c r="B44" t="s">
        <v>5</v>
      </c>
      <c r="C44">
        <v>1</v>
      </c>
      <c r="D44">
        <v>2</v>
      </c>
      <c r="E44">
        <v>3</v>
      </c>
      <c r="F44">
        <v>4</v>
      </c>
    </row>
    <row r="45" spans="1:8" x14ac:dyDescent="0.25">
      <c r="B45" t="s">
        <v>23</v>
      </c>
      <c r="C45" s="10">
        <v>0</v>
      </c>
      <c r="D45" s="10">
        <v>500</v>
      </c>
      <c r="E45" s="10">
        <v>1000</v>
      </c>
      <c r="F45" s="10">
        <f>E45*(1+3%)</f>
        <v>1030</v>
      </c>
    </row>
    <row r="46" spans="1:8" x14ac:dyDescent="0.25">
      <c r="B46" t="s">
        <v>24</v>
      </c>
      <c r="C46" s="10"/>
      <c r="D46" s="10"/>
      <c r="E46" s="10">
        <f>F45/(C51-3%)</f>
        <v>11444.444444444442</v>
      </c>
      <c r="F46" s="10"/>
    </row>
    <row r="47" spans="1:8" x14ac:dyDescent="0.25">
      <c r="B47" t="s">
        <v>30</v>
      </c>
      <c r="C47">
        <f>1/(1+$C51)^C44</f>
        <v>0.89285714285714279</v>
      </c>
      <c r="D47">
        <f t="shared" ref="D47:F47" si="8">1/(1+$C51)^D44</f>
        <v>0.79719387755102034</v>
      </c>
      <c r="E47">
        <f t="shared" si="8"/>
        <v>0.71178024781341087</v>
      </c>
    </row>
    <row r="48" spans="1:8" s="6" customFormat="1" x14ac:dyDescent="0.25">
      <c r="B48" s="6" t="s">
        <v>31</v>
      </c>
      <c r="C48" s="11">
        <f>SUMPRODUCT(C45:E45,C47:E47)+E46*E47</f>
        <v>9256.3066893423984</v>
      </c>
    </row>
    <row r="50" spans="1:5" x14ac:dyDescent="0.25">
      <c r="C50" t="s">
        <v>36</v>
      </c>
      <c r="D50" t="s">
        <v>37</v>
      </c>
    </row>
    <row r="51" spans="1:5" x14ac:dyDescent="0.25">
      <c r="B51" s="6" t="s">
        <v>25</v>
      </c>
      <c r="C51" s="7">
        <f>C52+C53*C54</f>
        <v>0.12000000000000002</v>
      </c>
      <c r="D51" s="7">
        <f>D52+D53*D54</f>
        <v>0.14000000000000001</v>
      </c>
      <c r="E51" t="s">
        <v>29</v>
      </c>
    </row>
    <row r="52" spans="1:5" x14ac:dyDescent="0.25">
      <c r="B52" t="s">
        <v>26</v>
      </c>
      <c r="C52" s="3">
        <v>0.04</v>
      </c>
      <c r="D52" s="3">
        <f>C52</f>
        <v>0.04</v>
      </c>
    </row>
    <row r="53" spans="1:5" x14ac:dyDescent="0.25">
      <c r="B53" t="s">
        <v>27</v>
      </c>
      <c r="C53" s="3">
        <v>0.05</v>
      </c>
      <c r="D53" s="3">
        <v>0.05</v>
      </c>
    </row>
    <row r="54" spans="1:5" x14ac:dyDescent="0.25">
      <c r="B54" t="s">
        <v>28</v>
      </c>
      <c r="C54">
        <v>1.6</v>
      </c>
      <c r="D54">
        <v>2</v>
      </c>
    </row>
    <row r="56" spans="1:5" x14ac:dyDescent="0.25">
      <c r="A56" t="s">
        <v>32</v>
      </c>
      <c r="B56" t="s">
        <v>33</v>
      </c>
    </row>
    <row r="57" spans="1:5" x14ac:dyDescent="0.25">
      <c r="B57" t="s">
        <v>34</v>
      </c>
    </row>
    <row r="59" spans="1:5" x14ac:dyDescent="0.25">
      <c r="B59" t="s">
        <v>40</v>
      </c>
    </row>
    <row r="60" spans="1:5" x14ac:dyDescent="0.25">
      <c r="B60" s="12" t="s">
        <v>35</v>
      </c>
      <c r="C60" s="3">
        <v>0.25</v>
      </c>
      <c r="D60" s="3">
        <v>0.4</v>
      </c>
    </row>
    <row r="61" spans="1:5" x14ac:dyDescent="0.25">
      <c r="B61" s="12" t="s">
        <v>38</v>
      </c>
      <c r="C61" s="3">
        <v>0.75</v>
      </c>
      <c r="D61" s="3">
        <v>0.6</v>
      </c>
    </row>
    <row r="63" spans="1:5" x14ac:dyDescent="0.25">
      <c r="B63" t="s">
        <v>39</v>
      </c>
    </row>
    <row r="64" spans="1:5" x14ac:dyDescent="0.25">
      <c r="B64" s="12" t="s">
        <v>35</v>
      </c>
      <c r="C64" s="4">
        <f>5%*(1-20%)</f>
        <v>4.0000000000000008E-2</v>
      </c>
      <c r="D64" s="2">
        <f>6%*(1-20%)</f>
        <v>4.8000000000000001E-2</v>
      </c>
    </row>
    <row r="65" spans="1:7" x14ac:dyDescent="0.25">
      <c r="B65" s="12" t="s">
        <v>38</v>
      </c>
      <c r="C65" s="4">
        <f>C51</f>
        <v>0.12000000000000002</v>
      </c>
      <c r="D65" s="4">
        <f>D51</f>
        <v>0.14000000000000001</v>
      </c>
    </row>
    <row r="67" spans="1:7" s="6" customFormat="1" x14ac:dyDescent="0.25">
      <c r="B67" s="6" t="s">
        <v>41</v>
      </c>
      <c r="C67" s="7">
        <f>C60*C64+C61*C65</f>
        <v>0.10000000000000003</v>
      </c>
      <c r="D67" s="7">
        <f>D60*D64+D61*D65</f>
        <v>0.10320000000000001</v>
      </c>
    </row>
    <row r="70" spans="1:7" x14ac:dyDescent="0.25">
      <c r="A70">
        <v>8</v>
      </c>
      <c r="B70" t="s">
        <v>43</v>
      </c>
      <c r="C70">
        <v>5.3</v>
      </c>
    </row>
    <row r="71" spans="1:7" x14ac:dyDescent="0.25">
      <c r="B71" t="s">
        <v>42</v>
      </c>
      <c r="C71">
        <v>46.3</v>
      </c>
    </row>
    <row r="72" spans="1:7" x14ac:dyDescent="0.25">
      <c r="B72" t="s">
        <v>44</v>
      </c>
      <c r="C72">
        <v>0.4</v>
      </c>
    </row>
    <row r="73" spans="1:7" x14ac:dyDescent="0.25">
      <c r="B73" t="s">
        <v>45</v>
      </c>
      <c r="C73">
        <v>104.5</v>
      </c>
    </row>
    <row r="74" spans="1:7" x14ac:dyDescent="0.25">
      <c r="B74" t="s">
        <v>46</v>
      </c>
      <c r="C74" s="3">
        <v>0.04</v>
      </c>
    </row>
    <row r="75" spans="1:7" x14ac:dyDescent="0.25">
      <c r="B75" t="s">
        <v>47</v>
      </c>
      <c r="C75" s="3">
        <v>0.3</v>
      </c>
    </row>
    <row r="78" spans="1:7" x14ac:dyDescent="0.25">
      <c r="B78" t="s">
        <v>48</v>
      </c>
    </row>
    <row r="79" spans="1:7" x14ac:dyDescent="0.25">
      <c r="C79">
        <v>2016</v>
      </c>
      <c r="D79">
        <v>2017</v>
      </c>
      <c r="E79">
        <v>2018</v>
      </c>
      <c r="F79">
        <v>2019</v>
      </c>
      <c r="G79">
        <v>2020</v>
      </c>
    </row>
    <row r="80" spans="1:7" x14ac:dyDescent="0.25">
      <c r="B80" t="s">
        <v>49</v>
      </c>
      <c r="C80">
        <v>40.9</v>
      </c>
      <c r="D80">
        <v>42.2</v>
      </c>
      <c r="E80">
        <v>43.6</v>
      </c>
      <c r="F80">
        <v>45</v>
      </c>
      <c r="G80">
        <v>46.3</v>
      </c>
    </row>
    <row r="81" spans="2:9" x14ac:dyDescent="0.25">
      <c r="B81" t="s">
        <v>50</v>
      </c>
      <c r="C81" s="2">
        <f>(G80/C80)^(1/4)-1</f>
        <v>3.1488572055917041E-2</v>
      </c>
    </row>
    <row r="82" spans="2:9" x14ac:dyDescent="0.25">
      <c r="B82" t="s">
        <v>51</v>
      </c>
      <c r="C82">
        <v>5.3</v>
      </c>
    </row>
    <row r="83" spans="2:9" x14ac:dyDescent="0.25">
      <c r="B83" s="6" t="s">
        <v>52</v>
      </c>
      <c r="C83" s="7">
        <f>(G80*(1+C81)/100)/C82+C81</f>
        <v>0.12159785674683959</v>
      </c>
    </row>
    <row r="84" spans="2:9" x14ac:dyDescent="0.25">
      <c r="B84" t="s">
        <v>53</v>
      </c>
      <c r="C84">
        <v>10</v>
      </c>
    </row>
    <row r="85" spans="2:9" x14ac:dyDescent="0.25">
      <c r="B85" t="s">
        <v>54</v>
      </c>
      <c r="C85">
        <f>C82*C84</f>
        <v>53</v>
      </c>
    </row>
    <row r="87" spans="2:9" x14ac:dyDescent="0.25">
      <c r="B87" t="s">
        <v>55</v>
      </c>
    </row>
    <row r="88" spans="2:9" x14ac:dyDescent="0.25">
      <c r="B88" t="s">
        <v>53</v>
      </c>
      <c r="C88">
        <v>3</v>
      </c>
    </row>
    <row r="89" spans="2:9" x14ac:dyDescent="0.25">
      <c r="B89" t="s">
        <v>56</v>
      </c>
      <c r="C89">
        <f>C88*C72</f>
        <v>1.2000000000000002</v>
      </c>
    </row>
    <row r="90" spans="2:9" x14ac:dyDescent="0.25">
      <c r="B90" t="s">
        <v>57</v>
      </c>
      <c r="C90" s="2">
        <f>0.05/C72</f>
        <v>0.125</v>
      </c>
    </row>
    <row r="92" spans="2:9" x14ac:dyDescent="0.25">
      <c r="B92" t="s">
        <v>58</v>
      </c>
    </row>
    <row r="93" spans="2:9" x14ac:dyDescent="0.25">
      <c r="B93" t="s">
        <v>59</v>
      </c>
      <c r="C93">
        <f>3/100*C73</f>
        <v>3.1349999999999998</v>
      </c>
    </row>
    <row r="94" spans="2:9" x14ac:dyDescent="0.25">
      <c r="B94" t="s">
        <v>60</v>
      </c>
    </row>
    <row r="95" spans="2:9" x14ac:dyDescent="0.25">
      <c r="B95" t="s">
        <v>5</v>
      </c>
      <c r="C95">
        <v>0</v>
      </c>
      <c r="D95">
        <v>1</v>
      </c>
      <c r="E95">
        <v>2</v>
      </c>
      <c r="F95">
        <v>3</v>
      </c>
      <c r="G95">
        <v>4</v>
      </c>
      <c r="H95">
        <v>5</v>
      </c>
      <c r="I95">
        <v>6</v>
      </c>
    </row>
    <row r="96" spans="2:9" x14ac:dyDescent="0.25">
      <c r="B96" t="s">
        <v>6</v>
      </c>
      <c r="C96">
        <f>C73</f>
        <v>104.5</v>
      </c>
      <c r="D96">
        <f>-8*(1-$C75)</f>
        <v>-5.6</v>
      </c>
      <c r="E96">
        <f t="shared" ref="E96:H96" si="9">-8*(1-$C75)</f>
        <v>-5.6</v>
      </c>
      <c r="F96">
        <f t="shared" si="9"/>
        <v>-5.6</v>
      </c>
      <c r="G96">
        <f t="shared" si="9"/>
        <v>-5.6</v>
      </c>
      <c r="H96">
        <f t="shared" si="9"/>
        <v>-5.6</v>
      </c>
      <c r="I96">
        <f>H96-110</f>
        <v>-115.6</v>
      </c>
    </row>
    <row r="97" spans="2:5" x14ac:dyDescent="0.25">
      <c r="B97" t="s">
        <v>60</v>
      </c>
      <c r="C97" s="4">
        <f>IRR(C96:I96)</f>
        <v>6.1112800366595499E-2</v>
      </c>
    </row>
    <row r="99" spans="2:5" x14ac:dyDescent="0.25">
      <c r="B99" t="s">
        <v>61</v>
      </c>
    </row>
    <row r="100" spans="2:5" x14ac:dyDescent="0.25">
      <c r="B100" t="s">
        <v>62</v>
      </c>
      <c r="C100">
        <v>4</v>
      </c>
    </row>
    <row r="101" spans="2:5" x14ac:dyDescent="0.25">
      <c r="B101" t="s">
        <v>63</v>
      </c>
      <c r="C101" s="2">
        <f>C74*(1-C75)</f>
        <v>2.7999999999999997E-2</v>
      </c>
    </row>
    <row r="103" spans="2:5" x14ac:dyDescent="0.25">
      <c r="B103" t="s">
        <v>41</v>
      </c>
    </row>
    <row r="104" spans="2:5" x14ac:dyDescent="0.25">
      <c r="B104" t="s">
        <v>48</v>
      </c>
      <c r="C104" s="4">
        <f>C83</f>
        <v>0.12159785674683959</v>
      </c>
      <c r="D104" s="13">
        <f>C85</f>
        <v>53</v>
      </c>
      <c r="E104" s="1">
        <f>D104/D$108</f>
        <v>0.86410695361539092</v>
      </c>
    </row>
    <row r="105" spans="2:5" x14ac:dyDescent="0.25">
      <c r="B105" t="s">
        <v>55</v>
      </c>
      <c r="C105" s="4">
        <f>C90</f>
        <v>0.125</v>
      </c>
      <c r="D105" s="13">
        <f>C89</f>
        <v>1.2000000000000002</v>
      </c>
      <c r="E105" s="1">
        <f t="shared" ref="E105:E107" si="10">D105/D$108</f>
        <v>1.9564685742235268E-2</v>
      </c>
    </row>
    <row r="106" spans="2:5" x14ac:dyDescent="0.25">
      <c r="B106" t="s">
        <v>58</v>
      </c>
      <c r="C106" s="4">
        <f>C97</f>
        <v>6.1112800366595499E-2</v>
      </c>
      <c r="D106" s="13">
        <f>C93</f>
        <v>3.1349999999999998</v>
      </c>
      <c r="E106" s="1">
        <f t="shared" si="10"/>
        <v>5.1112741501589627E-2</v>
      </c>
    </row>
    <row r="107" spans="2:5" x14ac:dyDescent="0.25">
      <c r="B107" t="s">
        <v>61</v>
      </c>
      <c r="C107" s="4">
        <f>C101</f>
        <v>2.7999999999999997E-2</v>
      </c>
      <c r="D107" s="13">
        <f>C100</f>
        <v>4</v>
      </c>
      <c r="E107" s="1">
        <f t="shared" si="10"/>
        <v>6.521561914078422E-2</v>
      </c>
    </row>
    <row r="108" spans="2:5" x14ac:dyDescent="0.25">
      <c r="D108" s="13">
        <f>SUM(D104:D107)</f>
        <v>61.335000000000001</v>
      </c>
      <c r="E108" s="1">
        <f>SUM(E104:E107)</f>
        <v>1</v>
      </c>
    </row>
    <row r="110" spans="2:5" s="6" customFormat="1" x14ac:dyDescent="0.25">
      <c r="B110" s="6" t="s">
        <v>41</v>
      </c>
      <c r="C110" s="14">
        <f>SUMPRODUCT(C104:C107,E104:E107)</f>
        <v>0.11246881938096968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CA890E00CDE43A80048227272DEC7" ma:contentTypeVersion="3" ma:contentTypeDescription="Create a new document." ma:contentTypeScope="" ma:versionID="629522c7d58b8dd16d35bf73eb5d2145">
  <xsd:schema xmlns:xsd="http://www.w3.org/2001/XMLSchema" xmlns:xs="http://www.w3.org/2001/XMLSchema" xmlns:p="http://schemas.microsoft.com/office/2006/metadata/properties" xmlns:ns2="02c9ef79-c414-455e-8b8f-0c91b69265d0" targetNamespace="http://schemas.microsoft.com/office/2006/metadata/properties" ma:root="true" ma:fieldsID="39e3e53f338f2528584df321a08c8b99" ns2:_="">
    <xsd:import namespace="02c9ef79-c414-455e-8b8f-0c91b69265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9ef79-c414-455e-8b8f-0c91b69265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482466-E6A1-49EE-9697-FA2F42129370}"/>
</file>

<file path=customXml/itemProps2.xml><?xml version="1.0" encoding="utf-8"?>
<ds:datastoreItem xmlns:ds="http://schemas.openxmlformats.org/officeDocument/2006/customXml" ds:itemID="{9364C5FC-4BE6-4DF3-BFB3-8F1D4CEBB24B}"/>
</file>

<file path=customXml/itemProps3.xml><?xml version="1.0" encoding="utf-8"?>
<ds:datastoreItem xmlns:ds="http://schemas.openxmlformats.org/officeDocument/2006/customXml" ds:itemID="{61095E4F-F24A-4AF6-AD12-91A865F246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usitgu</dc:creator>
  <cp:lastModifiedBy>usitgu</cp:lastModifiedBy>
  <dcterms:created xsi:type="dcterms:W3CDTF">2023-12-09T10:40:46Z</dcterms:created>
  <dcterms:modified xsi:type="dcterms:W3CDTF">2023-12-09T13:38:32Z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0x010100F7ECA890E00CDE43A80048227272DEC7</vt:lpwstr>
  </property>
</Properties>
</file>