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aradise/1.Master Degree/Corporate Finance/revision/"/>
    </mc:Choice>
  </mc:AlternateContent>
  <xr:revisionPtr revIDLastSave="0" documentId="13_ncr:1_{2B15CBA3-73F4-5E49-8D09-5C35C1698017}" xr6:coauthVersionLast="47" xr6:coauthVersionMax="47" xr10:uidLastSave="{00000000-0000-0000-0000-000000000000}"/>
  <bookViews>
    <workbookView xWindow="8880" yWindow="0" windowWidth="23260" windowHeight="13900" activeTab="9" xr2:uid="{78C69AD5-C765-4D3E-8E16-F4DA7A86EDA3}"/>
  </bookViews>
  <sheets>
    <sheet name="1" sheetId="6" r:id="rId1"/>
    <sheet name="2" sheetId="1" r:id="rId2"/>
    <sheet name="3" sheetId="7" r:id="rId3"/>
    <sheet name="4" sheetId="8" r:id="rId4"/>
    <sheet name="5" sheetId="9" r:id="rId5"/>
    <sheet name="6" sheetId="10" r:id="rId6"/>
    <sheet name="7" sheetId="11" r:id="rId7"/>
    <sheet name="8" sheetId="12" r:id="rId8"/>
    <sheet name="9" sheetId="13" r:id="rId9"/>
    <sheet name="10" sheetId="2" r:id="rId10"/>
    <sheet name="11" sheetId="3" r:id="rId11"/>
    <sheet name="12" sheetId="4" r:id="rId12"/>
    <sheet name="13" sheetId="5" r:id="rId13"/>
    <sheet name="14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3" l="1"/>
  <c r="B7" i="3"/>
  <c r="D2" i="3"/>
  <c r="D4" i="4"/>
  <c r="D2" i="4"/>
  <c r="C4" i="4"/>
  <c r="B4" i="4"/>
  <c r="B3" i="4"/>
  <c r="C2" i="4"/>
  <c r="B4" i="2"/>
  <c r="F6" i="2"/>
  <c r="B6" i="2"/>
  <c r="D6" i="2"/>
  <c r="C6" i="2"/>
  <c r="B6" i="11"/>
  <c r="B5" i="11"/>
  <c r="B4" i="11"/>
  <c r="B5" i="8"/>
  <c r="B13" i="1"/>
  <c r="F9" i="1"/>
  <c r="D9" i="1"/>
  <c r="D10" i="1"/>
  <c r="B12" i="1"/>
  <c r="C2" i="1"/>
  <c r="B3" i="1"/>
  <c r="B19" i="1"/>
  <c r="B3" i="6"/>
  <c r="B2" i="6"/>
  <c r="C4" i="1"/>
  <c r="B12" i="9" l="1"/>
  <c r="C17" i="14" l="1"/>
  <c r="C13" i="14"/>
  <c r="H13" i="14"/>
  <c r="G13" i="14"/>
  <c r="F13" i="14"/>
  <c r="E13" i="14"/>
  <c r="C12" i="14"/>
  <c r="C10" i="14"/>
  <c r="D20" i="14"/>
  <c r="C20" i="14"/>
  <c r="D19" i="14"/>
  <c r="C19" i="14"/>
  <c r="D18" i="14"/>
  <c r="D21" i="14" s="1"/>
  <c r="D17" i="14"/>
  <c r="C16" i="14"/>
  <c r="C18" i="14" s="1"/>
  <c r="C21" i="14" s="1"/>
  <c r="E4" i="14"/>
  <c r="E3" i="14"/>
  <c r="C6" i="14" s="1"/>
  <c r="C7" i="14" s="1"/>
  <c r="E2" i="14"/>
  <c r="C8" i="14" l="1"/>
  <c r="C14" i="14" s="1"/>
  <c r="B7" i="11" l="1"/>
  <c r="C4" i="11"/>
  <c r="D4" i="11"/>
  <c r="E4" i="11"/>
  <c r="B11" i="9"/>
  <c r="B24" i="9"/>
  <c r="C29" i="9" s="1"/>
  <c r="C32" i="9" s="1"/>
  <c r="D27" i="9" s="1"/>
  <c r="D29" i="9" s="1"/>
  <c r="D32" i="9" s="1"/>
  <c r="E27" i="9" s="1"/>
  <c r="E29" i="9" s="1"/>
  <c r="E32" i="9" s="1"/>
  <c r="B13" i="9" l="1"/>
  <c r="E26" i="5" l="1"/>
  <c r="E25" i="5"/>
  <c r="B27" i="5" s="1"/>
  <c r="B28" i="5" s="1"/>
  <c r="E23" i="5"/>
  <c r="D23" i="5"/>
  <c r="D25" i="5" s="1"/>
  <c r="C23" i="5"/>
  <c r="D26" i="5"/>
  <c r="C26" i="5"/>
  <c r="B26" i="5"/>
  <c r="B25" i="5"/>
  <c r="C25" i="5"/>
  <c r="B20" i="5"/>
  <c r="D17" i="5"/>
  <c r="B19" i="5"/>
  <c r="B17" i="5"/>
  <c r="B18" i="5"/>
  <c r="D15" i="5"/>
  <c r="C15" i="5"/>
  <c r="C17" i="5" s="1"/>
  <c r="D18" i="5"/>
  <c r="C18" i="5"/>
  <c r="B12" i="5"/>
  <c r="C9" i="5"/>
  <c r="B11" i="5"/>
  <c r="C10" i="5"/>
  <c r="C7" i="5"/>
  <c r="C4" i="5"/>
  <c r="D4" i="5"/>
  <c r="B4" i="5"/>
  <c r="D2" i="5"/>
  <c r="D3" i="5"/>
  <c r="C3" i="5"/>
  <c r="C2" i="5"/>
  <c r="C18" i="1"/>
  <c r="D18" i="1"/>
  <c r="E18" i="1"/>
  <c r="F18" i="1"/>
  <c r="B18" i="1"/>
  <c r="C17" i="1"/>
  <c r="D17" i="1"/>
  <c r="E17" i="1"/>
  <c r="F17" i="1"/>
  <c r="B17" i="1"/>
  <c r="E16" i="1"/>
  <c r="F16" i="1"/>
  <c r="D16" i="1"/>
  <c r="C12" i="1"/>
  <c r="D12" i="1"/>
  <c r="E12" i="1"/>
  <c r="F12" i="1"/>
  <c r="C11" i="1"/>
  <c r="D11" i="1"/>
  <c r="E11" i="1"/>
  <c r="B11" i="1"/>
  <c r="E10" i="1"/>
  <c r="E9" i="1"/>
  <c r="D4" i="1"/>
  <c r="F10" i="1" s="1"/>
  <c r="F11" i="1" s="1"/>
  <c r="B4" i="1"/>
  <c r="C3" i="1"/>
  <c r="D3" i="1" s="1"/>
  <c r="D2" i="1"/>
  <c r="C3" i="4"/>
  <c r="D6" i="3"/>
  <c r="D5" i="3"/>
  <c r="D4" i="3"/>
  <c r="D3" i="3"/>
  <c r="D3" i="4" l="1"/>
  <c r="E4" i="2" l="1"/>
  <c r="D4" i="2"/>
  <c r="C4" i="2"/>
</calcChain>
</file>

<file path=xl/sharedStrings.xml><?xml version="1.0" encoding="utf-8"?>
<sst xmlns="http://schemas.openxmlformats.org/spreadsheetml/2006/main" count="131" uniqueCount="100">
  <si>
    <t>Year</t>
  </si>
  <si>
    <t>FCF</t>
  </si>
  <si>
    <t>NPV</t>
  </si>
  <si>
    <t>Project</t>
  </si>
  <si>
    <t>Total</t>
  </si>
  <si>
    <t>Initial outlay</t>
  </si>
  <si>
    <t>PI</t>
  </si>
  <si>
    <t>Order</t>
  </si>
  <si>
    <t>Cash flow in $m</t>
  </si>
  <si>
    <t>Probability, %</t>
  </si>
  <si>
    <t>Discount factor @12%</t>
  </si>
  <si>
    <t>PV year 2</t>
  </si>
  <si>
    <t>PV year 3</t>
  </si>
  <si>
    <t>Period</t>
  </si>
  <si>
    <t>Residual cost</t>
  </si>
  <si>
    <t>TAD</t>
  </si>
  <si>
    <t>Tax saving</t>
  </si>
  <si>
    <t>Investment</t>
  </si>
  <si>
    <t>Maintenance</t>
  </si>
  <si>
    <t>Tax relief</t>
  </si>
  <si>
    <t>DF @10%*(1-30%)</t>
  </si>
  <si>
    <t>Leasing:</t>
  </si>
  <si>
    <t>Servicing costs</t>
  </si>
  <si>
    <t>Cleaning</t>
  </si>
  <si>
    <t>Purchase cost</t>
  </si>
  <si>
    <t>Running costs</t>
  </si>
  <si>
    <t>Trade-in</t>
  </si>
  <si>
    <t>DF</t>
  </si>
  <si>
    <t>EAC</t>
  </si>
  <si>
    <t>sensitivity</t>
  </si>
  <si>
    <t>a)</t>
  </si>
  <si>
    <t>b)</t>
  </si>
  <si>
    <t>needs more work confirming the estimates</t>
  </si>
  <si>
    <t>asset stripping means selling off assets</t>
  </si>
  <si>
    <t>Firm value</t>
  </si>
  <si>
    <t>Debt</t>
  </si>
  <si>
    <t>Non-core assets</t>
  </si>
  <si>
    <t>Nr of shares outstanding</t>
  </si>
  <si>
    <t>Theoretical share price</t>
  </si>
  <si>
    <t>Fairly valued</t>
  </si>
  <si>
    <t>NI</t>
  </si>
  <si>
    <t>Interest</t>
  </si>
  <si>
    <t>Depreciation</t>
  </si>
  <si>
    <t>Impairment of goodwill</t>
  </si>
  <si>
    <t>Amortisation of long-term bond discounts</t>
  </si>
  <si>
    <t>Capex</t>
  </si>
  <si>
    <t>Sale of long-term assets</t>
  </si>
  <si>
    <t>Working capital investment</t>
  </si>
  <si>
    <t>Tax rate</t>
  </si>
  <si>
    <t>Operating cash flow</t>
  </si>
  <si>
    <t>investment cash flow</t>
  </si>
  <si>
    <t>FCFF</t>
  </si>
  <si>
    <t>Example of amortization of bonds</t>
  </si>
  <si>
    <t>higher NPV</t>
  </si>
  <si>
    <t>Div</t>
  </si>
  <si>
    <t>Cum div price</t>
  </si>
  <si>
    <t>DF @8%</t>
  </si>
  <si>
    <t>Horizon PV</t>
  </si>
  <si>
    <t>Post-Horizon PV</t>
  </si>
  <si>
    <t>Price</t>
  </si>
  <si>
    <t>dividends have no effect of company's FCFF</t>
  </si>
  <si>
    <t>2. accrued interest is not a cahs flow</t>
  </si>
  <si>
    <t>3. not earned by BUYER</t>
  </si>
  <si>
    <r>
      <t>1.</t>
    </r>
    <r>
      <rPr>
        <b/>
        <sz val="7"/>
        <color theme="1"/>
        <rFont val="Times New Roman"/>
        <family val="1"/>
        <charset val="204"/>
      </rPr>
      <t xml:space="preserve">     </t>
    </r>
    <r>
      <rPr>
        <b/>
        <sz val="12"/>
        <color theme="1"/>
        <rFont val="Calibri"/>
        <family val="2"/>
        <charset val="204"/>
        <scheme val="minor"/>
      </rPr>
      <t xml:space="preserve">Equals interest earned from the previous coupon to the sale date </t>
    </r>
  </si>
  <si>
    <t>operating cycle</t>
  </si>
  <si>
    <t>Receivables</t>
  </si>
  <si>
    <t>Inventories</t>
  </si>
  <si>
    <t>Payables</t>
  </si>
  <si>
    <t>Current assets</t>
  </si>
  <si>
    <t>Current liabilities</t>
  </si>
  <si>
    <t>Overdraft</t>
  </si>
  <si>
    <t>Net working capital</t>
  </si>
  <si>
    <t>Overdraft exp</t>
  </si>
  <si>
    <t>LT loan expense</t>
  </si>
  <si>
    <t>Total cost of financing</t>
  </si>
  <si>
    <t>2 and 3</t>
  </si>
  <si>
    <t>EOQ</t>
  </si>
  <si>
    <t># of orders</t>
  </si>
  <si>
    <t>Annual ordering cost</t>
  </si>
  <si>
    <t>Annual holding cost</t>
  </si>
  <si>
    <t>Total cost</t>
  </si>
  <si>
    <t>Accepting the discount offered by the supplier will NOT minimise the total cost of inventory for the raw material</t>
  </si>
  <si>
    <t>Current assets - AP - Overdraft = LT financing</t>
  </si>
  <si>
    <t>Debt start of the period</t>
  </si>
  <si>
    <t>Interest accrual</t>
  </si>
  <si>
    <t>Amortization of the bond discount</t>
  </si>
  <si>
    <t xml:space="preserve">Coupon Payment </t>
  </si>
  <si>
    <t>principal repayment</t>
  </si>
  <si>
    <t>Debt end of the period</t>
  </si>
  <si>
    <t>Cash flow</t>
  </si>
  <si>
    <t>Required rate of return</t>
  </si>
  <si>
    <t>Current price bond</t>
  </si>
  <si>
    <t>Term of the bond, years</t>
  </si>
  <si>
    <t>Coupon, %</t>
  </si>
  <si>
    <t>Redemption value premium, %</t>
  </si>
  <si>
    <t>perspective of the company - ACCOUNTING TREATMENT</t>
  </si>
  <si>
    <t>PL EXPENSE</t>
  </si>
  <si>
    <t>CASH FLOW</t>
  </si>
  <si>
    <t>BALANCE SHEET</t>
  </si>
  <si>
    <t>We take CONTRIBUTION instead of sales because sales volume means that we not only earn sales but also have cost of goods sold.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</si>
</sst>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mbria"/>
      <family val="1"/>
      <charset val="204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7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6" fillId="0" borderId="0" applyFont="0" applyFill="0" applyBorder="0" applyAlignment="0" applyProtection="0"/>
  </cellStyleXfs>
  <cellXfs count="32">
    <xf numFmtId="0" fontId="0" fillId="0" borderId="0" xfId="0"/>
    <xf numFmtId="3" fontId="0" fillId="0" borderId="0" xfId="0" applyNumberFormat="1"/>
    <xf numFmtId="0" fontId="4" fillId="0" borderId="0" xfId="0" applyFont="1"/>
    <xf numFmtId="0" fontId="5" fillId="0" borderId="1" xfId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0" fontId="3" fillId="0" borderId="1" xfId="1" applyBorder="1" applyAlignment="1">
      <alignment horizontal="center"/>
    </xf>
    <xf numFmtId="0" fontId="3" fillId="0" borderId="0" xfId="1"/>
    <xf numFmtId="0" fontId="4" fillId="0" borderId="1" xfId="1" applyFont="1" applyBorder="1" applyAlignment="1">
      <alignment horizontal="center"/>
    </xf>
    <xf numFmtId="0" fontId="3" fillId="0" borderId="0" xfId="1" applyAlignment="1">
      <alignment horizontal="center" vertical="center" wrapText="1"/>
    </xf>
    <xf numFmtId="0" fontId="3" fillId="0" borderId="0" xfId="1" applyAlignment="1">
      <alignment vertical="center" wrapText="1"/>
    </xf>
    <xf numFmtId="0" fontId="3" fillId="0" borderId="0" xfId="1" applyAlignment="1">
      <alignment horizontal="center"/>
    </xf>
    <xf numFmtId="164" fontId="3" fillId="0" borderId="0" xfId="1" applyNumberFormat="1" applyAlignment="1">
      <alignment horizontal="center"/>
    </xf>
    <xf numFmtId="165" fontId="3" fillId="0" borderId="0" xfId="1" applyNumberFormat="1"/>
    <xf numFmtId="0" fontId="4" fillId="0" borderId="0" xfId="1" applyFont="1"/>
    <xf numFmtId="3" fontId="3" fillId="0" borderId="0" xfId="1" applyNumberFormat="1" applyAlignment="1">
      <alignment horizontal="center"/>
    </xf>
    <xf numFmtId="3" fontId="4" fillId="0" borderId="0" xfId="1" applyNumberFormat="1" applyFont="1" applyAlignment="1">
      <alignment horizontal="center"/>
    </xf>
    <xf numFmtId="9" fontId="0" fillId="0" borderId="0" xfId="2" applyFont="1"/>
    <xf numFmtId="3" fontId="4" fillId="0" borderId="0" xfId="0" applyNumberFormat="1" applyFont="1"/>
    <xf numFmtId="9" fontId="0" fillId="0" borderId="0" xfId="0" applyNumberFormat="1"/>
    <xf numFmtId="10" fontId="0" fillId="0" borderId="0" xfId="0" applyNumberFormat="1"/>
    <xf numFmtId="166" fontId="0" fillId="0" borderId="0" xfId="0" applyNumberFormat="1"/>
    <xf numFmtId="166" fontId="4" fillId="0" borderId="0" xfId="0" applyNumberFormat="1" applyFont="1"/>
    <xf numFmtId="0" fontId="7" fillId="0" borderId="0" xfId="0" applyFont="1" applyAlignment="1">
      <alignment horizontal="left" vertical="center" indent="2"/>
    </xf>
    <xf numFmtId="0" fontId="2" fillId="0" borderId="0" xfId="1" applyFont="1"/>
    <xf numFmtId="3" fontId="2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/>
    <xf numFmtId="2" fontId="3" fillId="0" borderId="0" xfId="1" applyNumberFormat="1"/>
    <xf numFmtId="0" fontId="1" fillId="0" borderId="0" xfId="0" applyFont="1"/>
    <xf numFmtId="0" fontId="0" fillId="0" borderId="0" xfId="0" applyAlignment="1">
      <alignment horizontal="left" indent="2"/>
    </xf>
    <xf numFmtId="3" fontId="1" fillId="0" borderId="0" xfId="0" applyNumberFormat="1" applyFont="1"/>
  </cellXfs>
  <cellStyles count="3">
    <cellStyle name="Normal" xfId="0" builtinId="0"/>
    <cellStyle name="Normal 2" xfId="1" xr:uid="{0ED8FF0E-7311-44D9-991C-8F2FA8B8864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101600</xdr:rowOff>
    </xdr:from>
    <xdr:to>
      <xdr:col>10</xdr:col>
      <xdr:colOff>342900</xdr:colOff>
      <xdr:row>13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22D12-51B8-2A8E-8602-D22EB5963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25600"/>
          <a:ext cx="77597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98A8D-585C-4B72-9CF3-69B71A073F7D}">
  <dimension ref="A1:D6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4" x14ac:dyDescent="0.2">
      <c r="A1" t="s">
        <v>29</v>
      </c>
    </row>
    <row r="2" spans="1:4" x14ac:dyDescent="0.2">
      <c r="A2" t="s">
        <v>30</v>
      </c>
      <c r="B2" s="16">
        <f>1300/24550</f>
        <v>5.2953156822810592E-2</v>
      </c>
      <c r="D2" t="s">
        <v>32</v>
      </c>
    </row>
    <row r="3" spans="1:4" x14ac:dyDescent="0.2">
      <c r="A3" t="s">
        <v>31</v>
      </c>
      <c r="B3" s="16">
        <f>1300/5000</f>
        <v>0.26</v>
      </c>
    </row>
    <row r="6" spans="1:4" x14ac:dyDescent="0.2">
      <c r="A6" t="s"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BD97-CCFD-4103-B705-3AA28A5B854F}">
  <dimension ref="A1:F6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3.5" style="6" customWidth="1"/>
    <col min="2" max="16384" width="8.83203125" style="6"/>
  </cols>
  <sheetData>
    <row r="1" spans="1:6" x14ac:dyDescent="0.2">
      <c r="A1" s="3" t="s">
        <v>3</v>
      </c>
      <c r="B1" s="4">
        <v>1</v>
      </c>
      <c r="C1" s="4">
        <v>2</v>
      </c>
      <c r="D1" s="4">
        <v>3</v>
      </c>
      <c r="E1" s="4">
        <v>4</v>
      </c>
      <c r="F1" s="5" t="s">
        <v>4</v>
      </c>
    </row>
    <row r="2" spans="1:6" x14ac:dyDescent="0.2">
      <c r="A2" s="3" t="s">
        <v>5</v>
      </c>
      <c r="B2" s="4">
        <v>40</v>
      </c>
      <c r="C2" s="4">
        <v>30</v>
      </c>
      <c r="D2" s="4">
        <v>50</v>
      </c>
      <c r="E2" s="4">
        <v>60</v>
      </c>
      <c r="F2" s="5"/>
    </row>
    <row r="3" spans="1:6" x14ac:dyDescent="0.2">
      <c r="A3" s="3" t="s">
        <v>2</v>
      </c>
      <c r="B3" s="4">
        <v>5</v>
      </c>
      <c r="C3" s="4">
        <v>6</v>
      </c>
      <c r="D3" s="4">
        <v>8</v>
      </c>
      <c r="E3" s="4">
        <v>5</v>
      </c>
      <c r="F3" s="5"/>
    </row>
    <row r="4" spans="1:6" x14ac:dyDescent="0.2">
      <c r="A4" s="3" t="s">
        <v>6</v>
      </c>
      <c r="B4" s="5">
        <f>B3/B2</f>
        <v>0.125</v>
      </c>
      <c r="C4" s="5">
        <f t="shared" ref="C4:E4" si="0">C3/C2</f>
        <v>0.2</v>
      </c>
      <c r="D4" s="5">
        <f t="shared" si="0"/>
        <v>0.16</v>
      </c>
      <c r="E4" s="5">
        <f t="shared" si="0"/>
        <v>8.3333333333333329E-2</v>
      </c>
      <c r="F4" s="5"/>
    </row>
    <row r="5" spans="1:6" x14ac:dyDescent="0.2">
      <c r="A5" s="3" t="s">
        <v>7</v>
      </c>
      <c r="B5" s="4">
        <v>3</v>
      </c>
      <c r="C5" s="4">
        <v>1</v>
      </c>
      <c r="D5" s="4">
        <v>2</v>
      </c>
      <c r="E5" s="5"/>
      <c r="F5" s="5"/>
    </row>
    <row r="6" spans="1:6" x14ac:dyDescent="0.2">
      <c r="A6" s="3" t="s">
        <v>2</v>
      </c>
      <c r="B6" s="5">
        <f>B3/2</f>
        <v>2.5</v>
      </c>
      <c r="C6" s="5">
        <f>C3</f>
        <v>6</v>
      </c>
      <c r="D6" s="5">
        <f>D3</f>
        <v>8</v>
      </c>
      <c r="E6" s="5"/>
      <c r="F6" s="7">
        <f>SUM(B6:D6)</f>
        <v>16.5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1137-1E89-4F79-93F0-FEBF26405205}">
  <dimension ref="A1:D8"/>
  <sheetViews>
    <sheetView workbookViewId="0">
      <selection activeCell="B8" sqref="B8"/>
    </sheetView>
  </sheetViews>
  <sheetFormatPr baseColWidth="10" defaultColWidth="12.5" defaultRowHeight="15" x14ac:dyDescent="0.2"/>
  <cols>
    <col min="1" max="3" width="12.5" style="6"/>
    <col min="4" max="4" width="12.5" style="10"/>
    <col min="5" max="16384" width="12.5" style="6"/>
  </cols>
  <sheetData>
    <row r="1" spans="1:4" s="9" customFormat="1" ht="32" x14ac:dyDescent="0.2">
      <c r="A1" s="8" t="s">
        <v>0</v>
      </c>
      <c r="B1" s="8" t="s">
        <v>8</v>
      </c>
      <c r="C1" s="8" t="s">
        <v>9</v>
      </c>
      <c r="D1" s="8" t="s">
        <v>10</v>
      </c>
    </row>
    <row r="2" spans="1:4" x14ac:dyDescent="0.2">
      <c r="A2" s="10">
        <v>2</v>
      </c>
      <c r="B2" s="10">
        <v>19</v>
      </c>
      <c r="C2" s="10">
        <v>30</v>
      </c>
      <c r="D2" s="11">
        <f>1/(1+12%)^A2</f>
        <v>0.79719387755102034</v>
      </c>
    </row>
    <row r="3" spans="1:4" x14ac:dyDescent="0.2">
      <c r="A3" s="10">
        <v>2</v>
      </c>
      <c r="B3" s="10">
        <v>26</v>
      </c>
      <c r="C3" s="10">
        <v>70</v>
      </c>
      <c r="D3" s="11">
        <f t="shared" ref="D3:D6" si="0">1/(1+12%)^A3</f>
        <v>0.79719387755102034</v>
      </c>
    </row>
    <row r="4" spans="1:4" x14ac:dyDescent="0.2">
      <c r="A4" s="10">
        <v>3</v>
      </c>
      <c r="B4" s="10">
        <v>21</v>
      </c>
      <c r="C4" s="10">
        <v>40</v>
      </c>
      <c r="D4" s="11">
        <f t="shared" si="0"/>
        <v>0.71178024781341087</v>
      </c>
    </row>
    <row r="5" spans="1:4" x14ac:dyDescent="0.2">
      <c r="A5" s="10">
        <v>3</v>
      </c>
      <c r="B5" s="10">
        <v>25</v>
      </c>
      <c r="C5" s="10">
        <v>20</v>
      </c>
      <c r="D5" s="11">
        <f t="shared" si="0"/>
        <v>0.71178024781341087</v>
      </c>
    </row>
    <row r="6" spans="1:4" x14ac:dyDescent="0.2">
      <c r="A6" s="10">
        <v>3</v>
      </c>
      <c r="B6" s="10">
        <v>31</v>
      </c>
      <c r="C6" s="10">
        <v>40</v>
      </c>
      <c r="D6" s="11">
        <f t="shared" si="0"/>
        <v>0.71178024781341087</v>
      </c>
    </row>
    <row r="7" spans="1:4" x14ac:dyDescent="0.2">
      <c r="A7" s="6" t="s">
        <v>11</v>
      </c>
      <c r="B7" s="12">
        <f>(B2*C2/100+B3*C3/100)*D3</f>
        <v>19.052933673469386</v>
      </c>
    </row>
    <row r="8" spans="1:4" x14ac:dyDescent="0.2">
      <c r="A8" s="6" t="s">
        <v>12</v>
      </c>
      <c r="B8" s="28">
        <f>(B4*C4/100+B5*C5/100+B6*C6/100)*D4</f>
        <v>18.363930393585999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5D80-96A5-4C80-B84E-96FB0B261D38}">
  <dimension ref="A1:D5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8.83203125" style="6"/>
    <col min="2" max="2" width="12.1640625" style="6" customWidth="1"/>
    <col min="3" max="3" width="12.33203125" style="6" customWidth="1"/>
    <col min="4" max="4" width="8.83203125" style="13"/>
    <col min="5" max="16384" width="8.83203125" style="6"/>
  </cols>
  <sheetData>
    <row r="1" spans="1:4" x14ac:dyDescent="0.2">
      <c r="A1" s="6" t="s">
        <v>13</v>
      </c>
      <c r="B1" s="6" t="s">
        <v>14</v>
      </c>
      <c r="C1" s="6" t="s">
        <v>15</v>
      </c>
      <c r="D1" s="23" t="s">
        <v>16</v>
      </c>
    </row>
    <row r="2" spans="1:4" x14ac:dyDescent="0.2">
      <c r="A2" s="10">
        <v>1</v>
      </c>
      <c r="B2" s="14">
        <v>250000</v>
      </c>
      <c r="C2" s="14">
        <f>B2*25%</f>
        <v>62500</v>
      </c>
      <c r="D2" s="24">
        <f>C2*30%</f>
        <v>18750</v>
      </c>
    </row>
    <row r="3" spans="1:4" x14ac:dyDescent="0.2">
      <c r="A3" s="10">
        <v>2</v>
      </c>
      <c r="B3" s="14">
        <f>B2-C2</f>
        <v>187500</v>
      </c>
      <c r="C3" s="14">
        <f>B3*25%</f>
        <v>46875</v>
      </c>
      <c r="D3" s="24">
        <f>C3*30%</f>
        <v>14062.5</v>
      </c>
    </row>
    <row r="4" spans="1:4" x14ac:dyDescent="0.2">
      <c r="A4" s="10">
        <v>3</v>
      </c>
      <c r="B4" s="14">
        <f>B3-C3</f>
        <v>140625</v>
      </c>
      <c r="C4" s="14">
        <f>B4*25%</f>
        <v>35156.25</v>
      </c>
      <c r="D4" s="15">
        <f>C4*30%</f>
        <v>10546.875</v>
      </c>
    </row>
    <row r="5" spans="1:4" x14ac:dyDescent="0.2">
      <c r="A5" s="10"/>
      <c r="B5" s="14"/>
      <c r="C5" s="14"/>
      <c r="D5" s="1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1197E-1C6F-4455-925E-10F8BF200EA1}">
  <dimension ref="A1:E28"/>
  <sheetViews>
    <sheetView workbookViewId="0">
      <selection activeCell="H19" sqref="H19"/>
    </sheetView>
  </sheetViews>
  <sheetFormatPr baseColWidth="10" defaultColWidth="8.83203125" defaultRowHeight="15" x14ac:dyDescent="0.2"/>
  <cols>
    <col min="1" max="1" width="14.83203125" customWidth="1"/>
  </cols>
  <sheetData>
    <row r="1" spans="1:4" x14ac:dyDescent="0.2">
      <c r="B1">
        <v>1</v>
      </c>
      <c r="C1">
        <v>2</v>
      </c>
      <c r="D1">
        <v>3</v>
      </c>
    </row>
    <row r="2" spans="1:4" x14ac:dyDescent="0.2">
      <c r="A2" t="s">
        <v>22</v>
      </c>
      <c r="B2">
        <v>2500</v>
      </c>
      <c r="C2">
        <f>B2*(1+30%)</f>
        <v>3250</v>
      </c>
      <c r="D2">
        <f>C2*(1+50%)</f>
        <v>4875</v>
      </c>
    </row>
    <row r="3" spans="1:4" x14ac:dyDescent="0.2">
      <c r="A3" t="s">
        <v>23</v>
      </c>
      <c r="B3">
        <v>600</v>
      </c>
      <c r="C3">
        <f>B3*(1+10%)</f>
        <v>660</v>
      </c>
      <c r="D3">
        <f>C3*(1+10%)</f>
        <v>726.00000000000011</v>
      </c>
    </row>
    <row r="4" spans="1:4" x14ac:dyDescent="0.2">
      <c r="A4" t="s">
        <v>4</v>
      </c>
      <c r="B4">
        <f>B2+B3</f>
        <v>3100</v>
      </c>
      <c r="C4">
        <f t="shared" ref="C4:D4" si="0">C2+C3</f>
        <v>3910</v>
      </c>
      <c r="D4">
        <f t="shared" si="0"/>
        <v>5601</v>
      </c>
    </row>
    <row r="6" spans="1:4" x14ac:dyDescent="0.2">
      <c r="A6" t="s">
        <v>24</v>
      </c>
      <c r="B6">
        <v>-40000</v>
      </c>
    </row>
    <row r="7" spans="1:4" x14ac:dyDescent="0.2">
      <c r="A7" t="s">
        <v>25</v>
      </c>
      <c r="C7">
        <f>-B4</f>
        <v>-3100</v>
      </c>
    </row>
    <row r="8" spans="1:4" x14ac:dyDescent="0.2">
      <c r="A8" t="s">
        <v>26</v>
      </c>
      <c r="C8">
        <v>25000</v>
      </c>
    </row>
    <row r="9" spans="1:4" x14ac:dyDescent="0.2">
      <c r="A9" t="s">
        <v>4</v>
      </c>
      <c r="C9">
        <f>SUM(C7:C8)</f>
        <v>21900</v>
      </c>
    </row>
    <row r="10" spans="1:4" x14ac:dyDescent="0.2">
      <c r="A10" t="s">
        <v>27</v>
      </c>
      <c r="C10">
        <f>1/(1+10%)</f>
        <v>0.90909090909090906</v>
      </c>
    </row>
    <row r="11" spans="1:4" x14ac:dyDescent="0.2">
      <c r="A11" t="s">
        <v>2</v>
      </c>
      <c r="B11">
        <f>B6+C9*C10</f>
        <v>-20090.909090909092</v>
      </c>
    </row>
    <row r="12" spans="1:4" x14ac:dyDescent="0.2">
      <c r="A12" t="s">
        <v>28</v>
      </c>
      <c r="B12">
        <f>B11/C10</f>
        <v>-22100.000000000004</v>
      </c>
    </row>
    <row r="14" spans="1:4" x14ac:dyDescent="0.2">
      <c r="A14" t="s">
        <v>24</v>
      </c>
      <c r="B14">
        <v>-40000</v>
      </c>
    </row>
    <row r="15" spans="1:4" x14ac:dyDescent="0.2">
      <c r="A15" t="s">
        <v>25</v>
      </c>
      <c r="C15">
        <f>-B4</f>
        <v>-3100</v>
      </c>
      <c r="D15">
        <f>-C4</f>
        <v>-3910</v>
      </c>
    </row>
    <row r="16" spans="1:4" x14ac:dyDescent="0.2">
      <c r="A16" t="s">
        <v>26</v>
      </c>
      <c r="D16">
        <v>15000</v>
      </c>
    </row>
    <row r="17" spans="1:5" x14ac:dyDescent="0.2">
      <c r="A17" t="s">
        <v>4</v>
      </c>
      <c r="B17">
        <f>SUM(B14:B16)</f>
        <v>-40000</v>
      </c>
      <c r="C17">
        <f>SUM(C15:C16)</f>
        <v>-3100</v>
      </c>
      <c r="D17">
        <f>SUM(D15:D16)</f>
        <v>11090</v>
      </c>
    </row>
    <row r="18" spans="1:5" x14ac:dyDescent="0.2">
      <c r="A18" t="s">
        <v>27</v>
      </c>
      <c r="B18">
        <f>1/(1+10%)^0</f>
        <v>1</v>
      </c>
      <c r="C18">
        <f>1/(1+10%)</f>
        <v>0.90909090909090906</v>
      </c>
      <c r="D18">
        <f>1/(1+10%)^2</f>
        <v>0.82644628099173545</v>
      </c>
    </row>
    <row r="19" spans="1:5" x14ac:dyDescent="0.2">
      <c r="A19" t="s">
        <v>2</v>
      </c>
      <c r="B19">
        <f>SUMPRODUCT(B17:D17,B18:D18)</f>
        <v>-33652.89256198347</v>
      </c>
    </row>
    <row r="20" spans="1:5" x14ac:dyDescent="0.2">
      <c r="A20" t="s">
        <v>28</v>
      </c>
      <c r="B20" s="2">
        <f>B19/(D18+C18)</f>
        <v>-19390.476190476191</v>
      </c>
    </row>
    <row r="22" spans="1:5" x14ac:dyDescent="0.2">
      <c r="A22" t="s">
        <v>24</v>
      </c>
      <c r="B22">
        <v>-40000</v>
      </c>
    </row>
    <row r="23" spans="1:5" x14ac:dyDescent="0.2">
      <c r="A23" t="s">
        <v>25</v>
      </c>
      <c r="C23">
        <f>C15</f>
        <v>-3100</v>
      </c>
      <c r="D23">
        <f>D15</f>
        <v>-3910</v>
      </c>
      <c r="E23">
        <f>-D4</f>
        <v>-5601</v>
      </c>
    </row>
    <row r="24" spans="1:5" x14ac:dyDescent="0.2">
      <c r="A24" t="s">
        <v>26</v>
      </c>
      <c r="E24">
        <v>1000</v>
      </c>
    </row>
    <row r="25" spans="1:5" x14ac:dyDescent="0.2">
      <c r="A25" t="s">
        <v>4</v>
      </c>
      <c r="B25">
        <f>SUM(B22:B24)</f>
        <v>-40000</v>
      </c>
      <c r="C25">
        <f>SUM(C23:C24)</f>
        <v>-3100</v>
      </c>
      <c r="D25">
        <f>SUM(D23:D24)</f>
        <v>-3910</v>
      </c>
      <c r="E25">
        <f>SUM(E23:E24)</f>
        <v>-4601</v>
      </c>
    </row>
    <row r="26" spans="1:5" x14ac:dyDescent="0.2">
      <c r="A26" t="s">
        <v>27</v>
      </c>
      <c r="B26">
        <f>1/(1+10%)^0</f>
        <v>1</v>
      </c>
      <c r="C26">
        <f>1/(1+10%)</f>
        <v>0.90909090909090906</v>
      </c>
      <c r="D26">
        <f>1/(1+10%)^2</f>
        <v>0.82644628099173545</v>
      </c>
      <c r="E26">
        <f>1/(1+10%)^3</f>
        <v>0.75131480090157754</v>
      </c>
    </row>
    <row r="27" spans="1:5" x14ac:dyDescent="0.2">
      <c r="A27" t="s">
        <v>2</v>
      </c>
      <c r="B27">
        <f>SUMPRODUCT(B25:E25,B26:E26)</f>
        <v>-49506.386175807667</v>
      </c>
    </row>
    <row r="28" spans="1:5" x14ac:dyDescent="0.2">
      <c r="A28" t="s">
        <v>28</v>
      </c>
      <c r="B28">
        <f>B27/(D26+C26+E26)</f>
        <v>-19907.250755287012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722A-0555-4C2F-91BD-9508C851B886}">
  <dimension ref="A1:H24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8.83203125" style="25"/>
    <col min="2" max="2" width="22.6640625" customWidth="1"/>
  </cols>
  <sheetData>
    <row r="1" spans="1:8" x14ac:dyDescent="0.2">
      <c r="A1" s="25">
        <v>1</v>
      </c>
      <c r="B1" t="s">
        <v>64</v>
      </c>
      <c r="C1">
        <v>3</v>
      </c>
    </row>
    <row r="2" spans="1:8" x14ac:dyDescent="0.2">
      <c r="B2" t="s">
        <v>65</v>
      </c>
      <c r="C2">
        <v>2</v>
      </c>
      <c r="E2">
        <f>(4.2/12)*C2</f>
        <v>0.70000000000000007</v>
      </c>
    </row>
    <row r="3" spans="1:8" x14ac:dyDescent="0.2">
      <c r="B3" t="s">
        <v>66</v>
      </c>
      <c r="D3">
        <v>2</v>
      </c>
      <c r="E3">
        <f>1.89/12*D3</f>
        <v>0.315</v>
      </c>
    </row>
    <row r="4" spans="1:8" x14ac:dyDescent="0.2">
      <c r="B4" t="s">
        <v>67</v>
      </c>
      <c r="C4">
        <v>1</v>
      </c>
      <c r="E4">
        <f>1.89/12</f>
        <v>0.1575</v>
      </c>
    </row>
    <row r="6" spans="1:8" x14ac:dyDescent="0.2">
      <c r="B6" t="s">
        <v>68</v>
      </c>
      <c r="C6">
        <f>E3+E2</f>
        <v>1.0150000000000001</v>
      </c>
    </row>
    <row r="7" spans="1:8" x14ac:dyDescent="0.2">
      <c r="B7" t="s">
        <v>69</v>
      </c>
      <c r="C7">
        <f>C6/1.4</f>
        <v>0.72500000000000009</v>
      </c>
    </row>
    <row r="8" spans="1:8" s="2" customFormat="1" x14ac:dyDescent="0.2">
      <c r="A8" s="26"/>
      <c r="B8" s="2" t="s">
        <v>70</v>
      </c>
      <c r="C8" s="2">
        <f>C7-E4</f>
        <v>0.56750000000000012</v>
      </c>
    </row>
    <row r="10" spans="1:8" s="2" customFormat="1" x14ac:dyDescent="0.2">
      <c r="A10" s="26"/>
      <c r="B10" s="2" t="s">
        <v>71</v>
      </c>
      <c r="C10" s="2">
        <f>E2+E3-C7</f>
        <v>0.29000000000000004</v>
      </c>
    </row>
    <row r="12" spans="1:8" x14ac:dyDescent="0.2">
      <c r="B12" t="s">
        <v>72</v>
      </c>
      <c r="C12">
        <f>7%*C8</f>
        <v>3.972500000000001E-2</v>
      </c>
      <c r="E12" t="s">
        <v>82</v>
      </c>
    </row>
    <row r="13" spans="1:8" x14ac:dyDescent="0.2">
      <c r="B13" t="s">
        <v>73</v>
      </c>
      <c r="C13">
        <f>C10*11%</f>
        <v>3.1900000000000005E-2</v>
      </c>
      <c r="E13">
        <f>C6</f>
        <v>1.0150000000000001</v>
      </c>
      <c r="F13">
        <f>E4</f>
        <v>0.1575</v>
      </c>
      <c r="G13">
        <f>C8</f>
        <v>0.56750000000000012</v>
      </c>
      <c r="H13">
        <f>E13-F13-G13</f>
        <v>0.29000000000000004</v>
      </c>
    </row>
    <row r="14" spans="1:8" s="2" customFormat="1" x14ac:dyDescent="0.2">
      <c r="A14" s="26"/>
      <c r="B14" s="2" t="s">
        <v>74</v>
      </c>
      <c r="C14" s="2">
        <f>SUM(C12:C13)</f>
        <v>7.1625000000000022E-2</v>
      </c>
    </row>
    <row r="16" spans="1:8" x14ac:dyDescent="0.2">
      <c r="A16" s="25" t="s">
        <v>75</v>
      </c>
      <c r="B16" t="s">
        <v>76</v>
      </c>
      <c r="C16">
        <f>SQRT(2*6*60000/0.5)</f>
        <v>1200</v>
      </c>
      <c r="D16">
        <v>10000</v>
      </c>
    </row>
    <row r="17" spans="1:4" x14ac:dyDescent="0.2">
      <c r="B17" t="s">
        <v>77</v>
      </c>
      <c r="C17">
        <f>60000/C16</f>
        <v>50</v>
      </c>
      <c r="D17">
        <f>60000/D16</f>
        <v>6</v>
      </c>
    </row>
    <row r="18" spans="1:4" x14ac:dyDescent="0.2">
      <c r="B18" t="s">
        <v>78</v>
      </c>
      <c r="C18">
        <f>6*C17</f>
        <v>300</v>
      </c>
      <c r="D18">
        <f>6*D17</f>
        <v>36</v>
      </c>
    </row>
    <row r="19" spans="1:4" x14ac:dyDescent="0.2">
      <c r="B19" t="s">
        <v>79</v>
      </c>
      <c r="C19">
        <f>C16/2*0.5</f>
        <v>300</v>
      </c>
      <c r="D19">
        <f>D16/2*2</f>
        <v>10000</v>
      </c>
    </row>
    <row r="20" spans="1:4" x14ac:dyDescent="0.2">
      <c r="B20" t="s">
        <v>24</v>
      </c>
      <c r="C20">
        <f>60000*12</f>
        <v>720000</v>
      </c>
      <c r="D20">
        <f>60000*12*0.99</f>
        <v>712800</v>
      </c>
    </row>
    <row r="21" spans="1:4" x14ac:dyDescent="0.2">
      <c r="B21" t="s">
        <v>80</v>
      </c>
      <c r="C21" s="2">
        <f>SUM(C18:C20)</f>
        <v>720600</v>
      </c>
      <c r="D21">
        <f>SUM(D18:D20)</f>
        <v>722836</v>
      </c>
    </row>
    <row r="24" spans="1:4" ht="16" x14ac:dyDescent="0.2">
      <c r="A24" s="27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834C-EEAF-4A54-B05A-5A602237B833}">
  <sheetPr codeName="Sheet2"/>
  <dimension ref="A1:F1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25.6640625" bestFit="1" customWidth="1"/>
    <col min="2" max="2" width="13.33203125" customWidth="1"/>
    <col min="3" max="3" width="12" bestFit="1" customWidth="1"/>
    <col min="4" max="6" width="9.83203125" bestFit="1" customWidth="1"/>
    <col min="7" max="7" width="9.5" bestFit="1" customWidth="1"/>
  </cols>
  <sheetData>
    <row r="1" spans="1:6" x14ac:dyDescent="0.2">
      <c r="A1" t="s">
        <v>13</v>
      </c>
      <c r="B1" s="1"/>
      <c r="C1" s="1"/>
      <c r="D1" s="1"/>
      <c r="E1" s="1"/>
      <c r="F1" s="1"/>
    </row>
    <row r="2" spans="1:6" x14ac:dyDescent="0.2">
      <c r="A2">
        <v>1</v>
      </c>
      <c r="B2" s="1">
        <v>1440000</v>
      </c>
      <c r="C2" s="1">
        <f>25%*B2</f>
        <v>360000</v>
      </c>
      <c r="D2" s="1">
        <f>C2*30%</f>
        <v>108000</v>
      </c>
      <c r="E2">
        <v>2</v>
      </c>
    </row>
    <row r="3" spans="1:6" s="2" customFormat="1" x14ac:dyDescent="0.2">
      <c r="A3" s="29">
        <v>2</v>
      </c>
      <c r="B3" s="1">
        <f>B2-C2</f>
        <v>1080000</v>
      </c>
      <c r="C3" s="1">
        <f>25%*B3</f>
        <v>270000</v>
      </c>
      <c r="D3" s="1">
        <f>C3*30%</f>
        <v>81000</v>
      </c>
      <c r="E3" s="29">
        <v>3</v>
      </c>
    </row>
    <row r="4" spans="1:6" x14ac:dyDescent="0.2">
      <c r="A4">
        <v>3</v>
      </c>
      <c r="B4" s="1">
        <f>B3-C3</f>
        <v>810000</v>
      </c>
      <c r="C4" s="1">
        <f>B4-225000</f>
        <v>585000</v>
      </c>
      <c r="D4" s="1">
        <f>C4*30%</f>
        <v>175500</v>
      </c>
      <c r="E4">
        <v>4</v>
      </c>
    </row>
    <row r="6" spans="1:6" x14ac:dyDescent="0.2">
      <c r="A6" t="s">
        <v>13</v>
      </c>
      <c r="B6">
        <v>0</v>
      </c>
      <c r="C6">
        <v>1</v>
      </c>
      <c r="D6">
        <v>2</v>
      </c>
      <c r="E6">
        <v>3</v>
      </c>
      <c r="F6">
        <v>4</v>
      </c>
    </row>
    <row r="7" spans="1:6" x14ac:dyDescent="0.2">
      <c r="A7" t="s">
        <v>17</v>
      </c>
      <c r="B7" s="1">
        <v>-1440000</v>
      </c>
      <c r="C7" s="1"/>
      <c r="D7" s="1"/>
      <c r="E7" s="1">
        <v>225000</v>
      </c>
      <c r="F7" s="1"/>
    </row>
    <row r="8" spans="1:6" x14ac:dyDescent="0.2">
      <c r="A8" t="s">
        <v>18</v>
      </c>
      <c r="B8" s="1"/>
      <c r="C8" s="1">
        <v>-90000</v>
      </c>
      <c r="D8" s="1">
        <v>-90000</v>
      </c>
      <c r="E8" s="1">
        <v>-90000</v>
      </c>
      <c r="F8" s="1"/>
    </row>
    <row r="9" spans="1:6" x14ac:dyDescent="0.2">
      <c r="A9" t="s">
        <v>19</v>
      </c>
      <c r="B9" s="1"/>
      <c r="C9" s="1"/>
      <c r="D9" s="1">
        <f>-C8*30%</f>
        <v>27000</v>
      </c>
      <c r="E9" s="1">
        <f t="shared" ref="E9:F9" si="0">-D8*30%</f>
        <v>27000</v>
      </c>
      <c r="F9" s="1">
        <f>-E8*30%</f>
        <v>27000</v>
      </c>
    </row>
    <row r="10" spans="1:6" x14ac:dyDescent="0.2">
      <c r="A10" t="s">
        <v>16</v>
      </c>
      <c r="B10" s="1"/>
      <c r="C10" s="1"/>
      <c r="D10" s="1">
        <f>D2</f>
        <v>108000</v>
      </c>
      <c r="E10" s="1">
        <f>D3</f>
        <v>81000</v>
      </c>
      <c r="F10" s="1">
        <f>D4</f>
        <v>175500</v>
      </c>
    </row>
    <row r="11" spans="1:6" x14ac:dyDescent="0.2">
      <c r="A11" t="s">
        <v>1</v>
      </c>
      <c r="B11" s="1">
        <f>B7+B8+B9+B10</f>
        <v>-1440000</v>
      </c>
      <c r="C11" s="1">
        <f t="shared" ref="C11:F11" si="1">C7+C8+C9+C10</f>
        <v>-90000</v>
      </c>
      <c r="D11" s="1">
        <f t="shared" si="1"/>
        <v>45000</v>
      </c>
      <c r="E11" s="1">
        <f t="shared" si="1"/>
        <v>243000</v>
      </c>
      <c r="F11" s="1">
        <f t="shared" si="1"/>
        <v>202500</v>
      </c>
    </row>
    <row r="12" spans="1:6" x14ac:dyDescent="0.2">
      <c r="A12" t="s">
        <v>20</v>
      </c>
      <c r="B12">
        <f>1/(1+7%)^B6</f>
        <v>1</v>
      </c>
      <c r="C12">
        <f t="shared" ref="C12:F12" si="2">1/(1+7%)^C6</f>
        <v>0.93457943925233644</v>
      </c>
      <c r="D12">
        <f t="shared" si="2"/>
        <v>0.87343872827321156</v>
      </c>
      <c r="E12">
        <f t="shared" si="2"/>
        <v>0.81629787689085187</v>
      </c>
      <c r="F12">
        <f t="shared" si="2"/>
        <v>0.7628952120475252</v>
      </c>
    </row>
    <row r="13" spans="1:6" s="2" customFormat="1" x14ac:dyDescent="0.2">
      <c r="A13" s="2" t="s">
        <v>2</v>
      </c>
      <c r="B13" s="17">
        <f>SUMPRODUCT(B12:F12,B11:F11)</f>
        <v>-1131960.7422363148</v>
      </c>
      <c r="C13" s="17"/>
      <c r="D13" s="17"/>
      <c r="E13" s="17"/>
      <c r="F13" s="17"/>
    </row>
    <row r="14" spans="1:6" x14ac:dyDescent="0.2">
      <c r="B14" s="1"/>
      <c r="C14" s="1"/>
      <c r="D14" s="1"/>
      <c r="E14" s="1"/>
      <c r="F14" s="1"/>
    </row>
    <row r="15" spans="1:6" x14ac:dyDescent="0.2">
      <c r="A15" t="s">
        <v>21</v>
      </c>
      <c r="B15" s="1">
        <v>-620000</v>
      </c>
      <c r="C15" s="1">
        <v>-620000</v>
      </c>
      <c r="D15" s="1">
        <v>-620000</v>
      </c>
      <c r="E15" s="1"/>
      <c r="F15" s="1"/>
    </row>
    <row r="16" spans="1:6" x14ac:dyDescent="0.2">
      <c r="A16" t="s">
        <v>19</v>
      </c>
      <c r="B16" s="1"/>
      <c r="C16" s="1"/>
      <c r="D16" s="1">
        <f>-B15*30%</f>
        <v>186000</v>
      </c>
      <c r="E16" s="1">
        <f>-C15*30%</f>
        <v>186000</v>
      </c>
      <c r="F16" s="1">
        <f>-D15*30%</f>
        <v>186000</v>
      </c>
    </row>
    <row r="17" spans="1:6" x14ac:dyDescent="0.2">
      <c r="A17" t="s">
        <v>1</v>
      </c>
      <c r="B17" s="1">
        <f>B15+B16</f>
        <v>-620000</v>
      </c>
      <c r="C17" s="1">
        <f t="shared" ref="C17:F17" si="3">C15+C16</f>
        <v>-620000</v>
      </c>
      <c r="D17" s="1">
        <f t="shared" si="3"/>
        <v>-434000</v>
      </c>
      <c r="E17" s="1">
        <f t="shared" si="3"/>
        <v>186000</v>
      </c>
      <c r="F17" s="1">
        <f t="shared" si="3"/>
        <v>186000</v>
      </c>
    </row>
    <row r="18" spans="1:6" x14ac:dyDescent="0.2">
      <c r="A18" t="s">
        <v>20</v>
      </c>
      <c r="B18">
        <f>B12</f>
        <v>1</v>
      </c>
      <c r="C18">
        <f t="shared" ref="C18:F18" si="4">C12</f>
        <v>0.93457943925233644</v>
      </c>
      <c r="D18">
        <f t="shared" si="4"/>
        <v>0.87343872827321156</v>
      </c>
      <c r="E18">
        <f t="shared" si="4"/>
        <v>0.81629787689085187</v>
      </c>
      <c r="F18">
        <f t="shared" si="4"/>
        <v>0.7628952120475252</v>
      </c>
    </row>
    <row r="19" spans="1:6" s="29" customFormat="1" x14ac:dyDescent="0.2">
      <c r="A19" s="29" t="s">
        <v>2</v>
      </c>
      <c r="B19" s="31">
        <f>SUMPRODUCT(B18:F18,B17:F17)</f>
        <v>-1284781.7458644842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B06DD-2FEC-40C2-97F8-33A900793F18}">
  <dimension ref="A1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1" x14ac:dyDescent="0.2">
      <c r="A1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F615B-78AA-465D-8DEF-FCB0CA553736}">
  <dimension ref="A1:B7"/>
  <sheetViews>
    <sheetView topLeftCell="A2" workbookViewId="0">
      <selection activeCell="B7" sqref="B7"/>
    </sheetView>
  </sheetViews>
  <sheetFormatPr baseColWidth="10" defaultColWidth="8.83203125" defaultRowHeight="15" x14ac:dyDescent="0.2"/>
  <cols>
    <col min="1" max="1" width="30" customWidth="1"/>
  </cols>
  <sheetData>
    <row r="1" spans="1:2" x14ac:dyDescent="0.2">
      <c r="A1" t="s">
        <v>34</v>
      </c>
      <c r="B1">
        <v>140</v>
      </c>
    </row>
    <row r="2" spans="1:2" x14ac:dyDescent="0.2">
      <c r="A2" t="s">
        <v>35</v>
      </c>
      <c r="B2">
        <v>-40</v>
      </c>
    </row>
    <row r="3" spans="1:2" x14ac:dyDescent="0.2">
      <c r="A3" t="s">
        <v>36</v>
      </c>
      <c r="B3">
        <v>10</v>
      </c>
    </row>
    <row r="4" spans="1:2" x14ac:dyDescent="0.2">
      <c r="A4" t="s">
        <v>37</v>
      </c>
      <c r="B4">
        <v>2</v>
      </c>
    </row>
    <row r="5" spans="1:2" x14ac:dyDescent="0.2">
      <c r="A5" t="s">
        <v>38</v>
      </c>
      <c r="B5">
        <f>(B1+B2+B3)/B4</f>
        <v>55</v>
      </c>
    </row>
    <row r="7" spans="1:2" x14ac:dyDescent="0.2">
      <c r="A7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B728-3F27-4DBD-ACB1-F37AFB14F4B8}">
  <dimension ref="A1:G32"/>
  <sheetViews>
    <sheetView topLeftCell="A6" workbookViewId="0">
      <selection activeCell="C27" sqref="C27"/>
    </sheetView>
  </sheetViews>
  <sheetFormatPr baseColWidth="10" defaultColWidth="8.83203125" defaultRowHeight="15" x14ac:dyDescent="0.2"/>
  <cols>
    <col min="1" max="1" width="35.5" bestFit="1" customWidth="1"/>
  </cols>
  <sheetData>
    <row r="1" spans="1:2" x14ac:dyDescent="0.2">
      <c r="A1" t="s">
        <v>40</v>
      </c>
      <c r="B1" s="20">
        <v>650</v>
      </c>
    </row>
    <row r="2" spans="1:2" x14ac:dyDescent="0.2">
      <c r="A2" t="s">
        <v>41</v>
      </c>
      <c r="B2" s="20">
        <v>21.25</v>
      </c>
    </row>
    <row r="3" spans="1:2" x14ac:dyDescent="0.2">
      <c r="A3" t="s">
        <v>42</v>
      </c>
      <c r="B3" s="20">
        <v>32.5</v>
      </c>
    </row>
    <row r="4" spans="1:2" x14ac:dyDescent="0.2">
      <c r="A4" t="s">
        <v>43</v>
      </c>
      <c r="B4" s="20">
        <v>24.28</v>
      </c>
    </row>
    <row r="5" spans="1:2" x14ac:dyDescent="0.2">
      <c r="A5" t="s">
        <v>44</v>
      </c>
      <c r="B5" s="20">
        <v>6.2549999999999999</v>
      </c>
    </row>
    <row r="6" spans="1:2" x14ac:dyDescent="0.2">
      <c r="A6" t="s">
        <v>45</v>
      </c>
      <c r="B6" s="20">
        <v>250.67</v>
      </c>
    </row>
    <row r="7" spans="1:2" x14ac:dyDescent="0.2">
      <c r="A7" t="s">
        <v>46</v>
      </c>
      <c r="B7" s="20">
        <v>82.5</v>
      </c>
    </row>
    <row r="8" spans="1:2" x14ac:dyDescent="0.2">
      <c r="A8" t="s">
        <v>47</v>
      </c>
      <c r="B8" s="20">
        <v>71.3</v>
      </c>
    </row>
    <row r="9" spans="1:2" x14ac:dyDescent="0.2">
      <c r="A9" t="s">
        <v>48</v>
      </c>
      <c r="B9" s="18">
        <v>0.35</v>
      </c>
    </row>
    <row r="11" spans="1:2" x14ac:dyDescent="0.2">
      <c r="A11" t="s">
        <v>49</v>
      </c>
      <c r="B11" s="20">
        <f>B1+B2*(1-B9)+B3+B4+B5</f>
        <v>726.84749999999997</v>
      </c>
    </row>
    <row r="12" spans="1:2" x14ac:dyDescent="0.2">
      <c r="A12" t="s">
        <v>50</v>
      </c>
      <c r="B12" s="20">
        <f>B6-B7+B8</f>
        <v>239.46999999999997</v>
      </c>
    </row>
    <row r="13" spans="1:2" s="2" customFormat="1" x14ac:dyDescent="0.2">
      <c r="A13" s="2" t="s">
        <v>51</v>
      </c>
      <c r="B13" s="21">
        <f>B11-B12</f>
        <v>487.3775</v>
      </c>
    </row>
    <row r="15" spans="1:2" x14ac:dyDescent="0.2">
      <c r="A15" s="2" t="s">
        <v>52</v>
      </c>
    </row>
    <row r="16" spans="1:2" x14ac:dyDescent="0.2">
      <c r="A16" s="2"/>
    </row>
    <row r="17" spans="1:7" x14ac:dyDescent="0.2">
      <c r="A17" t="s">
        <v>91</v>
      </c>
      <c r="B17">
        <v>95</v>
      </c>
    </row>
    <row r="18" spans="1:7" x14ac:dyDescent="0.2">
      <c r="A18" t="s">
        <v>92</v>
      </c>
      <c r="B18">
        <v>3</v>
      </c>
    </row>
    <row r="19" spans="1:7" x14ac:dyDescent="0.2">
      <c r="A19" t="s">
        <v>93</v>
      </c>
      <c r="B19">
        <v>4</v>
      </c>
    </row>
    <row r="20" spans="1:7" x14ac:dyDescent="0.2">
      <c r="A20" t="s">
        <v>94</v>
      </c>
      <c r="B20">
        <v>5</v>
      </c>
    </row>
    <row r="21" spans="1:7" x14ac:dyDescent="0.2">
      <c r="A21" s="2"/>
    </row>
    <row r="22" spans="1:7" x14ac:dyDescent="0.2">
      <c r="A22" t="s">
        <v>13</v>
      </c>
      <c r="B22">
        <v>0</v>
      </c>
      <c r="C22">
        <v>1</v>
      </c>
      <c r="D22">
        <v>2</v>
      </c>
      <c r="E22">
        <v>3</v>
      </c>
    </row>
    <row r="23" spans="1:7" x14ac:dyDescent="0.2">
      <c r="A23" s="29" t="s">
        <v>89</v>
      </c>
      <c r="B23">
        <v>-95</v>
      </c>
      <c r="C23">
        <v>4</v>
      </c>
      <c r="D23">
        <v>4</v>
      </c>
      <c r="E23">
        <v>109</v>
      </c>
    </row>
    <row r="24" spans="1:7" x14ac:dyDescent="0.2">
      <c r="A24" t="s">
        <v>90</v>
      </c>
      <c r="B24" s="19">
        <f>IRR(B23:E23)</f>
        <v>7.469777491116214E-2</v>
      </c>
    </row>
    <row r="26" spans="1:7" x14ac:dyDescent="0.2">
      <c r="A26" s="2" t="s">
        <v>95</v>
      </c>
    </row>
    <row r="27" spans="1:7" x14ac:dyDescent="0.2">
      <c r="A27" s="30" t="s">
        <v>83</v>
      </c>
      <c r="C27" s="20">
        <v>95</v>
      </c>
      <c r="D27" s="20">
        <f>C32</f>
        <v>98.0962886165604</v>
      </c>
      <c r="E27" s="20">
        <f>D32</f>
        <v>94.0962886165604</v>
      </c>
      <c r="G27" t="s">
        <v>98</v>
      </c>
    </row>
    <row r="28" spans="1:7" x14ac:dyDescent="0.2">
      <c r="A28" s="30" t="s">
        <v>84</v>
      </c>
      <c r="C28" s="20">
        <v>4</v>
      </c>
      <c r="D28" s="20">
        <v>4</v>
      </c>
      <c r="E28" s="20">
        <v>4</v>
      </c>
      <c r="G28" t="s">
        <v>96</v>
      </c>
    </row>
    <row r="29" spans="1:7" x14ac:dyDescent="0.2">
      <c r="A29" s="30" t="s">
        <v>85</v>
      </c>
      <c r="C29" s="20">
        <f>C27*B24-C28</f>
        <v>3.0962886165604031</v>
      </c>
      <c r="D29" s="20">
        <f>D27*C24-D28</f>
        <v>-4</v>
      </c>
      <c r="E29" s="20">
        <f>E27*C24-E28</f>
        <v>-4</v>
      </c>
      <c r="G29" t="s">
        <v>96</v>
      </c>
    </row>
    <row r="30" spans="1:7" x14ac:dyDescent="0.2">
      <c r="A30" s="30" t="s">
        <v>86</v>
      </c>
      <c r="C30" s="20">
        <v>-4</v>
      </c>
      <c r="D30" s="20">
        <v>-4</v>
      </c>
      <c r="E30" s="20">
        <v>-4</v>
      </c>
      <c r="G30" t="s">
        <v>97</v>
      </c>
    </row>
    <row r="31" spans="1:7" x14ac:dyDescent="0.2">
      <c r="A31" s="30" t="s">
        <v>87</v>
      </c>
      <c r="C31" s="20"/>
      <c r="D31" s="20"/>
      <c r="E31" s="20">
        <v>-105</v>
      </c>
      <c r="G31" t="s">
        <v>97</v>
      </c>
    </row>
    <row r="32" spans="1:7" x14ac:dyDescent="0.2">
      <c r="A32" s="30" t="s">
        <v>88</v>
      </c>
      <c r="C32" s="20">
        <f>C27+C28+C29+C30</f>
        <v>98.0962886165604</v>
      </c>
      <c r="D32" s="20">
        <f>D27+D28+D29+D30</f>
        <v>94.0962886165604</v>
      </c>
      <c r="E32" s="20">
        <f>E27+E28+E29+E30+E31</f>
        <v>-14.9037113834396</v>
      </c>
      <c r="G32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BFF41-0564-4E79-9248-4D3DD37B713F}">
  <dimension ref="A1"/>
  <sheetViews>
    <sheetView workbookViewId="0">
      <selection activeCell="F31" sqref="F31"/>
    </sheetView>
  </sheetViews>
  <sheetFormatPr baseColWidth="10" defaultColWidth="8.83203125" defaultRowHeight="15" x14ac:dyDescent="0.2"/>
  <sheetData>
    <row r="1" spans="1:1" x14ac:dyDescent="0.2">
      <c r="A1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968E-6354-44A8-A53D-D743ED92EA7C}">
  <dimension ref="A1:E7"/>
  <sheetViews>
    <sheetView workbookViewId="0">
      <selection activeCell="E23" sqref="E23"/>
    </sheetView>
  </sheetViews>
  <sheetFormatPr baseColWidth="10" defaultColWidth="8.83203125" defaultRowHeight="15" x14ac:dyDescent="0.2"/>
  <cols>
    <col min="1" max="1" width="17.83203125" customWidth="1"/>
  </cols>
  <sheetData>
    <row r="1" spans="1:5" x14ac:dyDescent="0.2">
      <c r="B1">
        <v>1</v>
      </c>
      <c r="C1">
        <v>2</v>
      </c>
      <c r="D1">
        <v>3</v>
      </c>
      <c r="E1">
        <v>4</v>
      </c>
    </row>
    <row r="2" spans="1:5" x14ac:dyDescent="0.2">
      <c r="A2" t="s">
        <v>54</v>
      </c>
      <c r="B2">
        <v>0.05</v>
      </c>
      <c r="C2">
        <v>0.05</v>
      </c>
      <c r="D2">
        <v>0.06</v>
      </c>
      <c r="E2">
        <v>7.0000000000000007E-2</v>
      </c>
    </row>
    <row r="3" spans="1:5" x14ac:dyDescent="0.2">
      <c r="A3" t="s">
        <v>55</v>
      </c>
      <c r="E3">
        <v>1.1000000000000001</v>
      </c>
    </row>
    <row r="4" spans="1:5" x14ac:dyDescent="0.2">
      <c r="A4" t="s">
        <v>56</v>
      </c>
      <c r="B4">
        <f>1/(1+8%)^B1</f>
        <v>0.92592592592592582</v>
      </c>
      <c r="C4">
        <f t="shared" ref="C4:E4" si="0">1/(1+8%)^C1</f>
        <v>0.85733882030178321</v>
      </c>
      <c r="D4">
        <f t="shared" si="0"/>
        <v>0.79383224102016958</v>
      </c>
      <c r="E4">
        <f t="shared" si="0"/>
        <v>0.73502985279645328</v>
      </c>
    </row>
    <row r="5" spans="1:5" x14ac:dyDescent="0.2">
      <c r="A5" t="s">
        <v>57</v>
      </c>
      <c r="B5">
        <f>SUMPRODUCT(B4:E4,B2:E2)</f>
        <v>0.18824526146834736</v>
      </c>
    </row>
    <row r="6" spans="1:5" x14ac:dyDescent="0.2">
      <c r="A6" t="s">
        <v>58</v>
      </c>
      <c r="B6">
        <f>(E3-E2)*E4</f>
        <v>0.75708074838034689</v>
      </c>
    </row>
    <row r="7" spans="1:5" x14ac:dyDescent="0.2">
      <c r="A7" t="s">
        <v>59</v>
      </c>
      <c r="B7">
        <f>B5+B6</f>
        <v>0.94532600984869419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3FC2-6B74-4865-B973-A746AF430B96}">
  <dimension ref="A1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" x14ac:dyDescent="0.2">
      <c r="A1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3EBC-9538-4F38-9527-96E28E260EAE}">
  <dimension ref="A1:A4"/>
  <sheetViews>
    <sheetView workbookViewId="0">
      <selection activeCell="D11" sqref="D11"/>
    </sheetView>
  </sheetViews>
  <sheetFormatPr baseColWidth="10" defaultColWidth="8.83203125" defaultRowHeight="15" x14ac:dyDescent="0.2"/>
  <sheetData>
    <row r="1" spans="1:1" s="2" customFormat="1" ht="16" x14ac:dyDescent="0.2">
      <c r="A1" s="22" t="s">
        <v>63</v>
      </c>
    </row>
    <row r="3" spans="1:1" x14ac:dyDescent="0.2">
      <c r="A3" t="s">
        <v>61</v>
      </c>
    </row>
    <row r="4" spans="1:1" x14ac:dyDescent="0.2">
      <c r="A4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F7ECA890E00CDE43A80048227272DEC7" ma:contentTypeVersion="3" ma:contentTypeDescription="Создание документа." ma:contentTypeScope="" ma:versionID="e5fc6fb2fbbd816baee153392c17bcea">
  <xsd:schema xmlns:xsd="http://www.w3.org/2001/XMLSchema" xmlns:xs="http://www.w3.org/2001/XMLSchema" xmlns:p="http://schemas.microsoft.com/office/2006/metadata/properties" xmlns:ns2="02c9ef79-c414-455e-8b8f-0c91b69265d0" targetNamespace="http://schemas.microsoft.com/office/2006/metadata/properties" ma:root="true" ma:fieldsID="8ee14f33f74841b7b6773d68d7cfaf8a" ns2:_="">
    <xsd:import namespace="02c9ef79-c414-455e-8b8f-0c91b69265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c9ef79-c414-455e-8b8f-0c91b69265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31799B-F659-4525-968C-9B4CD546A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c9ef79-c414-455e-8b8f-0c91b69265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D293AC-DDF7-464B-AAA1-29FF18FF4EC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8EE4F6A-095E-4F7A-8157-A72B52958E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Microsoft Office User</cp:lastModifiedBy>
  <dcterms:created xsi:type="dcterms:W3CDTF">2022-12-19T13:33:29Z</dcterms:created>
  <dcterms:modified xsi:type="dcterms:W3CDTF">2024-01-08T22:52:19Z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0x010100F7ECA890E00CDE43A80048227272DEC7</vt:lpwstr>
  </property>
</Properties>
</file>