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oly\Desktop\PICs\"/>
    </mc:Choice>
  </mc:AlternateContent>
  <xr:revisionPtr revIDLastSave="0" documentId="8_{8419FE5C-3B3F-462F-A766-DC6F61C1C512}" xr6:coauthVersionLast="44" xr6:coauthVersionMax="44" xr10:uidLastSave="{00000000-0000-0000-0000-000000000000}"/>
  <workbookProtection lockStructure="1"/>
  <bookViews>
    <workbookView xWindow="-108" yWindow="-108" windowWidth="23256" windowHeight="12600" xr2:uid="{00000000-000D-0000-FFFF-FFFF00000000}"/>
  </bookViews>
  <sheets>
    <sheet name="Press-in (Imperial)" sheetId="10" r:id="rId1"/>
    <sheet name="Press-in (Metric)" sheetId="17" r:id="rId2"/>
    <sheet name="Floating (Imperial)" sheetId="12" r:id="rId3"/>
    <sheet name="Floating (Metric)" sheetId="18" r:id="rId4"/>
    <sheet name="Revision Log" sheetId="16" r:id="rId5"/>
  </sheets>
  <definedNames>
    <definedName name="_xlnm.Print_Area" localSheetId="2">'Floating (Imperial)'!$A$1:$E$43</definedName>
    <definedName name="_xlnm.Print_Area" localSheetId="3">'Floating (Metric)'!$A$1:$E$43</definedName>
    <definedName name="_xlnm.Print_Area" localSheetId="0">'Press-in (Imperial)'!$A$1:$E$43</definedName>
    <definedName name="_xlnm.Print_Area" localSheetId="1">'Press-in (Metric)'!$A$1:$E$43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0" i="12" l="1"/>
  <c r="AE60" i="18"/>
  <c r="Q84" i="17" l="1"/>
  <c r="Q83" i="17"/>
  <c r="Q82" i="17"/>
  <c r="Q81" i="17"/>
  <c r="Q80" i="17"/>
  <c r="Q84" i="10"/>
  <c r="Q83" i="10"/>
  <c r="Q82" i="10"/>
  <c r="Q81" i="10"/>
  <c r="Q80" i="10"/>
  <c r="S84" i="17" l="1"/>
  <c r="S83" i="17"/>
  <c r="S84" i="10"/>
  <c r="S83" i="10" l="1"/>
  <c r="Q79" i="17" l="1"/>
  <c r="Q79" i="10"/>
  <c r="S61" i="17" l="1"/>
  <c r="T61" i="17"/>
  <c r="AA62" i="18" l="1"/>
  <c r="AE61" i="12"/>
  <c r="AE51" i="12"/>
  <c r="AE37" i="12"/>
  <c r="AE61" i="10"/>
  <c r="AE51" i="10"/>
  <c r="AE37" i="10"/>
  <c r="O98" i="17"/>
  <c r="O98" i="10"/>
  <c r="AD61" i="17"/>
  <c r="E38" i="17" l="1"/>
  <c r="E38" i="10"/>
  <c r="P91" i="18"/>
  <c r="P90" i="18"/>
  <c r="R87" i="18"/>
  <c r="Q87" i="18" s="1"/>
  <c r="P87" i="18"/>
  <c r="R86" i="18"/>
  <c r="Q86" i="18" s="1"/>
  <c r="J37" i="18" s="1"/>
  <c r="A9" i="18" s="1"/>
  <c r="P86" i="18"/>
  <c r="T85" i="18"/>
  <c r="R85" i="18"/>
  <c r="Q85" i="18"/>
  <c r="P85" i="18"/>
  <c r="S73" i="18"/>
  <c r="R73" i="18"/>
  <c r="S72" i="18"/>
  <c r="R72" i="18"/>
  <c r="R71" i="18"/>
  <c r="S71" i="18" s="1"/>
  <c r="R70" i="18"/>
  <c r="S70" i="18" s="1"/>
  <c r="S69" i="18"/>
  <c r="R69" i="18"/>
  <c r="S67" i="18"/>
  <c r="R67" i="18"/>
  <c r="S66" i="18"/>
  <c r="R66" i="18"/>
  <c r="S65" i="18"/>
  <c r="R65" i="18"/>
  <c r="S64" i="18"/>
  <c r="R64" i="18"/>
  <c r="Q64" i="18"/>
  <c r="P64" i="18"/>
  <c r="M61" i="18"/>
  <c r="M60" i="18"/>
  <c r="U60" i="18" s="1"/>
  <c r="X60" i="18" s="1"/>
  <c r="M59" i="18"/>
  <c r="M58" i="18"/>
  <c r="W58" i="18" s="1"/>
  <c r="M57" i="18"/>
  <c r="W57" i="18" s="1"/>
  <c r="M56" i="18"/>
  <c r="W56" i="18" s="1"/>
  <c r="N55" i="18"/>
  <c r="M55" i="18"/>
  <c r="V55" i="18" s="1"/>
  <c r="Y55" i="18" s="1"/>
  <c r="T51" i="18"/>
  <c r="S51" i="18"/>
  <c r="R51" i="18"/>
  <c r="M51" i="18"/>
  <c r="U51" i="18" s="1"/>
  <c r="X51" i="18" s="1"/>
  <c r="AA60" i="18"/>
  <c r="AI60" i="18" s="1"/>
  <c r="T50" i="18"/>
  <c r="S50" i="18"/>
  <c r="R50" i="18"/>
  <c r="M50" i="18"/>
  <c r="W50" i="18" s="1"/>
  <c r="AA59" i="18"/>
  <c r="T49" i="18"/>
  <c r="S49" i="18"/>
  <c r="R49" i="18"/>
  <c r="M49" i="18"/>
  <c r="W49" i="18" s="1"/>
  <c r="AA58" i="18"/>
  <c r="T48" i="18"/>
  <c r="S48" i="18"/>
  <c r="R48" i="18"/>
  <c r="M48" i="18"/>
  <c r="W48" i="18" s="1"/>
  <c r="AA57" i="18"/>
  <c r="T47" i="18"/>
  <c r="S47" i="18"/>
  <c r="R47" i="18"/>
  <c r="M47" i="18"/>
  <c r="W47" i="18" s="1"/>
  <c r="T46" i="18"/>
  <c r="S46" i="18"/>
  <c r="R46" i="18"/>
  <c r="M46" i="18"/>
  <c r="W46" i="18" s="1"/>
  <c r="T45" i="18"/>
  <c r="S45" i="18"/>
  <c r="R45" i="18"/>
  <c r="N45" i="18"/>
  <c r="M45" i="18"/>
  <c r="W45" i="18" s="1"/>
  <c r="M41" i="18"/>
  <c r="V41" i="18" s="1"/>
  <c r="Y41" i="18" s="1"/>
  <c r="M40" i="18"/>
  <c r="W40" i="18" s="1"/>
  <c r="M39" i="18"/>
  <c r="W39" i="18" s="1"/>
  <c r="M38" i="18"/>
  <c r="W38" i="18" s="1"/>
  <c r="AG37" i="18"/>
  <c r="M37" i="18"/>
  <c r="W37" i="18" s="1"/>
  <c r="AG36" i="18"/>
  <c r="M36" i="18"/>
  <c r="V36" i="18" s="1"/>
  <c r="Y36" i="18" s="1"/>
  <c r="J36" i="18"/>
  <c r="AG35" i="18"/>
  <c r="N35" i="18"/>
  <c r="M35" i="18"/>
  <c r="W35" i="18" s="1"/>
  <c r="T31" i="18"/>
  <c r="S31" i="18"/>
  <c r="M31" i="18"/>
  <c r="W31" i="18" s="1"/>
  <c r="S30" i="18"/>
  <c r="T30" i="18" s="1"/>
  <c r="M30" i="18"/>
  <c r="W30" i="18" s="1"/>
  <c r="S29" i="18"/>
  <c r="T29" i="18" s="1"/>
  <c r="M29" i="18"/>
  <c r="V29" i="18" s="1"/>
  <c r="Y29" i="18" s="1"/>
  <c r="S28" i="18"/>
  <c r="T28" i="18" s="1"/>
  <c r="M28" i="18"/>
  <c r="U28" i="18" s="1"/>
  <c r="X28" i="18" s="1"/>
  <c r="A28" i="18"/>
  <c r="S27" i="18"/>
  <c r="T27" i="18" s="1"/>
  <c r="M27" i="18"/>
  <c r="W27" i="18" s="1"/>
  <c r="S26" i="18"/>
  <c r="T26" i="18" s="1"/>
  <c r="M26" i="18"/>
  <c r="W26" i="18" s="1"/>
  <c r="S25" i="18"/>
  <c r="T25" i="18" s="1"/>
  <c r="N25" i="18"/>
  <c r="M25" i="18"/>
  <c r="V25" i="18" s="1"/>
  <c r="Y25" i="18" s="1"/>
  <c r="T21" i="18"/>
  <c r="S21" i="18"/>
  <c r="O21" i="18"/>
  <c r="O31" i="18" s="1"/>
  <c r="O41" i="18" s="1"/>
  <c r="O51" i="18" s="1"/>
  <c r="O61" i="18" s="1"/>
  <c r="M21" i="18"/>
  <c r="U21" i="18" s="1"/>
  <c r="X21" i="18" s="1"/>
  <c r="T20" i="18"/>
  <c r="S20" i="18"/>
  <c r="O20" i="18"/>
  <c r="O30" i="18" s="1"/>
  <c r="O40" i="18" s="1"/>
  <c r="O50" i="18" s="1"/>
  <c r="O60" i="18" s="1"/>
  <c r="M20" i="18"/>
  <c r="V20" i="18" s="1"/>
  <c r="Y20" i="18" s="1"/>
  <c r="S19" i="18"/>
  <c r="T19" i="18" s="1"/>
  <c r="O19" i="18"/>
  <c r="O29" i="18" s="1"/>
  <c r="O39" i="18" s="1"/>
  <c r="O49" i="18" s="1"/>
  <c r="O59" i="18" s="1"/>
  <c r="M19" i="18"/>
  <c r="U19" i="18" s="1"/>
  <c r="X19" i="18" s="1"/>
  <c r="S18" i="18"/>
  <c r="T18" i="18" s="1"/>
  <c r="O18" i="18"/>
  <c r="O28" i="18" s="1"/>
  <c r="O38" i="18" s="1"/>
  <c r="O48" i="18" s="1"/>
  <c r="O58" i="18" s="1"/>
  <c r="M18" i="18"/>
  <c r="U18" i="18" s="1"/>
  <c r="X18" i="18" s="1"/>
  <c r="S17" i="18"/>
  <c r="T17" i="18" s="1"/>
  <c r="O17" i="18"/>
  <c r="O27" i="18" s="1"/>
  <c r="O37" i="18" s="1"/>
  <c r="O47" i="18" s="1"/>
  <c r="O57" i="18" s="1"/>
  <c r="M17" i="18"/>
  <c r="W17" i="18" s="1"/>
  <c r="T16" i="18"/>
  <c r="S16" i="18"/>
  <c r="O16" i="18"/>
  <c r="O26" i="18" s="1"/>
  <c r="O36" i="18" s="1"/>
  <c r="O46" i="18" s="1"/>
  <c r="O56" i="18" s="1"/>
  <c r="M16" i="18"/>
  <c r="W16" i="18" s="1"/>
  <c r="T15" i="18"/>
  <c r="S15" i="18"/>
  <c r="O15" i="18"/>
  <c r="O25" i="18" s="1"/>
  <c r="O35" i="18" s="1"/>
  <c r="O45" i="18" s="1"/>
  <c r="O55" i="18" s="1"/>
  <c r="N15" i="18"/>
  <c r="M15" i="18"/>
  <c r="V15" i="18" s="1"/>
  <c r="Y15" i="18" s="1"/>
  <c r="J13" i="18"/>
  <c r="A17" i="18" s="1"/>
  <c r="B17" i="18" s="1"/>
  <c r="B13" i="18"/>
  <c r="M11" i="18"/>
  <c r="W11" i="18" s="1"/>
  <c r="S10" i="18"/>
  <c r="T10" i="18" s="1"/>
  <c r="M10" i="18"/>
  <c r="V10" i="18" s="1"/>
  <c r="Y10" i="18" s="1"/>
  <c r="S9" i="18"/>
  <c r="T9" i="18" s="1"/>
  <c r="M9" i="18"/>
  <c r="V9" i="18" s="1"/>
  <c r="Y9" i="18" s="1"/>
  <c r="S8" i="18"/>
  <c r="T8" i="18" s="1"/>
  <c r="M8" i="18"/>
  <c r="V8" i="18" s="1"/>
  <c r="Y8" i="18" s="1"/>
  <c r="S7" i="18"/>
  <c r="T7" i="18" s="1"/>
  <c r="M7" i="18"/>
  <c r="U7" i="18" s="1"/>
  <c r="X7" i="18" s="1"/>
  <c r="J7" i="18"/>
  <c r="A13" i="18" s="1"/>
  <c r="S6" i="18"/>
  <c r="T6" i="18" s="1"/>
  <c r="M6" i="18"/>
  <c r="W6" i="18" s="1"/>
  <c r="T5" i="18"/>
  <c r="S5" i="18"/>
  <c r="N5" i="18"/>
  <c r="M5" i="18"/>
  <c r="W5" i="18" s="1"/>
  <c r="J5" i="18"/>
  <c r="AC13" i="18" s="1"/>
  <c r="J4" i="18"/>
  <c r="P94" i="17"/>
  <c r="P93" i="17"/>
  <c r="R90" i="17"/>
  <c r="Q90" i="17" s="1"/>
  <c r="P90" i="17"/>
  <c r="R89" i="17"/>
  <c r="Q89" i="17" s="1"/>
  <c r="P89" i="17"/>
  <c r="T88" i="17"/>
  <c r="R88" i="17"/>
  <c r="Q88" i="17" s="1"/>
  <c r="P88" i="17"/>
  <c r="J37" i="17" s="1"/>
  <c r="H51" i="17" s="1"/>
  <c r="R84" i="17"/>
  <c r="R83" i="17"/>
  <c r="S82" i="17"/>
  <c r="R82" i="17"/>
  <c r="P82" i="17" s="1"/>
  <c r="U82" i="17" s="1"/>
  <c r="S81" i="17"/>
  <c r="R81" i="17"/>
  <c r="V80" i="17"/>
  <c r="S80" i="17"/>
  <c r="R80" i="17"/>
  <c r="P80" i="17" s="1"/>
  <c r="S79" i="17"/>
  <c r="R79" i="17"/>
  <c r="S76" i="17"/>
  <c r="R76" i="17"/>
  <c r="R75" i="17"/>
  <c r="S75" i="17" s="1"/>
  <c r="S74" i="17"/>
  <c r="R74" i="17"/>
  <c r="R73" i="17"/>
  <c r="S73" i="17" s="1"/>
  <c r="R72" i="17"/>
  <c r="S72" i="17" s="1"/>
  <c r="J13" i="17" s="1"/>
  <c r="S70" i="17"/>
  <c r="R70" i="17"/>
  <c r="S69" i="17"/>
  <c r="R69" i="17"/>
  <c r="R68" i="17"/>
  <c r="S68" i="17" s="1"/>
  <c r="Q67" i="17"/>
  <c r="P67" i="17"/>
  <c r="AI61" i="17"/>
  <c r="AG61" i="17"/>
  <c r="AE61" i="17"/>
  <c r="M61" i="17"/>
  <c r="AI60" i="17"/>
  <c r="AG60" i="17"/>
  <c r="AE60" i="17"/>
  <c r="M60" i="17"/>
  <c r="AI59" i="17"/>
  <c r="AG59" i="17"/>
  <c r="AE59" i="17"/>
  <c r="M59" i="17"/>
  <c r="AI58" i="17"/>
  <c r="AG58" i="17"/>
  <c r="AE58" i="17"/>
  <c r="M58" i="17"/>
  <c r="W58" i="17" s="1"/>
  <c r="AI57" i="17"/>
  <c r="AG57" i="17"/>
  <c r="AE57" i="17"/>
  <c r="M57" i="17"/>
  <c r="W57" i="17" s="1"/>
  <c r="AI56" i="17"/>
  <c r="AG56" i="17"/>
  <c r="AE56" i="17"/>
  <c r="M56" i="17"/>
  <c r="W56" i="17" s="1"/>
  <c r="AI55" i="17"/>
  <c r="AG55" i="17"/>
  <c r="AE55" i="17"/>
  <c r="N55" i="17"/>
  <c r="M55" i="17"/>
  <c r="W55" i="17" s="1"/>
  <c r="AG51" i="17"/>
  <c r="T51" i="17"/>
  <c r="S51" i="17"/>
  <c r="R51" i="17"/>
  <c r="AE50" i="17"/>
  <c r="T50" i="17"/>
  <c r="S50" i="17"/>
  <c r="R50" i="17"/>
  <c r="AG49" i="17"/>
  <c r="T49" i="17"/>
  <c r="S49" i="17"/>
  <c r="R49" i="17"/>
  <c r="AE48" i="17"/>
  <c r="T48" i="17"/>
  <c r="S48" i="17"/>
  <c r="R48" i="17"/>
  <c r="AG47" i="17"/>
  <c r="T47" i="17"/>
  <c r="S47" i="17"/>
  <c r="R47" i="17"/>
  <c r="AE46" i="17"/>
  <c r="T46" i="17"/>
  <c r="S46" i="17"/>
  <c r="R46" i="17"/>
  <c r="AG45" i="17"/>
  <c r="T45" i="17"/>
  <c r="S45" i="17"/>
  <c r="R45" i="17"/>
  <c r="N45" i="17"/>
  <c r="M45" i="17"/>
  <c r="W45" i="17" s="1"/>
  <c r="H42" i="17"/>
  <c r="M41" i="17"/>
  <c r="W41" i="17" s="1"/>
  <c r="M40" i="17"/>
  <c r="W40" i="17" s="1"/>
  <c r="M39" i="17"/>
  <c r="M38" i="17"/>
  <c r="W38" i="17" s="1"/>
  <c r="AG37" i="17"/>
  <c r="M37" i="17"/>
  <c r="W37" i="17" s="1"/>
  <c r="A37" i="17"/>
  <c r="AE36" i="17"/>
  <c r="M36" i="17"/>
  <c r="W36" i="17" s="1"/>
  <c r="AE35" i="17"/>
  <c r="N35" i="17"/>
  <c r="M35" i="17"/>
  <c r="W35" i="17" s="1"/>
  <c r="A34" i="17"/>
  <c r="S31" i="17"/>
  <c r="T31" i="17" s="1"/>
  <c r="M31" i="17"/>
  <c r="W31" i="17" s="1"/>
  <c r="S30" i="17"/>
  <c r="T30" i="17" s="1"/>
  <c r="M30" i="17"/>
  <c r="V30" i="17" s="1"/>
  <c r="Y30" i="17" s="1"/>
  <c r="S29" i="17"/>
  <c r="T29" i="17" s="1"/>
  <c r="M29" i="17"/>
  <c r="W29" i="17" s="1"/>
  <c r="S28" i="17"/>
  <c r="T28" i="17" s="1"/>
  <c r="M28" i="17"/>
  <c r="V28" i="17" s="1"/>
  <c r="Y28" i="17" s="1"/>
  <c r="S27" i="17"/>
  <c r="T27" i="17" s="1"/>
  <c r="M27" i="17"/>
  <c r="V27" i="17" s="1"/>
  <c r="Y27" i="17" s="1"/>
  <c r="S26" i="17"/>
  <c r="T26" i="17" s="1"/>
  <c r="M26" i="17"/>
  <c r="V26" i="17" s="1"/>
  <c r="Y26" i="17" s="1"/>
  <c r="S25" i="17"/>
  <c r="T25" i="17" s="1"/>
  <c r="N25" i="17"/>
  <c r="M25" i="17"/>
  <c r="V25" i="17" s="1"/>
  <c r="Y25" i="17" s="1"/>
  <c r="S21" i="17"/>
  <c r="T21" i="17" s="1"/>
  <c r="O21" i="17"/>
  <c r="O31" i="17" s="1"/>
  <c r="O41" i="17" s="1"/>
  <c r="O51" i="17" s="1"/>
  <c r="O61" i="17" s="1"/>
  <c r="M21" i="17"/>
  <c r="V21" i="17" s="1"/>
  <c r="Y21" i="17" s="1"/>
  <c r="S20" i="17"/>
  <c r="T20" i="17" s="1"/>
  <c r="O20" i="17"/>
  <c r="O30" i="17" s="1"/>
  <c r="O40" i="17" s="1"/>
  <c r="O50" i="17" s="1"/>
  <c r="M20" i="17"/>
  <c r="W20" i="17" s="1"/>
  <c r="S19" i="17"/>
  <c r="T19" i="17" s="1"/>
  <c r="O19" i="17"/>
  <c r="O29" i="17" s="1"/>
  <c r="O39" i="17" s="1"/>
  <c r="O49" i="17" s="1"/>
  <c r="M19" i="17"/>
  <c r="W19" i="17" s="1"/>
  <c r="C19" i="17"/>
  <c r="S67" i="17" s="1"/>
  <c r="S18" i="17"/>
  <c r="T18" i="17" s="1"/>
  <c r="O18" i="17"/>
  <c r="O28" i="17" s="1"/>
  <c r="O38" i="17" s="1"/>
  <c r="O48" i="17" s="1"/>
  <c r="M18" i="17"/>
  <c r="V18" i="17" s="1"/>
  <c r="Y18" i="17" s="1"/>
  <c r="S17" i="17"/>
  <c r="T17" i="17" s="1"/>
  <c r="O17" i="17"/>
  <c r="O27" i="17" s="1"/>
  <c r="O37" i="17" s="1"/>
  <c r="O47" i="17" s="1"/>
  <c r="M17" i="17"/>
  <c r="U17" i="17" s="1"/>
  <c r="X17" i="17" s="1"/>
  <c r="S16" i="17"/>
  <c r="T16" i="17" s="1"/>
  <c r="O16" i="17"/>
  <c r="O26" i="17" s="1"/>
  <c r="O36" i="17" s="1"/>
  <c r="O46" i="17" s="1"/>
  <c r="M16" i="17"/>
  <c r="W16" i="17" s="1"/>
  <c r="S15" i="17"/>
  <c r="T15" i="17" s="1"/>
  <c r="O15" i="17"/>
  <c r="O25" i="17" s="1"/>
  <c r="N15" i="17"/>
  <c r="M15" i="17"/>
  <c r="V15" i="17" s="1"/>
  <c r="Y15" i="17" s="1"/>
  <c r="C15" i="17"/>
  <c r="R67" i="17" s="1"/>
  <c r="J7" i="17" s="1"/>
  <c r="A15" i="17" s="1"/>
  <c r="B15" i="17"/>
  <c r="M11" i="17"/>
  <c r="U11" i="17" s="1"/>
  <c r="X11" i="17" s="1"/>
  <c r="S10" i="17"/>
  <c r="T10" i="17" s="1"/>
  <c r="M10" i="17"/>
  <c r="W10" i="17" s="1"/>
  <c r="S9" i="17"/>
  <c r="T9" i="17" s="1"/>
  <c r="M9" i="17"/>
  <c r="W9" i="17" s="1"/>
  <c r="S8" i="17"/>
  <c r="T8" i="17" s="1"/>
  <c r="M8" i="17"/>
  <c r="W8" i="17" s="1"/>
  <c r="S7" i="17"/>
  <c r="T7" i="17" s="1"/>
  <c r="M7" i="17"/>
  <c r="W7" i="17" s="1"/>
  <c r="S6" i="17"/>
  <c r="T6" i="17" s="1"/>
  <c r="M6" i="17"/>
  <c r="W6" i="17" s="1"/>
  <c r="S5" i="17"/>
  <c r="T5" i="17" s="1"/>
  <c r="N5" i="17"/>
  <c r="M5" i="17"/>
  <c r="J5" i="17"/>
  <c r="AE23" i="17" s="1"/>
  <c r="J4" i="17"/>
  <c r="AP55" i="18" l="1"/>
  <c r="J29" i="18"/>
  <c r="J31" i="18" s="1"/>
  <c r="W25" i="18"/>
  <c r="V19" i="18"/>
  <c r="Y19" i="18" s="1"/>
  <c r="W10" i="18"/>
  <c r="W51" i="18"/>
  <c r="U10" i="18"/>
  <c r="X10" i="18" s="1"/>
  <c r="J9" i="18"/>
  <c r="J8" i="18" s="1"/>
  <c r="J26" i="18"/>
  <c r="J19" i="18"/>
  <c r="U61" i="18"/>
  <c r="X61" i="18" s="1"/>
  <c r="U31" i="18"/>
  <c r="X31" i="18" s="1"/>
  <c r="J15" i="18"/>
  <c r="J14" i="18" s="1"/>
  <c r="V31" i="18"/>
  <c r="Y31" i="18" s="1"/>
  <c r="AC3" i="18"/>
  <c r="V21" i="18"/>
  <c r="Y21" i="18" s="1"/>
  <c r="AC23" i="18"/>
  <c r="J33" i="18"/>
  <c r="U41" i="18"/>
  <c r="X41" i="18" s="1"/>
  <c r="W41" i="18"/>
  <c r="J11" i="18"/>
  <c r="J10" i="18" s="1"/>
  <c r="J17" i="18"/>
  <c r="J16" i="18" s="1"/>
  <c r="J30" i="18" s="1"/>
  <c r="V60" i="18"/>
  <c r="Y60" i="18" s="1"/>
  <c r="U15" i="18"/>
  <c r="X15" i="18" s="1"/>
  <c r="W36" i="18"/>
  <c r="V7" i="18"/>
  <c r="Y7" i="18" s="1"/>
  <c r="V28" i="18"/>
  <c r="Y28" i="18" s="1"/>
  <c r="W15" i="18"/>
  <c r="W19" i="18"/>
  <c r="W21" i="18"/>
  <c r="W29" i="18"/>
  <c r="W60" i="18"/>
  <c r="U5" i="18"/>
  <c r="X5" i="18" s="1"/>
  <c r="V18" i="18"/>
  <c r="Y18" i="18" s="1"/>
  <c r="J22" i="18"/>
  <c r="J24" i="18" s="1"/>
  <c r="J23" i="18" s="1"/>
  <c r="U29" i="18"/>
  <c r="X29" i="18" s="1"/>
  <c r="V5" i="18"/>
  <c r="Y5" i="18" s="1"/>
  <c r="W18" i="18"/>
  <c r="U40" i="18"/>
  <c r="X40" i="18" s="1"/>
  <c r="U45" i="18"/>
  <c r="X45" i="18" s="1"/>
  <c r="U30" i="18"/>
  <c r="X30" i="18" s="1"/>
  <c r="V40" i="18"/>
  <c r="Y40" i="18" s="1"/>
  <c r="V45" i="18"/>
  <c r="Y45" i="18" s="1"/>
  <c r="W55" i="18"/>
  <c r="U25" i="18"/>
  <c r="X25" i="18" s="1"/>
  <c r="U48" i="18"/>
  <c r="X48" i="18" s="1"/>
  <c r="V56" i="18"/>
  <c r="Y56" i="18" s="1"/>
  <c r="W20" i="18"/>
  <c r="W28" i="18"/>
  <c r="V37" i="18"/>
  <c r="Y37" i="18" s="1"/>
  <c r="V48" i="18"/>
  <c r="Y48" i="18" s="1"/>
  <c r="U36" i="18"/>
  <c r="X36" i="18" s="1"/>
  <c r="P79" i="17"/>
  <c r="U79" i="17" s="1"/>
  <c r="AE37" i="18"/>
  <c r="AC37" i="18"/>
  <c r="J22" i="17"/>
  <c r="J24" i="17" s="1"/>
  <c r="J23" i="17" s="1"/>
  <c r="W25" i="17"/>
  <c r="AC23" i="17"/>
  <c r="W61" i="17"/>
  <c r="P81" i="17"/>
  <c r="T81" i="17" s="1"/>
  <c r="P83" i="17"/>
  <c r="P84" i="17"/>
  <c r="U84" i="17" s="1"/>
  <c r="AC56" i="17"/>
  <c r="A11" i="17"/>
  <c r="U6" i="18"/>
  <c r="X6" i="18" s="1"/>
  <c r="U20" i="18"/>
  <c r="X20" i="18" s="1"/>
  <c r="V27" i="18"/>
  <c r="Y27" i="18" s="1"/>
  <c r="V30" i="18"/>
  <c r="Y30" i="18" s="1"/>
  <c r="W8" i="18"/>
  <c r="U27" i="18"/>
  <c r="X27" i="18" s="1"/>
  <c r="U17" i="18"/>
  <c r="X17" i="18" s="1"/>
  <c r="V17" i="18"/>
  <c r="Y17" i="18" s="1"/>
  <c r="U11" i="18"/>
  <c r="X11" i="18" s="1"/>
  <c r="V16" i="18"/>
  <c r="Y16" i="18" s="1"/>
  <c r="U46" i="18"/>
  <c r="X46" i="18" s="1"/>
  <c r="U26" i="18"/>
  <c r="X26" i="18" s="1"/>
  <c r="V46" i="18"/>
  <c r="Y46" i="18" s="1"/>
  <c r="U16" i="18"/>
  <c r="X16" i="18" s="1"/>
  <c r="W9" i="18"/>
  <c r="V26" i="18"/>
  <c r="Y26" i="18" s="1"/>
  <c r="V51" i="18"/>
  <c r="Y51" i="18" s="1"/>
  <c r="U50" i="18"/>
  <c r="X50" i="18" s="1"/>
  <c r="W7" i="18"/>
  <c r="AG45" i="18"/>
  <c r="V50" i="18"/>
  <c r="Y50" i="18" s="1"/>
  <c r="U29" i="17"/>
  <c r="X29" i="17" s="1"/>
  <c r="V11" i="17"/>
  <c r="Y11" i="17" s="1"/>
  <c r="W26" i="17"/>
  <c r="U41" i="17"/>
  <c r="X41" i="17" s="1"/>
  <c r="AC61" i="17"/>
  <c r="V41" i="17"/>
  <c r="Y41" i="17" s="1"/>
  <c r="AC57" i="17"/>
  <c r="AC45" i="18"/>
  <c r="AC47" i="18"/>
  <c r="AC35" i="18"/>
  <c r="AE45" i="18"/>
  <c r="AG46" i="18"/>
  <c r="AE47" i="18"/>
  <c r="AA55" i="18"/>
  <c r="AI55" i="18" s="1"/>
  <c r="AE35" i="18"/>
  <c r="AC50" i="18"/>
  <c r="AG51" i="18"/>
  <c r="AE62" i="17"/>
  <c r="AE53" i="17" s="1"/>
  <c r="V10" i="17"/>
  <c r="Y10" i="17" s="1"/>
  <c r="AG62" i="17"/>
  <c r="AG53" i="17" s="1"/>
  <c r="W11" i="17"/>
  <c r="V58" i="17"/>
  <c r="Y58" i="17" s="1"/>
  <c r="AC55" i="17"/>
  <c r="AC59" i="17"/>
  <c r="AC60" i="17"/>
  <c r="AC58" i="17"/>
  <c r="J9" i="17"/>
  <c r="J8" i="17" s="1"/>
  <c r="H41" i="17" s="1"/>
  <c r="U10" i="17"/>
  <c r="X10" i="17" s="1"/>
  <c r="W27" i="17"/>
  <c r="U58" i="17"/>
  <c r="X58" i="17" s="1"/>
  <c r="U8" i="17"/>
  <c r="X8" i="17" s="1"/>
  <c r="V17" i="17"/>
  <c r="Y17" i="17" s="1"/>
  <c r="U57" i="17"/>
  <c r="X57" i="17" s="1"/>
  <c r="W17" i="17"/>
  <c r="U16" i="17"/>
  <c r="X16" i="17" s="1"/>
  <c r="V57" i="17"/>
  <c r="Y57" i="17" s="1"/>
  <c r="W15" i="17"/>
  <c r="W28" i="17"/>
  <c r="V16" i="17"/>
  <c r="Y16" i="17" s="1"/>
  <c r="W18" i="17"/>
  <c r="AE58" i="18"/>
  <c r="AI58" i="18"/>
  <c r="AG58" i="18"/>
  <c r="AG42" i="18"/>
  <c r="AG33" i="18" s="1"/>
  <c r="AI59" i="18"/>
  <c r="AG59" i="18"/>
  <c r="AE59" i="18"/>
  <c r="AE57" i="18"/>
  <c r="AI57" i="18"/>
  <c r="AG57" i="18"/>
  <c r="AG48" i="18"/>
  <c r="AE50" i="18"/>
  <c r="U37" i="18"/>
  <c r="X37" i="18" s="1"/>
  <c r="AG50" i="18"/>
  <c r="U56" i="18"/>
  <c r="X56" i="18" s="1"/>
  <c r="U35" i="18"/>
  <c r="X35" i="18" s="1"/>
  <c r="AC36" i="18"/>
  <c r="V39" i="18"/>
  <c r="Y39" i="18" s="1"/>
  <c r="U57" i="18"/>
  <c r="X57" i="18" s="1"/>
  <c r="U39" i="18"/>
  <c r="X39" i="18" s="1"/>
  <c r="V35" i="18"/>
  <c r="Y35" i="18" s="1"/>
  <c r="AG47" i="18"/>
  <c r="AE49" i="18"/>
  <c r="AC51" i="18"/>
  <c r="V57" i="18"/>
  <c r="Y57" i="18" s="1"/>
  <c r="AC60" i="18"/>
  <c r="AA61" i="18"/>
  <c r="AE61" i="18" s="1"/>
  <c r="AC49" i="18"/>
  <c r="AE36" i="18"/>
  <c r="U38" i="18"/>
  <c r="X38" i="18" s="1"/>
  <c r="AC46" i="18"/>
  <c r="U47" i="18"/>
  <c r="X47" i="18" s="1"/>
  <c r="U58" i="18"/>
  <c r="X58" i="18" s="1"/>
  <c r="AG60" i="18"/>
  <c r="V38" i="18"/>
  <c r="Y38" i="18" s="1"/>
  <c r="V47" i="18"/>
  <c r="Y47" i="18" s="1"/>
  <c r="AG49" i="18"/>
  <c r="AE51" i="18"/>
  <c r="AA56" i="18"/>
  <c r="V58" i="18"/>
  <c r="Y58" i="18" s="1"/>
  <c r="AE46" i="18"/>
  <c r="AC48" i="18"/>
  <c r="U49" i="18"/>
  <c r="X49" i="18" s="1"/>
  <c r="U59" i="18"/>
  <c r="X59" i="18" s="1"/>
  <c r="V49" i="18"/>
  <c r="Y49" i="18" s="1"/>
  <c r="U55" i="18"/>
  <c r="X55" i="18" s="1"/>
  <c r="U8" i="18"/>
  <c r="X8" i="18" s="1"/>
  <c r="U9" i="18"/>
  <c r="X9" i="18" s="1"/>
  <c r="AE48" i="18"/>
  <c r="AO55" i="18"/>
  <c r="J17" i="17"/>
  <c r="J16" i="17" s="1"/>
  <c r="A19" i="17"/>
  <c r="B19" i="17" s="1"/>
  <c r="M48" i="17"/>
  <c r="O57" i="17"/>
  <c r="O58" i="17"/>
  <c r="M49" i="17"/>
  <c r="O60" i="17"/>
  <c r="M51" i="17"/>
  <c r="J15" i="17"/>
  <c r="J14" i="17" s="1"/>
  <c r="O35" i="17"/>
  <c r="O45" i="17" s="1"/>
  <c r="M50" i="17"/>
  <c r="O59" i="17"/>
  <c r="U80" i="17"/>
  <c r="T80" i="17"/>
  <c r="O56" i="17"/>
  <c r="M47" i="17"/>
  <c r="AG36" i="17"/>
  <c r="AG46" i="17"/>
  <c r="AG48" i="17"/>
  <c r="AC37" i="17"/>
  <c r="AC45" i="17"/>
  <c r="AC47" i="17"/>
  <c r="AC49" i="17"/>
  <c r="AC51" i="17"/>
  <c r="AC13" i="17"/>
  <c r="U15" i="17"/>
  <c r="X15" i="17" s="1"/>
  <c r="U40" i="17"/>
  <c r="X40" i="17" s="1"/>
  <c r="AG50" i="17"/>
  <c r="J29" i="17"/>
  <c r="J31" i="17" s="1"/>
  <c r="U5" i="17"/>
  <c r="X5" i="17" s="1"/>
  <c r="U9" i="17"/>
  <c r="X9" i="17" s="1"/>
  <c r="AE13" i="17"/>
  <c r="U31" i="17"/>
  <c r="X31" i="17" s="1"/>
  <c r="AC35" i="17"/>
  <c r="AE37" i="17"/>
  <c r="AE42" i="17" s="1"/>
  <c r="AE33" i="17" s="1"/>
  <c r="V40" i="17"/>
  <c r="Y40" i="17" s="1"/>
  <c r="AE45" i="17"/>
  <c r="AE47" i="17"/>
  <c r="AE49" i="17"/>
  <c r="AE51" i="17"/>
  <c r="V5" i="17"/>
  <c r="Y5" i="17" s="1"/>
  <c r="V9" i="17"/>
  <c r="Y9" i="17" s="1"/>
  <c r="U21" i="17"/>
  <c r="X21" i="17" s="1"/>
  <c r="U30" i="17"/>
  <c r="X30" i="17" s="1"/>
  <c r="V31" i="17"/>
  <c r="Y31" i="17" s="1"/>
  <c r="J11" i="17"/>
  <c r="J10" i="17" s="1"/>
  <c r="U20" i="17"/>
  <c r="X20" i="17" s="1"/>
  <c r="W21" i="17"/>
  <c r="V29" i="17"/>
  <c r="Y29" i="17" s="1"/>
  <c r="W30" i="17"/>
  <c r="U45" i="17"/>
  <c r="X45" i="17" s="1"/>
  <c r="U56" i="17"/>
  <c r="X56" i="17" s="1"/>
  <c r="V8" i="17"/>
  <c r="Y8" i="17" s="1"/>
  <c r="AC3" i="17"/>
  <c r="U18" i="17"/>
  <c r="X18" i="17" s="1"/>
  <c r="V20" i="17"/>
  <c r="Y20" i="17" s="1"/>
  <c r="U28" i="17"/>
  <c r="X28" i="17" s="1"/>
  <c r="AG35" i="17"/>
  <c r="AC36" i="17"/>
  <c r="V45" i="17"/>
  <c r="Y45" i="17" s="1"/>
  <c r="AC46" i="17"/>
  <c r="AC48" i="17"/>
  <c r="AC50" i="17"/>
  <c r="U55" i="17"/>
  <c r="X55" i="17" s="1"/>
  <c r="V56" i="17"/>
  <c r="Y56" i="17" s="1"/>
  <c r="AE3" i="17"/>
  <c r="U7" i="17"/>
  <c r="X7" i="17" s="1"/>
  <c r="U19" i="17"/>
  <c r="X19" i="17" s="1"/>
  <c r="U35" i="17"/>
  <c r="X35" i="17" s="1"/>
  <c r="V55" i="17"/>
  <c r="Y55" i="17" s="1"/>
  <c r="T82" i="17"/>
  <c r="W5" i="17"/>
  <c r="V7" i="17"/>
  <c r="Y7" i="17" s="1"/>
  <c r="V19" i="17"/>
  <c r="Y19" i="17" s="1"/>
  <c r="U25" i="17"/>
  <c r="X25" i="17" s="1"/>
  <c r="U26" i="17"/>
  <c r="X26" i="17" s="1"/>
  <c r="U27" i="17"/>
  <c r="X27" i="17" s="1"/>
  <c r="V35" i="17"/>
  <c r="Y35" i="17" s="1"/>
  <c r="AN55" i="18" l="1"/>
  <c r="AL57" i="18" s="1"/>
  <c r="D23" i="18"/>
  <c r="A36" i="17"/>
  <c r="J36" i="17"/>
  <c r="A9" i="17" s="1"/>
  <c r="W60" i="17"/>
  <c r="AG23" i="18"/>
  <c r="AG3" i="18"/>
  <c r="AG13" i="18"/>
  <c r="T79" i="17"/>
  <c r="AJ29" i="18"/>
  <c r="AJ21" i="18"/>
  <c r="AJ20" i="18"/>
  <c r="AJ5" i="18"/>
  <c r="AJ10" i="18"/>
  <c r="AJ17" i="18"/>
  <c r="AJ48" i="18"/>
  <c r="AJ49" i="18"/>
  <c r="AJ40" i="18"/>
  <c r="AJ45" i="18"/>
  <c r="AJ51" i="18"/>
  <c r="AJ15" i="18"/>
  <c r="AJ27" i="18"/>
  <c r="AJ47" i="18"/>
  <c r="AJ26" i="18"/>
  <c r="AJ19" i="18"/>
  <c r="AJ41" i="18"/>
  <c r="AJ25" i="18"/>
  <c r="AJ9" i="18"/>
  <c r="AJ6" i="18"/>
  <c r="AJ36" i="18"/>
  <c r="AJ7" i="18"/>
  <c r="AJ8" i="18"/>
  <c r="AJ46" i="18"/>
  <c r="AJ28" i="18"/>
  <c r="AJ31" i="18"/>
  <c r="AJ38" i="18"/>
  <c r="AJ30" i="18"/>
  <c r="AJ37" i="18"/>
  <c r="AJ50" i="18"/>
  <c r="AJ39" i="18"/>
  <c r="AJ18" i="18"/>
  <c r="AJ16" i="18"/>
  <c r="AJ35" i="18"/>
  <c r="AJ11" i="18"/>
  <c r="U81" i="17"/>
  <c r="AE52" i="18"/>
  <c r="AE43" i="18" s="1"/>
  <c r="W59" i="17"/>
  <c r="U83" i="17"/>
  <c r="T83" i="17"/>
  <c r="T84" i="17"/>
  <c r="AG55" i="18"/>
  <c r="AE55" i="18"/>
  <c r="AC55" i="18" s="1"/>
  <c r="AC42" i="18"/>
  <c r="AC33" i="18" s="1"/>
  <c r="AE42" i="18"/>
  <c r="AE33" i="18" s="1"/>
  <c r="AC58" i="18"/>
  <c r="AC62" i="17"/>
  <c r="AC53" i="17" s="1"/>
  <c r="AG42" i="17"/>
  <c r="AG52" i="18"/>
  <c r="AG43" i="18" s="1"/>
  <c r="AC52" i="18"/>
  <c r="AC43" i="18" s="1"/>
  <c r="AC57" i="18"/>
  <c r="AG52" i="17"/>
  <c r="AG43" i="17" s="1"/>
  <c r="AI61" i="18"/>
  <c r="AC61" i="18" s="1"/>
  <c r="AG61" i="18"/>
  <c r="AI56" i="18"/>
  <c r="AG56" i="18"/>
  <c r="AE56" i="18"/>
  <c r="AC59" i="18"/>
  <c r="AC52" i="17"/>
  <c r="AC43" i="17" s="1"/>
  <c r="W49" i="17"/>
  <c r="V49" i="17"/>
  <c r="Y49" i="17" s="1"/>
  <c r="U49" i="17"/>
  <c r="X49" i="17" s="1"/>
  <c r="AE52" i="17"/>
  <c r="AE43" i="17" s="1"/>
  <c r="J28" i="17" s="1"/>
  <c r="W51" i="17"/>
  <c r="V51" i="17"/>
  <c r="Y51" i="17" s="1"/>
  <c r="AC42" i="17"/>
  <c r="AC33" i="17" s="1"/>
  <c r="M46" i="17"/>
  <c r="O55" i="17"/>
  <c r="W50" i="17"/>
  <c r="W47" i="17"/>
  <c r="V47" i="17"/>
  <c r="Y47" i="17" s="1"/>
  <c r="U47" i="17"/>
  <c r="X47" i="17" s="1"/>
  <c r="H40" i="17"/>
  <c r="W48" i="17"/>
  <c r="V48" i="17"/>
  <c r="Y48" i="17" s="1"/>
  <c r="U48" i="17"/>
  <c r="X48" i="17" s="1"/>
  <c r="AL58" i="18" l="1"/>
  <c r="AL61" i="18"/>
  <c r="AL60" i="18"/>
  <c r="AL55" i="18"/>
  <c r="AL59" i="18"/>
  <c r="AL56" i="18"/>
  <c r="J30" i="17"/>
  <c r="U6" i="17" s="1"/>
  <c r="X6" i="17" s="1"/>
  <c r="J27" i="17"/>
  <c r="A35" i="17"/>
  <c r="V60" i="17"/>
  <c r="Y60" i="17" s="1"/>
  <c r="U60" i="17"/>
  <c r="X60" i="17" s="1"/>
  <c r="E23" i="18"/>
  <c r="AI62" i="18"/>
  <c r="AG33" i="17"/>
  <c r="W39" i="17"/>
  <c r="U37" i="17"/>
  <c r="X37" i="17" s="1"/>
  <c r="V37" i="17"/>
  <c r="Y37" i="17" s="1"/>
  <c r="U38" i="17"/>
  <c r="X38" i="17" s="1"/>
  <c r="U36" i="17"/>
  <c r="X36" i="17" s="1"/>
  <c r="J21" i="17"/>
  <c r="V39" i="17"/>
  <c r="Y39" i="17" s="1"/>
  <c r="U39" i="17"/>
  <c r="X39" i="17" s="1"/>
  <c r="V59" i="17"/>
  <c r="Y59" i="17" s="1"/>
  <c r="U59" i="17"/>
  <c r="X59" i="17" s="1"/>
  <c r="U51" i="17"/>
  <c r="X51" i="17" s="1"/>
  <c r="U61" i="17"/>
  <c r="X61" i="17" s="1"/>
  <c r="U50" i="17"/>
  <c r="X50" i="17" s="1"/>
  <c r="V61" i="17"/>
  <c r="Y61" i="17" s="1"/>
  <c r="AG62" i="18"/>
  <c r="W61" i="18" s="1"/>
  <c r="D25" i="18" s="1"/>
  <c r="AC56" i="18"/>
  <c r="AC62" i="18" s="1"/>
  <c r="AC53" i="18" s="1"/>
  <c r="J21" i="18" s="1"/>
  <c r="AE62" i="18"/>
  <c r="AE53" i="18" s="1"/>
  <c r="W46" i="17"/>
  <c r="V46" i="17"/>
  <c r="Y46" i="17" s="1"/>
  <c r="U46" i="17"/>
  <c r="X46" i="17" s="1"/>
  <c r="H43" i="17"/>
  <c r="H47" i="17" s="1"/>
  <c r="J33" i="17"/>
  <c r="J19" i="17"/>
  <c r="J26" i="17"/>
  <c r="V50" i="17"/>
  <c r="Y50" i="17" s="1"/>
  <c r="H45" i="17"/>
  <c r="H46" i="17"/>
  <c r="H54" i="17"/>
  <c r="E30" i="17" s="1"/>
  <c r="J28" i="18" l="1"/>
  <c r="D25" i="17"/>
  <c r="J20" i="17"/>
  <c r="V6" i="17"/>
  <c r="Y6" i="17" s="1"/>
  <c r="AG13" i="17"/>
  <c r="AG23" i="17"/>
  <c r="D27" i="17"/>
  <c r="E27" i="17" s="1"/>
  <c r="AG3" i="17"/>
  <c r="J34" i="17" s="1"/>
  <c r="J20" i="18"/>
  <c r="AK60" i="18"/>
  <c r="AI51" i="18"/>
  <c r="AI49" i="18"/>
  <c r="AI41" i="18"/>
  <c r="AK61" i="18"/>
  <c r="V61" i="18" s="1"/>
  <c r="AI46" i="18"/>
  <c r="AI36" i="18"/>
  <c r="AI40" i="18"/>
  <c r="AK55" i="18"/>
  <c r="AK57" i="18"/>
  <c r="AI47" i="18"/>
  <c r="AI50" i="18"/>
  <c r="AK56" i="18"/>
  <c r="AK58" i="18"/>
  <c r="AI35" i="18"/>
  <c r="AK59" i="18"/>
  <c r="V59" i="18" s="1"/>
  <c r="AI39" i="18"/>
  <c r="AI45" i="18"/>
  <c r="AI37" i="18"/>
  <c r="AI48" i="18"/>
  <c r="AI38" i="18"/>
  <c r="AG53" i="18"/>
  <c r="J34" i="18" s="1"/>
  <c r="W59" i="18"/>
  <c r="E25" i="18" s="1"/>
  <c r="V36" i="17"/>
  <c r="Y36" i="17" s="1"/>
  <c r="V38" i="17"/>
  <c r="Y38" i="17" s="1"/>
  <c r="H53" i="17"/>
  <c r="H48" i="17"/>
  <c r="H49" i="17"/>
  <c r="AI28" i="18" l="1"/>
  <c r="AI29" i="18"/>
  <c r="AI30" i="18"/>
  <c r="AI31" i="18"/>
  <c r="AI26" i="18"/>
  <c r="AI27" i="18"/>
  <c r="AI5" i="18"/>
  <c r="AI25" i="18"/>
  <c r="AI15" i="18"/>
  <c r="AI16" i="18"/>
  <c r="AI19" i="18"/>
  <c r="AI21" i="18"/>
  <c r="AI17" i="18"/>
  <c r="AI18" i="18"/>
  <c r="AI20" i="18"/>
  <c r="AI9" i="18"/>
  <c r="AI10" i="18"/>
  <c r="AI6" i="18"/>
  <c r="AI11" i="18"/>
  <c r="AI7" i="18"/>
  <c r="AI8" i="18"/>
  <c r="V11" i="18"/>
  <c r="Y11" i="18" s="1"/>
  <c r="J27" i="18"/>
  <c r="Y61" i="18"/>
  <c r="D26" i="17"/>
  <c r="O97" i="17"/>
  <c r="O99" i="17" s="1"/>
  <c r="A38" i="17" s="1"/>
  <c r="E25" i="17"/>
  <c r="Y59" i="18"/>
  <c r="H50" i="17"/>
  <c r="H52" i="17" s="1"/>
  <c r="V6" i="18" l="1"/>
  <c r="D24" i="18" s="1"/>
  <c r="A29" i="18" s="1"/>
  <c r="D38" i="17"/>
  <c r="D33" i="17"/>
  <c r="E26" i="17"/>
  <c r="E37" i="17" s="1"/>
  <c r="D37" i="17"/>
  <c r="D31" i="17"/>
  <c r="H55" i="17"/>
  <c r="D32" i="17" s="1"/>
  <c r="Y6" i="18" l="1"/>
  <c r="E24" i="18" s="1"/>
  <c r="AC51" i="10"/>
  <c r="AG61" i="10"/>
  <c r="AG51" i="10"/>
  <c r="AG45" i="10"/>
  <c r="R83" i="10"/>
  <c r="R84" i="10"/>
  <c r="AG56" i="12" l="1"/>
  <c r="AG57" i="12"/>
  <c r="AG58" i="12"/>
  <c r="AG59" i="12"/>
  <c r="AG60" i="12"/>
  <c r="AG61" i="12"/>
  <c r="AG55" i="12"/>
  <c r="AI56" i="12"/>
  <c r="AI57" i="12"/>
  <c r="AI58" i="12"/>
  <c r="AI59" i="12"/>
  <c r="AI60" i="12"/>
  <c r="AI61" i="12"/>
  <c r="AI55" i="12"/>
  <c r="AG46" i="12"/>
  <c r="AG47" i="12"/>
  <c r="AG48" i="12"/>
  <c r="AG49" i="12"/>
  <c r="AG50" i="12"/>
  <c r="AG51" i="12"/>
  <c r="AG45" i="12"/>
  <c r="AC46" i="12"/>
  <c r="AC47" i="12"/>
  <c r="AC48" i="12"/>
  <c r="AC49" i="12"/>
  <c r="AC50" i="12"/>
  <c r="AC51" i="12"/>
  <c r="AC45" i="12"/>
  <c r="AG36" i="12"/>
  <c r="AG37" i="12"/>
  <c r="AG35" i="12"/>
  <c r="AC36" i="12"/>
  <c r="AC37" i="12"/>
  <c r="AC35" i="12"/>
  <c r="AI56" i="10"/>
  <c r="AI57" i="10"/>
  <c r="AI58" i="10"/>
  <c r="AI59" i="10"/>
  <c r="AI60" i="10"/>
  <c r="AI61" i="10"/>
  <c r="AI55" i="10"/>
  <c r="AG56" i="10"/>
  <c r="AG57" i="10"/>
  <c r="AG58" i="10"/>
  <c r="AG59" i="10"/>
  <c r="AG60" i="10"/>
  <c r="AG55" i="10"/>
  <c r="AG46" i="10"/>
  <c r="AG47" i="10"/>
  <c r="AG48" i="10"/>
  <c r="AG49" i="10"/>
  <c r="AG50" i="10"/>
  <c r="AC46" i="10"/>
  <c r="AC47" i="10"/>
  <c r="AC48" i="10"/>
  <c r="AC49" i="10"/>
  <c r="AC50" i="10"/>
  <c r="AC45" i="10"/>
  <c r="AG36" i="10"/>
  <c r="AG37" i="10"/>
  <c r="AG35" i="10"/>
  <c r="AC37" i="10"/>
  <c r="AC36" i="10"/>
  <c r="AC35" i="10"/>
  <c r="AI62" i="12" l="1"/>
  <c r="C17" i="12" l="1"/>
  <c r="C13" i="12"/>
  <c r="Q61" i="12" l="1"/>
  <c r="Q61" i="10"/>
  <c r="AE46" i="12" l="1"/>
  <c r="AE47" i="12"/>
  <c r="AE48" i="12"/>
  <c r="AE49" i="12"/>
  <c r="AE50" i="12"/>
  <c r="AE45" i="12"/>
  <c r="AE55" i="12"/>
  <c r="AE56" i="12"/>
  <c r="AE57" i="12"/>
  <c r="AE58" i="12"/>
  <c r="AE59" i="12"/>
  <c r="AC61" i="12"/>
  <c r="AE35" i="12"/>
  <c r="AC57" i="12" l="1"/>
  <c r="AC56" i="12"/>
  <c r="AC55" i="12"/>
  <c r="AC59" i="12"/>
  <c r="AC58" i="12"/>
  <c r="AC52" i="12"/>
  <c r="AC43" i="12" s="1"/>
  <c r="AG62" i="12"/>
  <c r="AE55" i="10"/>
  <c r="N55" i="12"/>
  <c r="M57" i="12"/>
  <c r="M58" i="12"/>
  <c r="M59" i="12"/>
  <c r="W59" i="12" s="1"/>
  <c r="M60" i="12"/>
  <c r="W60" i="12" s="1"/>
  <c r="M61" i="12"/>
  <c r="W61" i="12" s="1"/>
  <c r="M56" i="12"/>
  <c r="W56" i="12" s="1"/>
  <c r="M55" i="12"/>
  <c r="Q60" i="12"/>
  <c r="Q59" i="12"/>
  <c r="Q58" i="12"/>
  <c r="Q57" i="12"/>
  <c r="Q56" i="12"/>
  <c r="Q55" i="12"/>
  <c r="V57" i="12" l="1"/>
  <c r="Y57" i="12" s="1"/>
  <c r="W57" i="12"/>
  <c r="V55" i="12"/>
  <c r="Y55" i="12" s="1"/>
  <c r="W55" i="12"/>
  <c r="AG53" i="12"/>
  <c r="W58" i="12"/>
  <c r="U55" i="12"/>
  <c r="X55" i="12" s="1"/>
  <c r="U61" i="12"/>
  <c r="X61" i="12" s="1"/>
  <c r="U57" i="12"/>
  <c r="X57" i="12" s="1"/>
  <c r="U60" i="12"/>
  <c r="X60" i="12" s="1"/>
  <c r="U59" i="12"/>
  <c r="X59" i="12" s="1"/>
  <c r="U58" i="12"/>
  <c r="X58" i="12" s="1"/>
  <c r="U56" i="12"/>
  <c r="X56" i="12" s="1"/>
  <c r="M57" i="10" l="1"/>
  <c r="M58" i="10"/>
  <c r="M59" i="10"/>
  <c r="M60" i="10"/>
  <c r="M61" i="10"/>
  <c r="M56" i="10"/>
  <c r="M55" i="10"/>
  <c r="N55" i="10"/>
  <c r="M51" i="10"/>
  <c r="Q56" i="10"/>
  <c r="Q57" i="10"/>
  <c r="Q58" i="10"/>
  <c r="Q59" i="10"/>
  <c r="Q60" i="10"/>
  <c r="Q55" i="10"/>
  <c r="U55" i="10" l="1"/>
  <c r="W55" i="10"/>
  <c r="U57" i="10"/>
  <c r="W57" i="10"/>
  <c r="V55" i="10"/>
  <c r="V57" i="10"/>
  <c r="P84" i="10"/>
  <c r="U84" i="10" s="1"/>
  <c r="T84" i="10" l="1"/>
  <c r="AC61" i="10"/>
  <c r="AE60" i="10"/>
  <c r="AC60" i="10" s="1"/>
  <c r="AE59" i="10"/>
  <c r="AC59" i="10" s="1"/>
  <c r="AE58" i="10"/>
  <c r="AC58" i="10" s="1"/>
  <c r="AE57" i="10"/>
  <c r="AC57" i="10" s="1"/>
  <c r="AE56" i="10"/>
  <c r="AC56" i="10" s="1"/>
  <c r="AC55" i="10"/>
  <c r="Y55" i="10"/>
  <c r="X55" i="10"/>
  <c r="AC62" i="10" l="1"/>
  <c r="AC53" i="10" s="1"/>
  <c r="AE62" i="10"/>
  <c r="AE53" i="10" s="1"/>
  <c r="AG62" i="10"/>
  <c r="W59" i="10" s="1"/>
  <c r="W60" i="10" l="1"/>
  <c r="W56" i="10"/>
  <c r="W58" i="10"/>
  <c r="W61" i="10"/>
  <c r="AG53" i="10"/>
  <c r="P90" i="10"/>
  <c r="AE36" i="12" l="1"/>
  <c r="AE47" i="10" l="1"/>
  <c r="AE50" i="10" l="1"/>
  <c r="AE36" i="10"/>
  <c r="AE46" i="10"/>
  <c r="AE35" i="10"/>
  <c r="AE45" i="10"/>
  <c r="AE49" i="10"/>
  <c r="AE48" i="10"/>
  <c r="AG42" i="12" l="1"/>
  <c r="AE42" i="12"/>
  <c r="AC42" i="12"/>
  <c r="AC33" i="12" s="1"/>
  <c r="AE52" i="12" l="1"/>
  <c r="AG52" i="12"/>
  <c r="AG42" i="10"/>
  <c r="AG33" i="10" s="1"/>
  <c r="AG52" i="10"/>
  <c r="AG43" i="10" l="1"/>
  <c r="W51" i="10"/>
  <c r="P89" i="10" l="1"/>
  <c r="P88" i="10"/>
  <c r="R90" i="10"/>
  <c r="R89" i="10"/>
  <c r="R88" i="10"/>
  <c r="AC52" i="10" l="1"/>
  <c r="AC43" i="10" s="1"/>
  <c r="AE52" i="10"/>
  <c r="AE43" i="10" s="1"/>
  <c r="AE42" i="10"/>
  <c r="AE33" i="10" s="1"/>
  <c r="AC42" i="10"/>
  <c r="AC33" i="10" s="1"/>
  <c r="C19" i="10" l="1"/>
  <c r="C15" i="10"/>
  <c r="H42" i="10" l="1"/>
  <c r="B13" i="12" l="1"/>
  <c r="B15" i="10" l="1"/>
  <c r="A37" i="10" l="1"/>
  <c r="P91" i="12"/>
  <c r="P90" i="12"/>
  <c r="T85" i="12" l="1"/>
  <c r="S64" i="12"/>
  <c r="J13" i="12" s="1"/>
  <c r="A17" i="12" s="1"/>
  <c r="B17" i="12" s="1"/>
  <c r="R64" i="12"/>
  <c r="J7" i="12" s="1"/>
  <c r="A13" i="12" s="1"/>
  <c r="Q64" i="12"/>
  <c r="P64" i="12"/>
  <c r="R87" i="12"/>
  <c r="P87" i="12" s="1"/>
  <c r="R86" i="12"/>
  <c r="Q86" i="12" s="1"/>
  <c r="R85" i="12"/>
  <c r="Q85" i="12" s="1"/>
  <c r="P86" i="12"/>
  <c r="P85" i="12"/>
  <c r="T88" i="10"/>
  <c r="J37" i="12" l="1"/>
  <c r="A9" i="12" s="1"/>
  <c r="Q87" i="12"/>
  <c r="P94" i="10" l="1"/>
  <c r="P93" i="10"/>
  <c r="S67" i="10" l="1"/>
  <c r="J13" i="10" s="1"/>
  <c r="A19" i="10" s="1"/>
  <c r="B19" i="10" s="1"/>
  <c r="R67" i="10"/>
  <c r="J7" i="10" s="1"/>
  <c r="A15" i="10" s="1"/>
  <c r="R82" i="10" l="1"/>
  <c r="R81" i="10"/>
  <c r="R79" i="10"/>
  <c r="R80" i="10"/>
  <c r="P67" i="10" l="1"/>
  <c r="Q67" i="10"/>
  <c r="S82" i="10" l="1"/>
  <c r="S80" i="10"/>
  <c r="S81" i="10"/>
  <c r="S79" i="10"/>
  <c r="J36" i="12"/>
  <c r="M51" i="12"/>
  <c r="M50" i="12"/>
  <c r="M49" i="12"/>
  <c r="M48" i="12"/>
  <c r="M47" i="12"/>
  <c r="M46" i="12"/>
  <c r="N45" i="12"/>
  <c r="M45" i="12"/>
  <c r="M41" i="12"/>
  <c r="M40" i="12"/>
  <c r="V40" i="12" s="1"/>
  <c r="M39" i="12"/>
  <c r="M38" i="12"/>
  <c r="M37" i="12"/>
  <c r="V37" i="12" s="1"/>
  <c r="M36" i="12"/>
  <c r="V36" i="12" s="1"/>
  <c r="N35" i="12"/>
  <c r="M35" i="12"/>
  <c r="V35" i="12" s="1"/>
  <c r="M31" i="12"/>
  <c r="U31" i="12" s="1"/>
  <c r="M30" i="12"/>
  <c r="U30" i="12" s="1"/>
  <c r="M29" i="12"/>
  <c r="U29" i="12" s="1"/>
  <c r="M28" i="12"/>
  <c r="U28" i="12" s="1"/>
  <c r="M27" i="12"/>
  <c r="U27" i="12" s="1"/>
  <c r="M26" i="12"/>
  <c r="U26" i="12" s="1"/>
  <c r="N25" i="12"/>
  <c r="M25" i="12"/>
  <c r="U25" i="12" s="1"/>
  <c r="A28" i="12"/>
  <c r="M21" i="12"/>
  <c r="U21" i="12" s="1"/>
  <c r="M20" i="12"/>
  <c r="U20" i="12" s="1"/>
  <c r="M19" i="12"/>
  <c r="U19" i="12" s="1"/>
  <c r="M18" i="12"/>
  <c r="U18" i="12" s="1"/>
  <c r="M17" i="12"/>
  <c r="U17" i="12" s="1"/>
  <c r="M16" i="12"/>
  <c r="U16" i="12" s="1"/>
  <c r="N15" i="12"/>
  <c r="M15" i="12"/>
  <c r="U15" i="12" s="1"/>
  <c r="M11" i="12"/>
  <c r="U11" i="12" s="1"/>
  <c r="M10" i="12"/>
  <c r="U10" i="12" s="1"/>
  <c r="M9" i="12"/>
  <c r="U9" i="12" s="1"/>
  <c r="M8" i="12"/>
  <c r="M7" i="12"/>
  <c r="U7" i="12" s="1"/>
  <c r="M6" i="12"/>
  <c r="U6" i="12" s="1"/>
  <c r="N5" i="12"/>
  <c r="M5" i="12"/>
  <c r="J5" i="12"/>
  <c r="J4" i="12"/>
  <c r="A34" i="10"/>
  <c r="AP55" i="12" l="1"/>
  <c r="AO55" i="12"/>
  <c r="AC23" i="12"/>
  <c r="AC3" i="12"/>
  <c r="AC13" i="12"/>
  <c r="U5" i="12"/>
  <c r="X5" i="12" s="1"/>
  <c r="J33" i="12"/>
  <c r="J26" i="12"/>
  <c r="D23" i="12" s="1"/>
  <c r="J19" i="12"/>
  <c r="J29" i="12"/>
  <c r="J31" i="12" s="1"/>
  <c r="J22" i="12"/>
  <c r="J24" i="12" s="1"/>
  <c r="U8" i="12"/>
  <c r="X8" i="12" s="1"/>
  <c r="V8" i="12"/>
  <c r="Y8" i="12" s="1"/>
  <c r="U46" i="12"/>
  <c r="X46" i="12" s="1"/>
  <c r="V46" i="12"/>
  <c r="Y46" i="12" s="1"/>
  <c r="U48" i="12"/>
  <c r="X48" i="12" s="1"/>
  <c r="V48" i="12"/>
  <c r="Y48" i="12" s="1"/>
  <c r="U51" i="12"/>
  <c r="X51" i="12" s="1"/>
  <c r="V51" i="12"/>
  <c r="Y51" i="12" s="1"/>
  <c r="U49" i="12"/>
  <c r="X49" i="12" s="1"/>
  <c r="V49" i="12"/>
  <c r="Y49" i="12" s="1"/>
  <c r="U45" i="12"/>
  <c r="X45" i="12" s="1"/>
  <c r="V45" i="12"/>
  <c r="Y45" i="12" s="1"/>
  <c r="U47" i="12"/>
  <c r="X47" i="12" s="1"/>
  <c r="V47" i="12"/>
  <c r="Y47" i="12" s="1"/>
  <c r="U50" i="12"/>
  <c r="X50" i="12" s="1"/>
  <c r="W15" i="12"/>
  <c r="V15" i="12"/>
  <c r="Y15" i="12" s="1"/>
  <c r="X25" i="12"/>
  <c r="V25" i="12"/>
  <c r="Y25" i="12" s="1"/>
  <c r="W45" i="12"/>
  <c r="W7" i="12"/>
  <c r="V7" i="12"/>
  <c r="Y7" i="12" s="1"/>
  <c r="W17" i="12"/>
  <c r="V17" i="12"/>
  <c r="Y17" i="12" s="1"/>
  <c r="V27" i="12"/>
  <c r="Y27" i="12" s="1"/>
  <c r="W47" i="12"/>
  <c r="W9" i="12"/>
  <c r="X9" i="12"/>
  <c r="V9" i="12"/>
  <c r="Y9" i="12" s="1"/>
  <c r="W19" i="12"/>
  <c r="X19" i="12"/>
  <c r="W28" i="12"/>
  <c r="W38" i="12"/>
  <c r="W48" i="12"/>
  <c r="W31" i="12"/>
  <c r="V31" i="12"/>
  <c r="Y31" i="12" s="1"/>
  <c r="W6" i="12"/>
  <c r="X6" i="12"/>
  <c r="X16" i="12"/>
  <c r="W26" i="12"/>
  <c r="X26" i="12"/>
  <c r="W36" i="12"/>
  <c r="W8" i="12"/>
  <c r="W18" i="12"/>
  <c r="V18" i="12"/>
  <c r="Y18" i="12" s="1"/>
  <c r="W37" i="12"/>
  <c r="Y37" i="12"/>
  <c r="X10" i="12"/>
  <c r="V10" i="12"/>
  <c r="Y10" i="12" s="1"/>
  <c r="X20" i="12"/>
  <c r="V20" i="12"/>
  <c r="Y20" i="12" s="1"/>
  <c r="W29" i="12"/>
  <c r="W49" i="12"/>
  <c r="W11" i="12"/>
  <c r="X11" i="12"/>
  <c r="X21" i="12"/>
  <c r="V30" i="12"/>
  <c r="Y30" i="12" s="1"/>
  <c r="V5" i="12"/>
  <c r="Y5" i="12" s="1"/>
  <c r="W51" i="12"/>
  <c r="J11" i="12"/>
  <c r="J10" i="12" s="1"/>
  <c r="J17" i="12"/>
  <c r="J16" i="12" s="1"/>
  <c r="J30" i="12" s="1"/>
  <c r="W25" i="12"/>
  <c r="W35" i="12"/>
  <c r="W30" i="12"/>
  <c r="W39" i="12"/>
  <c r="U35" i="12"/>
  <c r="X35" i="12" s="1"/>
  <c r="W21" i="12"/>
  <c r="U39" i="12"/>
  <c r="X39" i="12" s="1"/>
  <c r="X30" i="12"/>
  <c r="J15" i="12"/>
  <c r="X27" i="12"/>
  <c r="U41" i="12"/>
  <c r="X41" i="12" s="1"/>
  <c r="X7" i="12"/>
  <c r="W27" i="12"/>
  <c r="W40" i="12"/>
  <c r="W46" i="12"/>
  <c r="W50" i="12"/>
  <c r="U40" i="12"/>
  <c r="X40" i="12" s="1"/>
  <c r="U38" i="12"/>
  <c r="U37" i="12"/>
  <c r="X37" i="12" s="1"/>
  <c r="W5" i="12"/>
  <c r="X28" i="12"/>
  <c r="U36" i="12"/>
  <c r="X36" i="12" s="1"/>
  <c r="J9" i="12"/>
  <c r="Y35" i="12"/>
  <c r="Y40" i="12"/>
  <c r="X15" i="12"/>
  <c r="X18" i="12"/>
  <c r="W10" i="12"/>
  <c r="W16" i="12"/>
  <c r="W20" i="12"/>
  <c r="X31" i="12"/>
  <c r="X17" i="12"/>
  <c r="X29" i="12"/>
  <c r="M7" i="10"/>
  <c r="W7" i="10" s="1"/>
  <c r="M8" i="10"/>
  <c r="W8" i="10" s="1"/>
  <c r="M9" i="10"/>
  <c r="W9" i="10" s="1"/>
  <c r="M10" i="10"/>
  <c r="W10" i="10" s="1"/>
  <c r="M11" i="10"/>
  <c r="M6" i="10"/>
  <c r="W6" i="10" s="1"/>
  <c r="M17" i="10"/>
  <c r="M18" i="10"/>
  <c r="M19" i="10"/>
  <c r="M20" i="10"/>
  <c r="M21" i="10"/>
  <c r="W21" i="10" s="1"/>
  <c r="M16" i="10"/>
  <c r="M27" i="10"/>
  <c r="W27" i="10" s="1"/>
  <c r="M28" i="10"/>
  <c r="W28" i="10" s="1"/>
  <c r="M29" i="10"/>
  <c r="W29" i="10" s="1"/>
  <c r="M30" i="10"/>
  <c r="W30" i="10" s="1"/>
  <c r="M31" i="10"/>
  <c r="W31" i="10" s="1"/>
  <c r="M26" i="10"/>
  <c r="W26" i="10" s="1"/>
  <c r="M25" i="10"/>
  <c r="W25" i="10" s="1"/>
  <c r="M47" i="10"/>
  <c r="W47" i="10" s="1"/>
  <c r="M48" i="10"/>
  <c r="W48" i="10" s="1"/>
  <c r="M49" i="10"/>
  <c r="W49" i="10" s="1"/>
  <c r="M50" i="10"/>
  <c r="W50" i="10" s="1"/>
  <c r="M46" i="10"/>
  <c r="W46" i="10" s="1"/>
  <c r="M37" i="10"/>
  <c r="W37" i="10" s="1"/>
  <c r="M38" i="10"/>
  <c r="W38" i="10" s="1"/>
  <c r="M39" i="10"/>
  <c r="W39" i="10" s="1"/>
  <c r="M40" i="10"/>
  <c r="W40" i="10" s="1"/>
  <c r="M41" i="10"/>
  <c r="W41" i="10" s="1"/>
  <c r="M36" i="10"/>
  <c r="W36" i="10" s="1"/>
  <c r="N45" i="10"/>
  <c r="M45" i="10"/>
  <c r="N5" i="10"/>
  <c r="M5" i="10"/>
  <c r="M15" i="10"/>
  <c r="N15" i="10"/>
  <c r="N25" i="10"/>
  <c r="N35" i="10"/>
  <c r="M35" i="10"/>
  <c r="W35" i="10" s="1"/>
  <c r="W41" i="12" l="1"/>
  <c r="AG23" i="12"/>
  <c r="D25" i="12"/>
  <c r="E25" i="12" s="1"/>
  <c r="AG3" i="12"/>
  <c r="J34" i="12" s="1"/>
  <c r="AG13" i="12"/>
  <c r="AN55" i="12"/>
  <c r="J14" i="12"/>
  <c r="W17" i="10"/>
  <c r="V17" i="10"/>
  <c r="W16" i="10"/>
  <c r="W20" i="10"/>
  <c r="V20" i="10"/>
  <c r="Y20" i="10" s="1"/>
  <c r="W19" i="10"/>
  <c r="V19" i="10"/>
  <c r="Y19" i="10" s="1"/>
  <c r="W15" i="10"/>
  <c r="V15" i="10"/>
  <c r="W45" i="10"/>
  <c r="U45" i="10"/>
  <c r="W18" i="10"/>
  <c r="V18" i="10"/>
  <c r="Y18" i="10" s="1"/>
  <c r="W5" i="10"/>
  <c r="J19" i="10"/>
  <c r="J29" i="10"/>
  <c r="J22" i="10"/>
  <c r="H43" i="10"/>
  <c r="J33" i="10"/>
  <c r="J26" i="10"/>
  <c r="V10" i="10"/>
  <c r="Y10" i="10" s="1"/>
  <c r="U10" i="10"/>
  <c r="X10" i="10" s="1"/>
  <c r="U9" i="10"/>
  <c r="X9" i="10" s="1"/>
  <c r="V9" i="10"/>
  <c r="Y9" i="10" s="1"/>
  <c r="U8" i="10"/>
  <c r="X8" i="10" s="1"/>
  <c r="V8" i="10"/>
  <c r="Y8" i="10" s="1"/>
  <c r="U21" i="10"/>
  <c r="X21" i="10" s="1"/>
  <c r="V21" i="10"/>
  <c r="Y21" i="10" s="1"/>
  <c r="V30" i="10"/>
  <c r="Y30" i="10" s="1"/>
  <c r="U30" i="10"/>
  <c r="X30" i="10" s="1"/>
  <c r="U20" i="10"/>
  <c r="X20" i="10" s="1"/>
  <c r="U19" i="10"/>
  <c r="X19" i="10" s="1"/>
  <c r="V31" i="10"/>
  <c r="Y31" i="10" s="1"/>
  <c r="U31" i="10"/>
  <c r="X31" i="10" s="1"/>
  <c r="U18" i="10"/>
  <c r="X18" i="10" s="1"/>
  <c r="V7" i="10"/>
  <c r="Y7" i="10" s="1"/>
  <c r="U7" i="10"/>
  <c r="X7" i="10" s="1"/>
  <c r="U29" i="10"/>
  <c r="X29" i="10" s="1"/>
  <c r="V29" i="10"/>
  <c r="Y29" i="10" s="1"/>
  <c r="V5" i="10"/>
  <c r="J23" i="12"/>
  <c r="AL31" i="12"/>
  <c r="AL27" i="12"/>
  <c r="AL20" i="12"/>
  <c r="AL16" i="12"/>
  <c r="AL8" i="12"/>
  <c r="AL6" i="12"/>
  <c r="AL7" i="12"/>
  <c r="AL17" i="12"/>
  <c r="AL11" i="12"/>
  <c r="AL30" i="12"/>
  <c r="AL26" i="12"/>
  <c r="AL19" i="12"/>
  <c r="AL15" i="12"/>
  <c r="AL29" i="12"/>
  <c r="AL18" i="12"/>
  <c r="AL28" i="12"/>
  <c r="AL9" i="12"/>
  <c r="AL25" i="12"/>
  <c r="AL10" i="12"/>
  <c r="AL5" i="12"/>
  <c r="AL21" i="12"/>
  <c r="J8" i="12"/>
  <c r="X38" i="12"/>
  <c r="J5" i="10"/>
  <c r="J4" i="10"/>
  <c r="U35" i="10"/>
  <c r="X35" i="10" s="1"/>
  <c r="V25" i="10"/>
  <c r="Y25" i="10" s="1"/>
  <c r="Q89" i="10"/>
  <c r="J31" i="10" l="1"/>
  <c r="AG23" i="10"/>
  <c r="D27" i="10"/>
  <c r="AG3" i="10"/>
  <c r="J34" i="10" s="1"/>
  <c r="AG13" i="10"/>
  <c r="E23" i="12"/>
  <c r="AL38" i="12"/>
  <c r="AL59" i="12"/>
  <c r="AL57" i="12"/>
  <c r="AL58" i="12"/>
  <c r="AL60" i="12"/>
  <c r="AL61" i="12"/>
  <c r="AL55" i="12"/>
  <c r="AL56" i="12"/>
  <c r="V56" i="12"/>
  <c r="Y56" i="12" s="1"/>
  <c r="V59" i="12"/>
  <c r="Y59" i="12" s="1"/>
  <c r="AE23" i="10"/>
  <c r="AE13" i="10"/>
  <c r="AE3" i="10"/>
  <c r="J28" i="10" s="1"/>
  <c r="AC3" i="10"/>
  <c r="AC13" i="10"/>
  <c r="J21" i="10" s="1"/>
  <c r="AC23" i="10"/>
  <c r="Q88" i="10"/>
  <c r="J37" i="10"/>
  <c r="A11" i="10" s="1"/>
  <c r="AL41" i="12"/>
  <c r="AL47" i="12"/>
  <c r="AL39" i="12"/>
  <c r="AL46" i="12"/>
  <c r="AL36" i="12"/>
  <c r="AL37" i="12"/>
  <c r="AL50" i="12"/>
  <c r="AL40" i="12"/>
  <c r="AL35" i="12"/>
  <c r="AL45" i="12"/>
  <c r="AL49" i="12"/>
  <c r="AL51" i="12"/>
  <c r="AL48" i="12"/>
  <c r="Y36" i="12"/>
  <c r="V45" i="10"/>
  <c r="Y45" i="10" s="1"/>
  <c r="U25" i="10"/>
  <c r="X25" i="10" s="1"/>
  <c r="X45" i="10"/>
  <c r="V35" i="10"/>
  <c r="Y35" i="10" s="1"/>
  <c r="J24" i="10"/>
  <c r="J23" i="10" s="1"/>
  <c r="P83" i="10"/>
  <c r="T83" i="10" s="1"/>
  <c r="P82" i="10"/>
  <c r="U82" i="10" s="1"/>
  <c r="P81" i="10"/>
  <c r="U81" i="10" s="1"/>
  <c r="P79" i="10"/>
  <c r="U79" i="10" s="1"/>
  <c r="V50" i="12" l="1"/>
  <c r="Y50" i="12" s="1"/>
  <c r="V16" i="10"/>
  <c r="U83" i="10"/>
  <c r="J36" i="10"/>
  <c r="U58" i="10" s="1"/>
  <c r="U27" i="10"/>
  <c r="X27" i="10" s="1"/>
  <c r="U28" i="10"/>
  <c r="X28" i="10" s="1"/>
  <c r="U26" i="10"/>
  <c r="X26" i="10" s="1"/>
  <c r="T82" i="10"/>
  <c r="T79" i="10"/>
  <c r="T81" i="10"/>
  <c r="P80" i="10"/>
  <c r="Q90" i="10"/>
  <c r="J20" i="10" l="1"/>
  <c r="U80" i="10"/>
  <c r="A36" i="10" s="1"/>
  <c r="T80" i="10"/>
  <c r="A35" i="10" s="1"/>
  <c r="H51" i="10"/>
  <c r="J9" i="10"/>
  <c r="V59" i="10" s="1"/>
  <c r="J11" i="10"/>
  <c r="J10" i="10" s="1"/>
  <c r="J15" i="10"/>
  <c r="J14" i="10" s="1"/>
  <c r="U59" i="10" s="1"/>
  <c r="J17" i="10"/>
  <c r="J16" i="10" s="1"/>
  <c r="U17" i="10" s="1"/>
  <c r="X17" i="10" s="1"/>
  <c r="U60" i="10" l="1"/>
  <c r="U56" i="10"/>
  <c r="V60" i="10"/>
  <c r="V56" i="10"/>
  <c r="Y56" i="10" s="1"/>
  <c r="V61" i="10"/>
  <c r="Y61" i="10" s="1"/>
  <c r="U61" i="10"/>
  <c r="X61" i="10" s="1"/>
  <c r="Y15" i="10"/>
  <c r="V58" i="10"/>
  <c r="Y58" i="10" s="1"/>
  <c r="X57" i="10"/>
  <c r="Y57" i="10"/>
  <c r="X59" i="10"/>
  <c r="X58" i="10"/>
  <c r="V6" i="10"/>
  <c r="Y6" i="10" s="1"/>
  <c r="V26" i="10"/>
  <c r="Y26" i="10" s="1"/>
  <c r="V28" i="10"/>
  <c r="Y28" i="10" s="1"/>
  <c r="V48" i="10"/>
  <c r="Y48" i="10" s="1"/>
  <c r="V27" i="10"/>
  <c r="Y27" i="10" s="1"/>
  <c r="V39" i="10"/>
  <c r="Y39" i="10" s="1"/>
  <c r="U36" i="10"/>
  <c r="X36" i="10" s="1"/>
  <c r="U37" i="10"/>
  <c r="X37" i="10" s="1"/>
  <c r="U41" i="10"/>
  <c r="X41" i="10" s="1"/>
  <c r="A9" i="10"/>
  <c r="U48" i="10"/>
  <c r="X48" i="10" s="1"/>
  <c r="V40" i="10"/>
  <c r="U40" i="10"/>
  <c r="X40" i="10" s="1"/>
  <c r="Y5" i="10"/>
  <c r="V37" i="10"/>
  <c r="Y37" i="10" s="1"/>
  <c r="V36" i="10"/>
  <c r="Y36" i="10" s="1"/>
  <c r="J30" i="10"/>
  <c r="J27" i="10"/>
  <c r="Y17" i="10"/>
  <c r="U47" i="10"/>
  <c r="X47" i="10" s="1"/>
  <c r="H40" i="10"/>
  <c r="U38" i="10"/>
  <c r="X38" i="10" s="1"/>
  <c r="V38" i="10"/>
  <c r="Y38" i="10" s="1"/>
  <c r="V41" i="10"/>
  <c r="Y41" i="10" s="1"/>
  <c r="V47" i="10"/>
  <c r="Y47" i="10" s="1"/>
  <c r="V46" i="10"/>
  <c r="V51" i="10"/>
  <c r="Y51" i="10" s="1"/>
  <c r="U50" i="10"/>
  <c r="X50" i="10" s="1"/>
  <c r="U49" i="10"/>
  <c r="X49" i="10" s="1"/>
  <c r="V49" i="10"/>
  <c r="Y49" i="10" s="1"/>
  <c r="J8" i="10"/>
  <c r="H41" i="10" s="1"/>
  <c r="V50" i="10"/>
  <c r="Y50" i="10" s="1"/>
  <c r="U51" i="10"/>
  <c r="X51" i="10" s="1"/>
  <c r="U46" i="10"/>
  <c r="X46" i="10" s="1"/>
  <c r="Y16" i="10"/>
  <c r="U39" i="10"/>
  <c r="X39" i="10" s="1"/>
  <c r="Y60" i="10" l="1"/>
  <c r="D26" i="10"/>
  <c r="X60" i="10"/>
  <c r="X56" i="10"/>
  <c r="U16" i="10"/>
  <c r="U6" i="10"/>
  <c r="X6" i="10" s="1"/>
  <c r="U15" i="10"/>
  <c r="X15" i="10" s="1"/>
  <c r="Y46" i="10"/>
  <c r="Y59" i="10"/>
  <c r="Y40" i="10"/>
  <c r="E27" i="10"/>
  <c r="U5" i="10"/>
  <c r="X5" i="10" s="1"/>
  <c r="H54" i="10"/>
  <c r="E30" i="10" s="1"/>
  <c r="H53" i="10"/>
  <c r="H46" i="10"/>
  <c r="H45" i="10"/>
  <c r="H47" i="10"/>
  <c r="D25" i="10" l="1"/>
  <c r="E26" i="10"/>
  <c r="E37" i="10" s="1"/>
  <c r="D33" i="10"/>
  <c r="X16" i="10"/>
  <c r="H49" i="10"/>
  <c r="H48" i="10"/>
  <c r="E25" i="10" l="1"/>
  <c r="O97" i="10"/>
  <c r="D37" i="10"/>
  <c r="H50" i="10"/>
  <c r="H52" i="10" s="1"/>
  <c r="D31" i="10" s="1"/>
  <c r="O99" i="10" l="1"/>
  <c r="A38" i="10" s="1"/>
  <c r="D38" i="10"/>
  <c r="H55" i="10"/>
  <c r="D32" i="10" s="1"/>
  <c r="V26" i="12"/>
  <c r="Y26" i="12" s="1"/>
  <c r="V28" i="12"/>
  <c r="Y28" i="12" s="1"/>
  <c r="V19" i="12"/>
  <c r="Y19" i="12" s="1"/>
  <c r="V39" i="12"/>
  <c r="Y39" i="12" s="1"/>
  <c r="V29" i="12"/>
  <c r="Y29" i="12" s="1"/>
  <c r="AE62" i="12" l="1"/>
  <c r="AE53" i="12" s="1"/>
  <c r="AC60" i="12"/>
  <c r="AC62" i="12" s="1"/>
  <c r="AC53" i="12" s="1"/>
  <c r="J21" i="12" s="1"/>
  <c r="J28" i="12" l="1"/>
  <c r="J27" i="12" s="1"/>
  <c r="AK59" i="12"/>
  <c r="AK45" i="12"/>
  <c r="AK60" i="12"/>
  <c r="V60" i="12" s="1"/>
  <c r="AK55" i="12"/>
  <c r="AK57" i="12"/>
  <c r="AK47" i="12"/>
  <c r="AK61" i="12"/>
  <c r="V61" i="12" s="1"/>
  <c r="AK35" i="12"/>
  <c r="AK37" i="12"/>
  <c r="AK51" i="12"/>
  <c r="AK36" i="12"/>
  <c r="AK41" i="12"/>
  <c r="V41" i="12" s="1"/>
  <c r="Y41" i="12" s="1"/>
  <c r="AK56" i="12"/>
  <c r="AK25" i="12"/>
  <c r="AK16" i="12"/>
  <c r="V16" i="12" s="1"/>
  <c r="Y16" i="12" s="1"/>
  <c r="AK40" i="12"/>
  <c r="AK38" i="12"/>
  <c r="V38" i="12" s="1"/>
  <c r="Y38" i="12" s="1"/>
  <c r="AK50" i="12"/>
  <c r="J20" i="12"/>
  <c r="AK48" i="12"/>
  <c r="AK58" i="12"/>
  <c r="V58" i="12" s="1"/>
  <c r="Y58" i="12" s="1"/>
  <c r="AK10" i="12"/>
  <c r="AK49" i="12"/>
  <c r="AK39" i="12"/>
  <c r="AK46" i="12"/>
  <c r="AK27" i="12" l="1"/>
  <c r="AK5" i="12"/>
  <c r="AK19" i="12"/>
  <c r="AK21" i="12"/>
  <c r="V21" i="12" s="1"/>
  <c r="Y21" i="12" s="1"/>
  <c r="AK20" i="12"/>
  <c r="AK18" i="12"/>
  <c r="AK6" i="12"/>
  <c r="V6" i="12" s="1"/>
  <c r="Y6" i="12" s="1"/>
  <c r="AK17" i="12"/>
  <c r="AK26" i="12"/>
  <c r="AK29" i="12"/>
  <c r="AK11" i="12"/>
  <c r="V11" i="12" s="1"/>
  <c r="Y11" i="12" s="1"/>
  <c r="AK31" i="12"/>
  <c r="AK9" i="12"/>
  <c r="Y61" i="12"/>
  <c r="AK15" i="12"/>
  <c r="AK28" i="12"/>
  <c r="AK7" i="12"/>
  <c r="AK8" i="12"/>
  <c r="AK30" i="12"/>
  <c r="Y60" i="12"/>
  <c r="D24" i="12" l="1"/>
  <c r="A29" i="12" s="1"/>
  <c r="E2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tc={6808BCA6-D5F7-4890-8534-A3DACB35170E}</author>
    <author>tc={6FD0E638-3E47-44D1-974F-9FE031A7A193}</author>
    <author>tc={48FF6E6C-272C-45ED-9A0E-F0F6EA863955}</author>
    <author>Yang Wang</author>
    <author>tc={910A43C8-2043-4AAF-8EA5-9C52C9DD1F64}</author>
    <author>Dave Noblin</author>
    <author>David Noblin</author>
    <author>tc={41003AB7-6CAA-4A62-AC96-EBABA59C8FF7}</author>
    <author>tc={D96C37FC-AF12-45B8-A28E-9A0C5D9AFC60}</author>
    <author>tc={E88CF6EB-EAC9-4BDC-8454-49EC77802A7D}</author>
    <author>tc={5AC67F20-2313-4E35-850C-9B36A9F26468}</author>
    <author>tc={6407EE8D-27FE-46E1-AFAE-D9EEC385C999}</author>
    <author>tc={05908F03-68AF-4837-8F6D-0DDD33A5C2E5}</author>
    <author>tc={48CF4283-86B6-4AE9-98A9-29F83AAE4750}</author>
  </authors>
  <commentList>
    <comment ref="J21" authorId="0" shapeId="0" xr:uid="{6808BCA6-D5F7-4890-8534-A3DACB35170E}">
      <text>
        <t>[Threaded comment]
Your version of Excel allows you to read this threaded comment; however, any edits to it will get removed if the file is opened in a newer version of Excel. Learn more: https://go.microsoft.com/fwlink/?linkid=870924
Comment:
    Expanded VLOOKUP range to include WR600</t>
      </text>
    </comment>
    <comment ref="J28" authorId="1" shapeId="0" xr:uid="{6FD0E638-3E47-44D1-974F-9FE031A7A193}">
      <text>
        <t>[Threaded comment]
Your version of Excel allows you to read this threaded comment; however, any edits to it will get removed if the file is opened in a newer version of Excel. Learn more: https://go.microsoft.com/fwlink/?linkid=870924
Comment:
    Expanded VLOOKUP range to include WR600</t>
      </text>
    </comment>
    <comment ref="J30" authorId="2" shapeId="0" xr:uid="{48FF6E6C-272C-45ED-9A0E-F0F6EA86395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CTE from min temp instead of max temp.</t>
      </text>
    </comment>
    <comment ref="G33" authorId="3" shapeId="0" xr:uid="{1D09FCCD-3726-4F28-A35E-65B77E5EE471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No longer need these calculations. It's redundant. All OAL calcs are done on column W.</t>
        </r>
      </text>
    </comment>
    <comment ref="J34" authorId="4" shapeId="0" xr:uid="{910A43C8-2043-4AAF-8EA5-9C52C9DD1F6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VLOOKUP to streamline the calculations</t>
      </text>
    </comment>
    <comment ref="P35" authorId="5" shapeId="0" xr:uid="{00000000-0006-0000-0000-000001000000}">
      <text>
        <r>
          <rPr>
            <b/>
            <sz val="9"/>
            <color indexed="81"/>
            <rFont val="Tahoma"/>
            <family val="2"/>
          </rPr>
          <t>Dave Noblin:</t>
        </r>
        <r>
          <rPr>
            <sz val="9"/>
            <color indexed="81"/>
            <rFont val="Tahoma"/>
            <family val="2"/>
          </rPr>
          <t xml:space="preserve">
Typical value from Cytec tape</t>
        </r>
      </text>
    </comment>
    <comment ref="Q35" authorId="5" shapeId="0" xr:uid="{00000000-0006-0000-0000-000002000000}">
      <text>
        <r>
          <rPr>
            <b/>
            <sz val="9"/>
            <color indexed="81"/>
            <rFont val="Tahoma"/>
            <family val="2"/>
          </rPr>
          <t>Dave Noblin:</t>
        </r>
        <r>
          <rPr>
            <sz val="9"/>
            <color indexed="81"/>
            <rFont val="Tahoma"/>
            <family val="2"/>
          </rPr>
          <t xml:space="preserve">
Typical value from Cytec tape</t>
        </r>
      </text>
    </comment>
    <comment ref="H52" authorId="6" shapeId="0" xr:uid="{00000000-0006-0000-0000-000003000000}">
      <text>
        <r>
          <rPr>
            <b/>
            <sz val="9"/>
            <color indexed="81"/>
            <rFont val="Tahoma"/>
            <family val="2"/>
          </rPr>
          <t>David Noblin:</t>
        </r>
        <r>
          <rPr>
            <sz val="9"/>
            <color indexed="81"/>
            <rFont val="Tahoma"/>
            <family val="2"/>
          </rPr>
          <t xml:space="preserve">
Based on CW080417 Rev F - Craigs TWPV spreadsheet
</t>
        </r>
      </text>
    </comment>
    <comment ref="H53" authorId="6" shapeId="0" xr:uid="{00000000-0006-0000-0000-000004000000}">
      <text>
        <r>
          <rPr>
            <b/>
            <sz val="9"/>
            <color indexed="81"/>
            <rFont val="Tahoma"/>
            <family val="2"/>
          </rPr>
          <t>David Noblin:</t>
        </r>
        <r>
          <rPr>
            <sz val="9"/>
            <color indexed="81"/>
            <rFont val="Tahoma"/>
            <family val="2"/>
          </rPr>
          <t xml:space="preserve">
based on RM080818 Rev - Spreadsheet</t>
        </r>
      </text>
    </comment>
    <comment ref="R55" authorId="7" shapeId="0" xr:uid="{41003AB7-6CAA-4A62-AC96-EBABA59C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lab ID CTE data.</t>
      </text>
    </comment>
    <comment ref="U55" authorId="8" shapeId="0" xr:uid="{D96C37FC-AF12-45B8-A28E-9A0C5D9AFC6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same OD calc as WR650.</t>
      </text>
    </comment>
    <comment ref="W55" authorId="9" shapeId="0" xr:uid="{E88CF6EB-EAC9-4BDC-8454-49EC77802A7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"check temperature" condition to the code to align it with the other two columns.</t>
      </text>
    </comment>
    <comment ref="AC55" authorId="3" shapeId="0" xr:uid="{82C20F3E-315C-4256-836B-3C128B7567A7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Estimated based on OD - 2*CX</t>
        </r>
      </text>
    </comment>
    <comment ref="AI55" authorId="10" shapeId="0" xr:uid="{5AC67F20-2313-4E35-850C-9B36A9F264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Locked down row numbers for cells D13 and D17. Also dragged the formula down the culomn.</t>
      </text>
    </comment>
    <comment ref="P61" authorId="3" shapeId="0" xr:uid="{34E22FB4-8579-4CDA-94A7-AE782E652531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500F data were interpolated from 400F lab data
</t>
        </r>
      </text>
    </comment>
    <comment ref="Q79" authorId="11" shapeId="0" xr:uid="{6407EE8D-27FE-46E1-AFAE-D9EEC385C99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hardcoded clearance value to referencing clearance values in column V</t>
      </text>
    </comment>
    <comment ref="S84" authorId="12" shapeId="0" xr:uid="{05908F03-68AF-4837-8F6D-0DDD33A5C2E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max interference from 0.002 to 0.006 in/in per design guideline rev E update.</t>
      </text>
    </comment>
    <comment ref="O99" authorId="13" shapeId="0" xr:uid="{48CF4283-86B6-4AE9-98A9-29F83AAE4750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return "NO" if thermal fit temp is too high or material is not recommended for thermal fit (see Table R97).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tc={7258CCC0-701A-4DB0-92C1-2ADFCBBD5F79}</author>
    <author>tc={1ED4345E-BC49-42E2-A17F-773A75385E03}</author>
    <author>tc={F7BAD3A2-C39C-4521-9E6A-7CBE70E08473}</author>
    <author>tc={AC06ED62-5678-4CFE-9803-9E111F84DCCD}</author>
    <author>tc={5014BDEA-7D5B-4FD6-8C70-A93467530A4D}</author>
    <author>tc={6E346A64-300B-4BAC-BA99-95BADE6DEE59}</author>
    <author>tc={C0AE594F-0346-4203-9EC4-28267CA7A258}</author>
    <author>David Noblin</author>
    <author>tc={EBCE041E-3295-453D-86BF-A2B841B6FB76}</author>
    <author>Yang Wang</author>
    <author>tc={71B0ACAD-F92D-4F58-9906-E45736992E4E}</author>
    <author>tc={94B8FEA0-FF0D-4690-B718-774346DCAFCC}</author>
    <author>tc={44CF20DF-B662-4A2F-B87A-BC7C817016F1}</author>
  </authors>
  <commentList>
    <comment ref="W5" authorId="0" shapeId="0" xr:uid="{7258CCC0-701A-4DB0-92C1-2ADFCBBD5F79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length calculation since material temperature doesn't go high enough.</t>
      </text>
    </comment>
    <comment ref="W15" authorId="1" shapeId="0" xr:uid="{1ED4345E-BC49-42E2-A17F-773A75385E03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length calculation since material temperature doesn't go high enough.</t>
      </text>
    </comment>
    <comment ref="J21" authorId="2" shapeId="0" xr:uid="{F7BAD3A2-C39C-4521-9E6A-7CBE70E08473}">
      <text>
        <t>[Threaded comment]
Your version of Excel allows you to read this threaded comment; however, any edits to it will get removed if the file is opened in a newer version of Excel. Learn more: https://go.microsoft.com/fwlink/?linkid=870924
Comment:
    Expanded VLOOKUP range to include WR600</t>
      </text>
    </comment>
    <comment ref="W25" authorId="3" shapeId="0" xr:uid="{AC06ED62-5678-4CFE-9803-9E111F84DCCD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length calculation since material temperature doesn't go high enough.</t>
      </text>
    </comment>
    <comment ref="J28" authorId="4" shapeId="0" xr:uid="{5014BDEA-7D5B-4FD6-8C70-A93467530A4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Expanded VLOOKUP range to include WR600</t>
      </text>
    </comment>
    <comment ref="J31" authorId="5" shapeId="0" xr:uid="{6E346A64-300B-4BAC-BA99-95BADE6DEE5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CTE from min temp instead of max temp.</t>
      </text>
    </comment>
    <comment ref="J34" authorId="6" shapeId="0" xr:uid="{C0AE594F-0346-4203-9EC4-28267CA7A25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VLOOKUP to streamline the calculations</t>
      </text>
    </comment>
    <comment ref="H52" authorId="7" shapeId="0" xr:uid="{4E0DF5C7-239B-4E13-A012-C3C3D57309BE}">
      <text>
        <r>
          <rPr>
            <b/>
            <sz val="9"/>
            <color indexed="81"/>
            <rFont val="Tahoma"/>
            <family val="2"/>
          </rPr>
          <t>David Noblin:</t>
        </r>
        <r>
          <rPr>
            <sz val="9"/>
            <color indexed="81"/>
            <rFont val="Tahoma"/>
            <family val="2"/>
          </rPr>
          <t xml:space="preserve">
Based on CW080417 Rev F - Craigs TWPV spreadsheet
</t>
        </r>
      </text>
    </comment>
    <comment ref="H53" authorId="7" shapeId="0" xr:uid="{F733D93E-5F62-4051-A427-5A2A34C2C97D}">
      <text>
        <r>
          <rPr>
            <b/>
            <sz val="9"/>
            <color indexed="81"/>
            <rFont val="Tahoma"/>
            <family val="2"/>
          </rPr>
          <t>David Noblin:</t>
        </r>
        <r>
          <rPr>
            <sz val="9"/>
            <color indexed="81"/>
            <rFont val="Tahoma"/>
            <family val="2"/>
          </rPr>
          <t xml:space="preserve">
based on RM080818 Rev - Spreadsheet</t>
        </r>
      </text>
    </comment>
    <comment ref="W55" authorId="8" shapeId="0" xr:uid="{EBCE041E-3295-453D-86BF-A2B841B6FB7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"check temperature" condition to the code to align it with the other two columns.</t>
      </text>
    </comment>
    <comment ref="AC55" authorId="9" shapeId="0" xr:uid="{338EB22A-6167-4EF6-A335-94EBC5FF2B1A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Estimated based on OD - 2*CX</t>
        </r>
      </text>
    </comment>
    <comment ref="AI55" authorId="10" shapeId="0" xr:uid="{71B0ACAD-F92D-4F58-9906-E45736992E4E}">
      <text>
        <t>[Threaded comment]
Your version of Excel allows you to read this threaded comment; however, any edits to it will get removed if the file is opened in a newer version of Excel. Learn more: https://go.microsoft.com/fwlink/?linkid=870924
Comment:
    Locked down row numbers for cells D13 and D17. Also dragged the formula down the culomn.</t>
      </text>
    </comment>
    <comment ref="P61" authorId="9" shapeId="0" xr:uid="{63A87DB9-5144-4CD0-8397-90C4982BDCE4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500F data were interpolated from 400F lab data
</t>
        </r>
      </text>
    </comment>
    <comment ref="Q79" authorId="11" shapeId="0" xr:uid="{94B8FEA0-FF0D-4690-B718-774346DCAF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hardcoded clearance value to referencing clearance values in column V</t>
      </text>
    </comment>
    <comment ref="O99" authorId="12" shapeId="0" xr:uid="{44CF20DF-B662-4A2F-B87A-BC7C817016F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return "NO" if thermal fit temp is too high or material is not recommended for thermal fit (see Table R97).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Wang</author>
    <author>tc={00C9439E-B3FA-44C5-93F4-67000B4293F4}</author>
    <author>tc={A25A7FBA-3075-45E3-977C-B206A3F4B5F5}</author>
    <author>tc={CAE44401-F451-41BE-A44F-E1596D09D4D9}</author>
    <author>tc={80EB0CD0-BC17-4BAD-A91C-FB6745A55E9A}</author>
    <author>tc={869D8951-83D7-4BAA-A01A-C3337E874480}</author>
    <author>tc={CA1A1C0A-AFEA-413C-961D-458AF3A7A2E2}</author>
    <author>tc={5D901F31-83A1-45C4-B518-FA0702A42DD1}</author>
  </authors>
  <commentList>
    <comment ref="J21" authorId="0" shapeId="0" xr:uid="{7EB92EBA-E035-4FEB-82EA-5C76F05FACDD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Streamlined growth calculation with Vlookup</t>
        </r>
      </text>
    </comment>
    <comment ref="J28" authorId="1" shapeId="0" xr:uid="{00C9439E-B3FA-44C5-93F4-67000B4293F4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streamlined with vlookup as well.</t>
      </text>
    </comment>
    <comment ref="J31" authorId="2" shapeId="0" xr:uid="{A25A7FBA-3075-45E3-977C-B206A3F4B5F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CTE from min temp instead of max temp.</t>
      </text>
    </comment>
    <comment ref="G33" authorId="3" shapeId="0" xr:uid="{CAE44401-F451-41BE-A44F-E1596D09D4D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also no longer needed as with the press in calcs.</t>
      </text>
    </comment>
    <comment ref="J34" authorId="4" shapeId="0" xr:uid="{80EB0CD0-BC17-4BAD-A91C-FB6745A5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VLOOKUP to streamline calculation</t>
      </text>
    </comment>
    <comment ref="AC45" authorId="0" shapeId="0" xr:uid="{25DDCFBA-5C9E-42ED-9373-929A18CEB339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Fixed a reference issue than resulted in growth always be 0.</t>
        </r>
      </text>
    </comment>
    <comment ref="AE45" authorId="0" shapeId="0" xr:uid="{C23C5149-F8D9-4C6D-8D24-0D1AFEE5B723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Fixed a reference issue than resulted in growth always be 0.</t>
        </r>
      </text>
    </comment>
    <comment ref="AG45" authorId="0" shapeId="0" xr:uid="{41030953-2F9D-4A4E-8B67-D761A4AB6D30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Fixed a reference issue</t>
        </r>
      </text>
    </comment>
    <comment ref="W55" authorId="5" shapeId="0" xr:uid="{869D8951-83D7-4BAA-A01A-C3337E874480}">
      <text>
        <t>[Threaded comment]
Your version of Excel allows you to read this threaded comment; however, any edits to it will get removed if the file is opened in a newer version of Excel. Learn more: https://go.microsoft.com/fwlink/?linkid=870924
Comment:
    1. Changed max temp at which you start accounting for axial growth from 300 to 150, per press-in calculator.
2. OAL was referecing cells that are no longer needed. Changed reference to the columns on the right. Now both press-in and floating agree on the same OAL.</t>
      </text>
    </comment>
    <comment ref="X55" authorId="0" shapeId="0" xr:uid="{AD7FE4D2-16C4-4A43-AE04-CB6437B8BB4D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Used OD/ID Tol from WR525 per MS_0009
</t>
        </r>
      </text>
    </comment>
    <comment ref="AB55" authorId="0" shapeId="0" xr:uid="{2FB7A67F-6F51-4D40-88CC-A1C2C3B6BB4B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5" authorId="0" shapeId="0" xr:uid="{01EAFEC8-5D12-425C-8627-96AADBF0096E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Estimated based on OD - 2*CX</t>
        </r>
      </text>
    </comment>
    <comment ref="AI55" authorId="6" shapeId="0" xr:uid="{CA1A1C0A-AFEA-413C-961D-458AF3A7A2E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calculation so that for a certain temperature range, the CTE of the lower end is referenced to make it consistent with the press-in.</t>
      </text>
    </comment>
    <comment ref="AN55" authorId="0" shapeId="0" xr:uid="{D2DCDB20-F1F5-4AC6-9C3A-2D641C65BCE5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Calculate ID shrinkage at lowest temp since there's no ID CTE to directly calculate like other materials.</t>
        </r>
      </text>
    </comment>
    <comment ref="AE62" authorId="7" shapeId="0" xr:uid="{5D901F31-83A1-45C4-B518-FA0702A42DD1}">
      <text>
        <t>[Threaded comment]
Your version of Excel allows you to read this threaded comment; however, any edits to it will get removed if the file is opened in a newer version of Excel. Learn more: https://go.microsoft.com/fwlink/?linkid=870924
Comment:
    (Not too important because last cell is always 0.) Dragged growth selection down to select 500 row. It had been left out previously.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tc={07C13FAB-AF91-4DF6-B7A0-296AEF8FEED4}</author>
    <author>tc={4ABBA1A8-BC56-49E4-BF56-BBB81A30AE20}</author>
    <author>Yang Wang</author>
    <author>tc={9979D409-05BE-44E5-938A-F35AFA041D7A}</author>
    <author>tc={359F3DB3-CD4D-4BC0-B931-628871274892}</author>
    <author>tc={C2EE3DE5-9884-4A26-BC4D-93D8F7CCD0E1}</author>
    <author>tc={98634599-F8AB-49AB-AA35-B45622B04A98}</author>
    <author>tc={22D3BE14-78F0-468E-B580-87B3CF903084}</author>
    <author>tc={B8C0DB24-77CC-4347-BB42-60B6E8AB0CCD}</author>
    <author>tc={698295FD-120E-460F-9CB7-44AB467D2D36}</author>
  </authors>
  <commentList>
    <comment ref="M5" authorId="0" shapeId="0" xr:uid="{07C13FAB-AF91-4DF6-B7A0-296AEF8FEED4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temp unit.</t>
      </text>
    </comment>
    <comment ref="M15" authorId="1" shapeId="0" xr:uid="{4ABBA1A8-BC56-49E4-BF56-BBB81A30AE20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temp unit.</t>
      </text>
    </comment>
    <comment ref="J21" authorId="2" shapeId="0" xr:uid="{8F38F1C5-51F7-45C2-B641-99C17703C5B4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Streamlined growth calculation with Vlookup</t>
        </r>
      </text>
    </comment>
    <comment ref="M25" authorId="3" shapeId="0" xr:uid="{9979D409-05BE-44E5-938A-F35AFA041D7A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temp unit.</t>
      </text>
    </comment>
    <comment ref="M35" authorId="4" shapeId="0" xr:uid="{359F3DB3-CD4D-4BC0-B931-628871274892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temp unit.</t>
      </text>
    </comment>
    <comment ref="M45" authorId="5" shapeId="0" xr:uid="{C2EE3DE5-9884-4A26-BC4D-93D8F7CC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temp unit.</t>
      </text>
    </comment>
    <comment ref="W55" authorId="6" shapeId="0" xr:uid="{98634599-F8AB-49AB-AA35-B45622B04A98}">
      <text>
        <t>[Threaded comment]
Your version of Excel allows you to read this threaded comment; however, any edits to it will get removed if the file is opened in a newer version of Excel. Learn more: https://go.microsoft.com/fwlink/?linkid=870924
Comment:
    1. Changed max temp at which you start accounting for axial growth from 300 to 150, per press-in calculator.
2. OAL was referecing cells that are no longer needed. Changed reference to the columns on the right. Now both press-in and floating agree on the same OAL.</t>
      </text>
    </comment>
    <comment ref="AB55" authorId="2" shapeId="0" xr:uid="{AD420D84-5E86-4E1A-BC2F-8875F223F1EC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5" authorId="2" shapeId="0" xr:uid="{085DD0CA-DB52-4969-9C88-E5F91E12DEBD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Estimated based on OD - 2*CX</t>
        </r>
      </text>
    </comment>
    <comment ref="AI55" authorId="7" shapeId="0" xr:uid="{22D3BE14-78F0-468E-B580-87B3CF90308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calculation so that for a certain temperature range, the CTE of the lower end is referenced to make it consistent with the press-in.</t>
      </text>
    </comment>
    <comment ref="AN55" authorId="2" shapeId="0" xr:uid="{8D89C873-47FB-4FB3-9085-33EBB720172E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Calculate ID shrinkage at lowest temp since there's no ID CTE to directly calculate like other materials.</t>
        </r>
      </text>
    </comment>
    <comment ref="P61" authorId="2" shapeId="0" xr:uid="{F9D22CCC-1AAD-431A-B138-016123C49049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500F data were interpolated from 400F lab data
</t>
        </r>
      </text>
    </comment>
    <comment ref="P85" authorId="8" shapeId="0" xr:uid="{B8C0DB24-77CC-4347-BB42-60B6E8AB0CCD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a formula reference error that resulted in the wrong clearance value</t>
      </text>
    </comment>
    <comment ref="T85" authorId="9" shapeId="0" xr:uid="{698295FD-120E-460F-9CB7-44AB467D2D36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wrong cell reference.</t>
      </text>
    </comment>
  </commentList>
</comments>
</file>

<file path=xl/sharedStrings.xml><?xml version="1.0" encoding="utf-8"?>
<sst xmlns="http://schemas.openxmlformats.org/spreadsheetml/2006/main" count="1421" uniqueCount="242">
  <si>
    <t>mm</t>
  </si>
  <si>
    <t>AR®HT</t>
  </si>
  <si>
    <t>WR®525</t>
  </si>
  <si>
    <t>WR®650</t>
  </si>
  <si>
    <t>Interference</t>
  </si>
  <si>
    <t>Clearance</t>
  </si>
  <si>
    <t>Bore</t>
  </si>
  <si>
    <t>Rod</t>
  </si>
  <si>
    <t>Metal Modulus</t>
  </si>
  <si>
    <t>WR Modulus</t>
  </si>
  <si>
    <t>r/t</t>
  </si>
  <si>
    <t>Interference (radial)</t>
  </si>
  <si>
    <t>Interface P</t>
  </si>
  <si>
    <t>Collapse P</t>
  </si>
  <si>
    <t>Clearance (radial)</t>
  </si>
  <si>
    <t>Max P</t>
  </si>
  <si>
    <r>
      <t>r</t>
    </r>
    <r>
      <rPr>
        <vertAlign val="superscript"/>
        <sz val="11"/>
        <rFont val="Arial"/>
        <family val="2"/>
      </rPr>
      <t>2</t>
    </r>
  </si>
  <si>
    <t>Temp (°F)</t>
  </si>
  <si>
    <t>INT</t>
  </si>
  <si>
    <t>psi</t>
  </si>
  <si>
    <t>bar</t>
  </si>
  <si>
    <t>Min</t>
  </si>
  <si>
    <t>Max</t>
  </si>
  <si>
    <t>in</t>
  </si>
  <si>
    <t>Stationary Element ID</t>
  </si>
  <si>
    <t>Rotating Element OD</t>
  </si>
  <si>
    <t>°F</t>
  </si>
  <si>
    <t>Rotating Material</t>
  </si>
  <si>
    <t>Stationary Material</t>
  </si>
  <si>
    <t>Low Temp Change</t>
  </si>
  <si>
    <t>High Temp Change</t>
  </si>
  <si>
    <r>
      <t>D</t>
    </r>
    <r>
      <rPr>
        <vertAlign val="subscript"/>
        <sz val="11"/>
        <color theme="1"/>
        <rFont val="Arial"/>
        <family val="2"/>
      </rPr>
      <t>R0</t>
    </r>
  </si>
  <si>
    <r>
      <t>a</t>
    </r>
    <r>
      <rPr>
        <vertAlign val="subscript"/>
        <sz val="11"/>
        <color theme="1"/>
        <rFont val="Arial"/>
        <family val="2"/>
      </rPr>
      <t>R</t>
    </r>
  </si>
  <si>
    <r>
      <t>D</t>
    </r>
    <r>
      <rPr>
        <vertAlign val="subscript"/>
        <sz val="11"/>
        <color theme="1"/>
        <rFont val="Arial"/>
        <family val="2"/>
      </rPr>
      <t>S0</t>
    </r>
  </si>
  <si>
    <r>
      <t>a</t>
    </r>
    <r>
      <rPr>
        <vertAlign val="subscript"/>
        <sz val="11"/>
        <color theme="1"/>
        <rFont val="Arial"/>
        <family val="2"/>
      </rPr>
      <t>S</t>
    </r>
  </si>
  <si>
    <r>
      <t>D</t>
    </r>
    <r>
      <rPr>
        <sz val="11"/>
        <color theme="1"/>
        <rFont val="Arial"/>
        <family val="2"/>
      </rPr>
      <t>T</t>
    </r>
    <r>
      <rPr>
        <vertAlign val="subscript"/>
        <sz val="11"/>
        <color theme="1"/>
        <rFont val="Arial"/>
        <family val="2"/>
      </rPr>
      <t>L</t>
    </r>
  </si>
  <si>
    <r>
      <t>D</t>
    </r>
    <r>
      <rPr>
        <sz val="11"/>
        <color theme="1"/>
        <rFont val="Arial"/>
        <family val="2"/>
      </rPr>
      <t>T</t>
    </r>
    <r>
      <rPr>
        <vertAlign val="subscript"/>
        <sz val="11"/>
        <color theme="1"/>
        <rFont val="Arial"/>
        <family val="2"/>
      </rPr>
      <t>H</t>
    </r>
  </si>
  <si>
    <r>
      <t>G</t>
    </r>
    <r>
      <rPr>
        <vertAlign val="subscript"/>
        <sz val="11"/>
        <color theme="1"/>
        <rFont val="Arial"/>
        <family val="2"/>
      </rPr>
      <t>RH</t>
    </r>
  </si>
  <si>
    <r>
      <t>G</t>
    </r>
    <r>
      <rPr>
        <vertAlign val="subscript"/>
        <sz val="11"/>
        <color theme="1"/>
        <rFont val="Arial"/>
        <family val="2"/>
      </rPr>
      <t>RL</t>
    </r>
  </si>
  <si>
    <r>
      <t>G</t>
    </r>
    <r>
      <rPr>
        <vertAlign val="subscript"/>
        <sz val="11"/>
        <color theme="1"/>
        <rFont val="Arial"/>
        <family val="2"/>
      </rPr>
      <t>SH</t>
    </r>
  </si>
  <si>
    <r>
      <t>G</t>
    </r>
    <r>
      <rPr>
        <vertAlign val="subscript"/>
        <sz val="11"/>
        <color theme="1"/>
        <rFont val="Arial"/>
        <family val="2"/>
      </rPr>
      <t>SL</t>
    </r>
  </si>
  <si>
    <r>
      <t>G</t>
    </r>
    <r>
      <rPr>
        <vertAlign val="subscript"/>
        <sz val="11"/>
        <color theme="1"/>
        <rFont val="Arial"/>
        <family val="2"/>
      </rPr>
      <t>OH</t>
    </r>
  </si>
  <si>
    <r>
      <t>G</t>
    </r>
    <r>
      <rPr>
        <vertAlign val="subscript"/>
        <sz val="11"/>
        <color theme="1"/>
        <rFont val="Arial"/>
        <family val="2"/>
      </rPr>
      <t>OL</t>
    </r>
  </si>
  <si>
    <r>
      <t>G</t>
    </r>
    <r>
      <rPr>
        <vertAlign val="subscript"/>
        <sz val="11"/>
        <color theme="1"/>
        <rFont val="Arial"/>
        <family val="2"/>
      </rPr>
      <t>IH</t>
    </r>
  </si>
  <si>
    <r>
      <t>G</t>
    </r>
    <r>
      <rPr>
        <vertAlign val="subscript"/>
        <sz val="11"/>
        <color theme="1"/>
        <rFont val="Arial"/>
        <family val="2"/>
      </rPr>
      <t>IL</t>
    </r>
  </si>
  <si>
    <t>CLR</t>
  </si>
  <si>
    <r>
      <t>OAL</t>
    </r>
    <r>
      <rPr>
        <vertAlign val="subscript"/>
        <sz val="11"/>
        <color theme="1"/>
        <rFont val="Arial"/>
        <family val="2"/>
      </rPr>
      <t>0</t>
    </r>
  </si>
  <si>
    <r>
      <t>a</t>
    </r>
    <r>
      <rPr>
        <vertAlign val="subscript"/>
        <sz val="11"/>
        <color theme="1"/>
        <rFont val="Arial"/>
        <family val="2"/>
      </rPr>
      <t>OAL</t>
    </r>
  </si>
  <si>
    <t>Composite OD Growth</t>
  </si>
  <si>
    <t>Composite OD Shrinkage</t>
  </si>
  <si>
    <t>Composite ID Growth</t>
  </si>
  <si>
    <t>Composite ID Shrinkage</t>
  </si>
  <si>
    <t>Composite</t>
  </si>
  <si>
    <t>Max Rotor OD at Min Temp</t>
  </si>
  <si>
    <t>Max Stator ID at Min Temp</t>
  </si>
  <si>
    <t>Min Composite ID at Min Temp</t>
  </si>
  <si>
    <t>Max Rotor OD at Max Temp</t>
  </si>
  <si>
    <t>Max Stator ID at Max Temp</t>
  </si>
  <si>
    <t>Min Composite ID at Max Temp</t>
  </si>
  <si>
    <r>
      <t>T</t>
    </r>
    <r>
      <rPr>
        <vertAlign val="subscript"/>
        <sz val="11"/>
        <color theme="1"/>
        <rFont val="Arial"/>
        <family val="2"/>
      </rPr>
      <t>L</t>
    </r>
  </si>
  <si>
    <r>
      <t>T</t>
    </r>
    <r>
      <rPr>
        <vertAlign val="subscript"/>
        <sz val="11"/>
        <color theme="1"/>
        <rFont val="Arial"/>
        <family val="2"/>
      </rPr>
      <t>H</t>
    </r>
  </si>
  <si>
    <r>
      <t>D</t>
    </r>
    <r>
      <rPr>
        <vertAlign val="subscript"/>
        <sz val="11"/>
        <color theme="1"/>
        <rFont val="Arial"/>
        <family val="2"/>
      </rPr>
      <t>RL</t>
    </r>
  </si>
  <si>
    <r>
      <t>D</t>
    </r>
    <r>
      <rPr>
        <vertAlign val="subscript"/>
        <sz val="11"/>
        <color theme="1"/>
        <rFont val="Arial"/>
        <family val="2"/>
      </rPr>
      <t>SL</t>
    </r>
  </si>
  <si>
    <r>
      <t>D</t>
    </r>
    <r>
      <rPr>
        <vertAlign val="subscript"/>
        <sz val="11"/>
        <color theme="1"/>
        <rFont val="Arial"/>
        <family val="2"/>
      </rPr>
      <t>WOL</t>
    </r>
  </si>
  <si>
    <r>
      <t>D</t>
    </r>
    <r>
      <rPr>
        <vertAlign val="subscript"/>
        <sz val="11"/>
        <color theme="1"/>
        <rFont val="Arial"/>
        <family val="2"/>
      </rPr>
      <t>WIL</t>
    </r>
  </si>
  <si>
    <r>
      <t>D</t>
    </r>
    <r>
      <rPr>
        <vertAlign val="subscript"/>
        <sz val="11"/>
        <color theme="1"/>
        <rFont val="Arial"/>
        <family val="2"/>
      </rPr>
      <t>RH</t>
    </r>
  </si>
  <si>
    <r>
      <t>D</t>
    </r>
    <r>
      <rPr>
        <vertAlign val="subscript"/>
        <sz val="11"/>
        <color theme="1"/>
        <rFont val="Arial"/>
        <family val="2"/>
      </rPr>
      <t>SH</t>
    </r>
  </si>
  <si>
    <r>
      <t>D</t>
    </r>
    <r>
      <rPr>
        <vertAlign val="subscript"/>
        <sz val="11"/>
        <color theme="1"/>
        <rFont val="Arial"/>
        <family val="2"/>
      </rPr>
      <t>WOH</t>
    </r>
  </si>
  <si>
    <r>
      <t>D</t>
    </r>
    <r>
      <rPr>
        <vertAlign val="subscript"/>
        <sz val="11"/>
        <color theme="1"/>
        <rFont val="Arial"/>
        <family val="2"/>
      </rPr>
      <t>WIH</t>
    </r>
  </si>
  <si>
    <t>Rotor OD Growth at Max Temp</t>
  </si>
  <si>
    <t>Rotor OD Shrinkage at Min Temp</t>
  </si>
  <si>
    <t>Stator ID Growth at Max Temp</t>
  </si>
  <si>
    <t>Stator ID Shrinkage at Min Temp</t>
  </si>
  <si>
    <t>Composite Axial Growth at Max Temp</t>
  </si>
  <si>
    <t>Rotor CTE</t>
  </si>
  <si>
    <t>Stator CTE</t>
  </si>
  <si>
    <t>Composite OAL CTE</t>
  </si>
  <si>
    <r>
      <t>G</t>
    </r>
    <r>
      <rPr>
        <vertAlign val="subscript"/>
        <sz val="11"/>
        <color theme="1"/>
        <rFont val="Arial"/>
        <family val="2"/>
      </rPr>
      <t>AH</t>
    </r>
  </si>
  <si>
    <t>AR®1</t>
  </si>
  <si>
    <t>WR®300</t>
  </si>
  <si>
    <t>ID CTE</t>
  </si>
  <si>
    <t>Compressive Modulus</t>
  </si>
  <si>
    <t>Compressive Yield</t>
  </si>
  <si>
    <t>OD CTE</t>
  </si>
  <si>
    <t>OAL CTE</t>
  </si>
  <si>
    <t>N/A</t>
  </si>
  <si>
    <t>Intermediate Calculations</t>
  </si>
  <si>
    <t>in/in/°F</t>
  </si>
  <si>
    <t>Stationary Bore Depth</t>
  </si>
  <si>
    <t>Material</t>
  </si>
  <si>
    <t>Poisson's Ratio</t>
  </si>
  <si>
    <t>Modulus (psi)</t>
  </si>
  <si>
    <t>CTE (in/in/°F)</t>
  </si>
  <si>
    <t>316 SS</t>
  </si>
  <si>
    <t>410 SS</t>
  </si>
  <si>
    <t>4140 SS</t>
  </si>
  <si>
    <t>Carbon Steel</t>
  </si>
  <si>
    <t>Nitronic 50</t>
  </si>
  <si>
    <t>Nitronic 60</t>
  </si>
  <si>
    <t>Cast Iron</t>
  </si>
  <si>
    <t>Bronze</t>
  </si>
  <si>
    <t>Pump Type</t>
  </si>
  <si>
    <t>Component Type</t>
  </si>
  <si>
    <t>Pump</t>
  </si>
  <si>
    <t>OH</t>
  </si>
  <si>
    <t>BB</t>
  </si>
  <si>
    <t>VS</t>
  </si>
  <si>
    <t>Wear Ring</t>
  </si>
  <si>
    <t>Bushing</t>
  </si>
  <si>
    <t>Bearing</t>
  </si>
  <si>
    <t>Final Dimensions</t>
  </si>
  <si>
    <t>Final OD</t>
  </si>
  <si>
    <t>Final ID</t>
  </si>
  <si>
    <t>Final OAL</t>
  </si>
  <si>
    <t>Mat'l Check</t>
  </si>
  <si>
    <t>Composite ID CTE at Max Temp</t>
  </si>
  <si>
    <t>Composite ID CTE at Min Temp</t>
  </si>
  <si>
    <r>
      <t>a</t>
    </r>
    <r>
      <rPr>
        <vertAlign val="subscript"/>
        <sz val="11"/>
        <color theme="1"/>
        <rFont val="Arial"/>
        <family val="2"/>
      </rPr>
      <t>IH</t>
    </r>
  </si>
  <si>
    <r>
      <t>a</t>
    </r>
    <r>
      <rPr>
        <vertAlign val="subscript"/>
        <sz val="11"/>
        <color theme="1"/>
        <rFont val="Arial"/>
        <family val="2"/>
      </rPr>
      <t>IL</t>
    </r>
  </si>
  <si>
    <r>
      <t>a</t>
    </r>
    <r>
      <rPr>
        <vertAlign val="subscript"/>
        <sz val="11"/>
        <color theme="1"/>
        <rFont val="Arial"/>
        <family val="2"/>
      </rPr>
      <t>OH</t>
    </r>
  </si>
  <si>
    <r>
      <t>a</t>
    </r>
    <r>
      <rPr>
        <vertAlign val="subscript"/>
        <sz val="11"/>
        <color theme="1"/>
        <rFont val="Arial"/>
        <family val="2"/>
      </rPr>
      <t>OL</t>
    </r>
  </si>
  <si>
    <t>Composite OD CTE at Min Temp</t>
  </si>
  <si>
    <t>Composite OD CTE at Max Temp</t>
  </si>
  <si>
    <t>Rotating Element Detail</t>
  </si>
  <si>
    <t>Stationary Element Detail</t>
  </si>
  <si>
    <t>Composite Inner Diameter Detail</t>
  </si>
  <si>
    <t>Composite Outer Diameter Detail</t>
  </si>
  <si>
    <t>Composite Length Detail</t>
  </si>
  <si>
    <t>Interference / Clearance Values</t>
  </si>
  <si>
    <t>Custom</t>
  </si>
  <si>
    <t>–</t>
  </si>
  <si>
    <t xml:space="preserve">Machine Composite OD </t>
  </si>
  <si>
    <t>OD Tol</t>
  </si>
  <si>
    <t>ID Tol</t>
  </si>
  <si>
    <t>Inch</t>
  </si>
  <si>
    <t>Tol</t>
  </si>
  <si>
    <t>Machine Composite OAL</t>
  </si>
  <si>
    <t>Finish Machine Composite ID After Installation</t>
  </si>
  <si>
    <t>Pressure Calcs (at Highest Temp)</t>
  </si>
  <si>
    <t>Pressure Info</t>
  </si>
  <si>
    <t>Estimated Interface Pressure at Highest Temperature</t>
  </si>
  <si>
    <t>Estimated Collapse Pressure at Highest Temperature</t>
  </si>
  <si>
    <t>Standard</t>
  </si>
  <si>
    <t>Interference Target</t>
  </si>
  <si>
    <t>Max Check</t>
  </si>
  <si>
    <t>Rotor</t>
  </si>
  <si>
    <t>Stator</t>
  </si>
  <si>
    <t>Automated Design Notes</t>
  </si>
  <si>
    <t>---------------Designer Notes---------------</t>
  </si>
  <si>
    <t>°C</t>
  </si>
  <si>
    <t>mm/mm/°C</t>
  </si>
  <si>
    <t>Temp (°C)</t>
  </si>
  <si>
    <t>Modulus (MPa)</t>
  </si>
  <si>
    <t>CTE (mm/mm/°C)</t>
  </si>
  <si>
    <t>Service / Storage Temperature (Ambient 24°C)</t>
  </si>
  <si>
    <t>Service / Storage Temperature (Ambient 75°F)</t>
  </si>
  <si>
    <t>Thermal Fit Temp</t>
  </si>
  <si>
    <r>
      <t>r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/(E*t) - Composite</t>
    </r>
  </si>
  <si>
    <t>E*t - Metal</t>
  </si>
  <si>
    <t>E*t - Composite</t>
  </si>
  <si>
    <r>
      <t>r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/(E*t) - Metal</t>
    </r>
  </si>
  <si>
    <t>Interface P (MPa converted to bar)</t>
  </si>
  <si>
    <t>Collapse P (MPa converted to bar)</t>
  </si>
  <si>
    <t>Clearance Target</t>
  </si>
  <si>
    <t>ID Calcs</t>
  </si>
  <si>
    <t>Follow OEM Bushing Clearance if Available</t>
  </si>
  <si>
    <t>Follow OEM Bearing Clearance if Available</t>
  </si>
  <si>
    <t>Input – Floating Components (Metric)</t>
  </si>
  <si>
    <t>Input – Floating Components (Imperial)</t>
  </si>
  <si>
    <t>Input – Press-in Components (Metric)</t>
  </si>
  <si>
    <t>Input – Press-in Components (Imperial)</t>
  </si>
  <si>
    <t>Complete Highlighted Cells</t>
  </si>
  <si>
    <t>WR® / AR® Calculator</t>
  </si>
  <si>
    <t>Revision</t>
  </si>
  <si>
    <t>Date</t>
  </si>
  <si>
    <t>00</t>
  </si>
  <si>
    <t>Initial release for validation</t>
  </si>
  <si>
    <t>01</t>
  </si>
  <si>
    <t>Lock all cells but input/notes; Highlight input cells</t>
  </si>
  <si>
    <t>Min Check</t>
  </si>
  <si>
    <t>02</t>
  </si>
  <si>
    <t>Add notes for maximum/minimum interference (A35/A36)</t>
  </si>
  <si>
    <t>03</t>
  </si>
  <si>
    <t>Highlight Custom CLR/INT cell; Tolerance check on hardware; min/max cross section check on composite; corrected estimated ID calculation</t>
  </si>
  <si>
    <t>04</t>
  </si>
  <si>
    <t>Normal Wear Ring Clearance For VS Pumps is .05 mm Over Bearing Clearance (Or OEM Standard)</t>
  </si>
  <si>
    <t>Normal Wear Ring Clearance For VS Pumps is .002" Over Bearing Clearance (Or OEM Standard)</t>
  </si>
  <si>
    <t>Updated VLOOKUP for Stator CTE; Update VS CLR for wear rings to match OH/BB with note to be larger than shaft bearing or per OEM</t>
  </si>
  <si>
    <t>05</t>
  </si>
  <si>
    <t>Temp</t>
  </si>
  <si>
    <t>Property at Temperature</t>
  </si>
  <si>
    <t>CTE at Temperature</t>
  </si>
  <si>
    <t>WR®525 CTE Calcs</t>
  </si>
  <si>
    <t>Growth</t>
  </si>
  <si>
    <t>WR®650 CTE Calcs</t>
  </si>
  <si>
    <t>Unlocked 'Floating (Metric)' design note cells; added notes for WR525 compressive properties at ambient are from Cytec tape; update use of CTE range for sizes (different calculations for CTE within temperature range for WR525 and WR650) - see cells J21, J28 and J34 on each sheet</t>
  </si>
  <si>
    <t>Pre-Release Revision Notes</t>
  </si>
  <si>
    <t>A</t>
  </si>
  <si>
    <t>Corrected the clearance value of VS type pump wear ring for Press-in application (Imperial) in Cell P75. The calculation agrees with WR design guide GTS-0425E Rev D.</t>
  </si>
  <si>
    <t>WR®600</t>
  </si>
  <si>
    <t>WR®600 CTE Calcs</t>
  </si>
  <si>
    <t>CX CTE</t>
  </si>
  <si>
    <t>ID Growth</t>
  </si>
  <si>
    <t>OD Growth</t>
  </si>
  <si>
    <t>ID Shinkage</t>
  </si>
  <si>
    <t>OD Shrinkage</t>
  </si>
  <si>
    <t>CX Shrinkage</t>
  </si>
  <si>
    <t>Shrinkage at Lowest Temp</t>
  </si>
  <si>
    <t>Updated calculator with WR600 material. Various calculation errors were corrected. Various forumla reference errors were corrected for Metric calculations.</t>
  </si>
  <si>
    <t>Super Duplex SS</t>
  </si>
  <si>
    <t>Minimum Clearance at Ambient</t>
    <phoneticPr fontId="0"/>
  </si>
  <si>
    <t>mm</t>
    <phoneticPr fontId="0"/>
  </si>
  <si>
    <t>Max Temp (F)</t>
  </si>
  <si>
    <t>Thermal Fit Temp (F)</t>
  </si>
  <si>
    <t>Material Max Temp</t>
  </si>
  <si>
    <t>Max Temp Check</t>
  </si>
  <si>
    <t>Max Temp (C)</t>
  </si>
  <si>
    <t>Min 525/600/650 OD at Max Temp</t>
  </si>
  <si>
    <t>Min AR1/AR-HT/300 OD at Min Temp</t>
  </si>
  <si>
    <t>Axial Growth</t>
  </si>
  <si>
    <t>mm</t>
    <phoneticPr fontId="13"/>
  </si>
  <si>
    <t>MPa</t>
    <phoneticPr fontId="13"/>
  </si>
  <si>
    <t>mm2</t>
    <phoneticPr fontId="13"/>
  </si>
  <si>
    <t>MPa-mm</t>
    <phoneticPr fontId="13"/>
  </si>
  <si>
    <t>mm/MPa</t>
    <phoneticPr fontId="13"/>
  </si>
  <si>
    <t>-</t>
    <phoneticPr fontId="13"/>
  </si>
  <si>
    <t>PSI</t>
  </si>
  <si>
    <t>in2</t>
  </si>
  <si>
    <t>PSI-in</t>
  </si>
  <si>
    <t>in/PSI</t>
  </si>
  <si>
    <t>Target Value (in)</t>
  </si>
  <si>
    <t>Max (in)</t>
  </si>
  <si>
    <t>Min (in)</t>
  </si>
  <si>
    <t>Target Value (mm)</t>
  </si>
  <si>
    <t>Max (mm)</t>
  </si>
  <si>
    <t>Min (mm)</t>
  </si>
  <si>
    <t>All units in inches</t>
  </si>
  <si>
    <t>All unit in inches</t>
  </si>
  <si>
    <t>All units in mm</t>
  </si>
  <si>
    <t>B</t>
  </si>
  <si>
    <t>Clearance (inches)</t>
  </si>
  <si>
    <t>Clearance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</si>
</sst>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E+00"/>
    <numFmt numFmtId="167" formatCode="0.0000"/>
    <numFmt numFmtId="168" formatCode="[$-409]d/mmm/yy;@"/>
    <numFmt numFmtId="169" formatCode="0.0000000"/>
    <numFmt numFmtId="170" formatCode="0.000000000"/>
    <numFmt numFmtId="171" formatCode="0.000E+00"/>
    <numFmt numFmtId="172" formatCode="0.00000"/>
    <numFmt numFmtId="173" formatCode="0.000000"/>
  </numFmts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48"/>
      <color theme="1"/>
      <name val="Arial"/>
      <family val="2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280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64" fontId="3" fillId="0" borderId="2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7" fontId="3" fillId="0" borderId="1" xfId="0" quotePrefix="1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shrinkToFit="1"/>
    </xf>
    <xf numFmtId="16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 shrinkToFit="1"/>
    </xf>
    <xf numFmtId="165" fontId="4" fillId="0" borderId="1" xfId="0" applyNumberFormat="1" applyFont="1" applyFill="1" applyBorder="1"/>
    <xf numFmtId="164" fontId="4" fillId="0" borderId="1" xfId="0" applyNumberFormat="1" applyFont="1" applyBorder="1"/>
    <xf numFmtId="0" fontId="3" fillId="0" borderId="1" xfId="0" applyFont="1" applyFill="1" applyBorder="1" applyAlignment="1">
      <alignment vertical="center"/>
    </xf>
    <xf numFmtId="167" fontId="3" fillId="0" borderId="1" xfId="0" applyNumberFormat="1" applyFont="1" applyBorder="1" applyAlignment="1">
      <alignment vertical="center"/>
    </xf>
    <xf numFmtId="164" fontId="4" fillId="0" borderId="0" xfId="0" applyNumberFormat="1" applyFont="1" applyBorder="1"/>
    <xf numFmtId="1" fontId="4" fillId="0" borderId="1" xfId="0" applyNumberFormat="1" applyFont="1" applyBorder="1"/>
    <xf numFmtId="164" fontId="3" fillId="0" borderId="8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shrinkToFit="1"/>
    </xf>
    <xf numFmtId="11" fontId="4" fillId="0" borderId="1" xfId="0" applyNumberFormat="1" applyFont="1" applyBorder="1"/>
    <xf numFmtId="0" fontId="3" fillId="2" borderId="0" xfId="0" quotePrefix="1" applyFont="1" applyFill="1" applyAlignment="1">
      <alignment vertical="center"/>
    </xf>
    <xf numFmtId="0" fontId="5" fillId="0" borderId="4" xfId="0" quotePrefix="1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right" vertical="center"/>
    </xf>
    <xf numFmtId="0" fontId="0" fillId="0" borderId="1" xfId="0" quotePrefix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quotePrefix="1" applyNumberFormat="1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8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8" fontId="3" fillId="0" borderId="1" xfId="0" applyNumberFormat="1" applyFont="1" applyBorder="1" applyAlignment="1">
      <alignment horizontal="center" vertical="center"/>
    </xf>
    <xf numFmtId="169" fontId="3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 shrinkToFit="1"/>
    </xf>
    <xf numFmtId="16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1" fillId="5" borderId="1" xfId="2" applyNumberFormat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10" fillId="4" borderId="1" xfId="1" applyBorder="1" applyAlignment="1">
      <alignment horizontal="center" vertical="center"/>
    </xf>
    <xf numFmtId="11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66" fontId="11" fillId="5" borderId="1" xfId="2" applyNumberFormat="1" applyBorder="1" applyAlignment="1">
      <alignment horizontal="center" vertical="center"/>
    </xf>
    <xf numFmtId="167" fontId="11" fillId="5" borderId="1" xfId="2" applyNumberFormat="1" applyBorder="1" applyAlignment="1">
      <alignment vertical="center"/>
    </xf>
    <xf numFmtId="0" fontId="11" fillId="5" borderId="0" xfId="2" applyAlignment="1">
      <alignment vertical="center"/>
    </xf>
    <xf numFmtId="0" fontId="11" fillId="5" borderId="1" xfId="2" applyBorder="1" applyAlignment="1">
      <alignment vertical="center"/>
    </xf>
    <xf numFmtId="167" fontId="11" fillId="5" borderId="1" xfId="2" applyNumberFormat="1" applyBorder="1" applyAlignment="1">
      <alignment horizontal="center" vertical="center"/>
    </xf>
    <xf numFmtId="166" fontId="11" fillId="5" borderId="0" xfId="2" applyNumberForma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10" fillId="4" borderId="1" xfId="1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1" fontId="11" fillId="5" borderId="1" xfId="2" applyNumberFormat="1" applyBorder="1" applyAlignment="1">
      <alignment vertical="center"/>
    </xf>
    <xf numFmtId="164" fontId="10" fillId="4" borderId="1" xfId="1" quotePrefix="1" applyNumberFormat="1" applyBorder="1" applyAlignment="1">
      <alignment horizontal="center" vertical="center"/>
    </xf>
    <xf numFmtId="166" fontId="11" fillId="5" borderId="0" xfId="2" applyNumberFormat="1"/>
    <xf numFmtId="0" fontId="12" fillId="5" borderId="0" xfId="2" applyFont="1"/>
    <xf numFmtId="165" fontId="10" fillId="4" borderId="1" xfId="1" applyNumberFormat="1" applyBorder="1" applyAlignment="1">
      <alignment horizontal="center" vertical="center"/>
    </xf>
    <xf numFmtId="0" fontId="11" fillId="5" borderId="1" xfId="2" applyBorder="1"/>
    <xf numFmtId="0" fontId="3" fillId="0" borderId="1" xfId="0" applyFont="1" applyBorder="1" applyAlignment="1">
      <alignment horizontal="center"/>
    </xf>
    <xf numFmtId="0" fontId="10" fillId="7" borderId="1" xfId="1" applyFill="1" applyBorder="1" applyAlignment="1">
      <alignment horizontal="center" vertical="center"/>
    </xf>
    <xf numFmtId="164" fontId="10" fillId="7" borderId="8" xfId="1" applyNumberFormat="1" applyFill="1" applyBorder="1" applyAlignment="1">
      <alignment horizontal="center" vertical="center"/>
    </xf>
    <xf numFmtId="164" fontId="10" fillId="7" borderId="1" xfId="1" applyNumberFormat="1" applyFill="1" applyBorder="1" applyAlignment="1">
      <alignment horizontal="center" vertical="center"/>
    </xf>
    <xf numFmtId="0" fontId="10" fillId="7" borderId="1" xfId="1" quotePrefix="1" applyFill="1" applyBorder="1" applyAlignment="1">
      <alignment horizontal="center" vertical="center"/>
    </xf>
    <xf numFmtId="0" fontId="11" fillId="8" borderId="1" xfId="2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10" fillId="9" borderId="1" xfId="1" quotePrefix="1" applyNumberFormat="1" applyFill="1" applyBorder="1" applyAlignment="1">
      <alignment horizontal="center" vertical="center"/>
    </xf>
    <xf numFmtId="0" fontId="3" fillId="8" borderId="0" xfId="0" applyFont="1" applyFill="1" applyAlignment="1">
      <alignment vertical="center"/>
    </xf>
    <xf numFmtId="164" fontId="11" fillId="8" borderId="1" xfId="2" applyNumberFormat="1" applyFill="1" applyBorder="1" applyAlignment="1">
      <alignment horizontal="center" vertical="center"/>
    </xf>
    <xf numFmtId="169" fontId="11" fillId="5" borderId="1" xfId="2" applyNumberFormat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11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167" fontId="3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72" fontId="11" fillId="5" borderId="1" xfId="2" applyNumberFormat="1" applyBorder="1" applyAlignment="1">
      <alignment horizontal="center" vertical="center"/>
    </xf>
    <xf numFmtId="172" fontId="3" fillId="8" borderId="1" xfId="0" applyNumberFormat="1" applyFont="1" applyFill="1" applyBorder="1" applyAlignment="1">
      <alignment horizontal="center" vertical="center"/>
    </xf>
    <xf numFmtId="0" fontId="11" fillId="8" borderId="4" xfId="2" applyFill="1" applyBorder="1" applyAlignment="1">
      <alignment vertical="center"/>
    </xf>
    <xf numFmtId="167" fontId="3" fillId="8" borderId="1" xfId="0" applyNumberFormat="1" applyFont="1" applyFill="1" applyBorder="1" applyAlignment="1">
      <alignment vertical="center"/>
    </xf>
    <xf numFmtId="173" fontId="3" fillId="8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7" fontId="3" fillId="0" borderId="1" xfId="0" applyNumberFormat="1" applyFont="1" applyBorder="1"/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5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5" borderId="1" xfId="2" applyBorder="1" applyAlignment="1">
      <alignment horizontal="center" vertical="center"/>
    </xf>
    <xf numFmtId="2" fontId="11" fillId="5" borderId="1" xfId="2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0" borderId="4" xfId="0" quotePrefix="1" applyFont="1" applyBorder="1" applyAlignment="1">
      <alignment vertical="center"/>
    </xf>
    <xf numFmtId="164" fontId="4" fillId="0" borderId="0" xfId="0" applyNumberFormat="1" applyFont="1"/>
    <xf numFmtId="165" fontId="4" fillId="0" borderId="1" xfId="0" applyNumberFormat="1" applyFont="1" applyBorder="1"/>
    <xf numFmtId="0" fontId="3" fillId="0" borderId="0" xfId="0" applyFont="1" applyAlignment="1">
      <alignment horizontal="left" vertical="center"/>
    </xf>
    <xf numFmtId="1" fontId="10" fillId="4" borderId="1" xfId="1" applyNumberForma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11" fillId="5" borderId="0" xfId="2"/>
    <xf numFmtId="0" fontId="3" fillId="2" borderId="1" xfId="0" applyFont="1" applyFill="1" applyBorder="1" applyAlignment="1">
      <alignment vertical="center"/>
    </xf>
    <xf numFmtId="167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5" borderId="1" xfId="2" applyBorder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1" xfId="2" applyBorder="1" applyAlignment="1">
      <alignment horizontal="center"/>
    </xf>
    <xf numFmtId="1" fontId="11" fillId="5" borderId="1" xfId="2" applyNumberFormat="1" applyBorder="1" applyAlignment="1">
      <alignment horizontal="center" vertical="center"/>
    </xf>
    <xf numFmtId="0" fontId="11" fillId="5" borderId="1" xfId="2" applyBorder="1" applyAlignment="1">
      <alignment horizontal="center" vertical="center"/>
    </xf>
    <xf numFmtId="164" fontId="11" fillId="5" borderId="8" xfId="2" applyNumberFormat="1" applyBorder="1" applyAlignment="1">
      <alignment horizontal="center" vertical="center"/>
    </xf>
    <xf numFmtId="2" fontId="11" fillId="5" borderId="8" xfId="2" applyNumberFormat="1" applyBorder="1" applyAlignment="1">
      <alignment horizontal="center" vertical="center"/>
    </xf>
    <xf numFmtId="0" fontId="11" fillId="5" borderId="1" xfId="2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11" fillId="5" borderId="1" xfId="2" quotePrefix="1" applyNumberFormat="1" applyBorder="1" applyAlignment="1">
      <alignment horizontal="center" vertical="center"/>
    </xf>
    <xf numFmtId="0" fontId="11" fillId="5" borderId="0" xfId="2" applyNumberFormat="1" applyAlignment="1">
      <alignment vertical="center"/>
    </xf>
    <xf numFmtId="164" fontId="11" fillId="5" borderId="1" xfId="2" applyNumberForma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8" borderId="2" xfId="2" applyFill="1" applyBorder="1" applyAlignment="1">
      <alignment vertical="center"/>
    </xf>
    <xf numFmtId="167" fontId="3" fillId="0" borderId="2" xfId="0" applyNumberFormat="1" applyFont="1" applyBorder="1" applyAlignment="1">
      <alignment horizontal="center" vertical="center"/>
    </xf>
    <xf numFmtId="167" fontId="11" fillId="5" borderId="2" xfId="2" applyNumberFormat="1" applyBorder="1" applyAlignment="1">
      <alignment horizontal="center" vertical="center"/>
    </xf>
    <xf numFmtId="0" fontId="11" fillId="5" borderId="4" xfId="2" applyBorder="1" applyAlignment="1">
      <alignment vertical="center"/>
    </xf>
    <xf numFmtId="11" fontId="11" fillId="5" borderId="4" xfId="2" applyNumberFormat="1" applyBorder="1" applyAlignment="1">
      <alignment vertical="center"/>
    </xf>
    <xf numFmtId="0" fontId="0" fillId="0" borderId="0" xfId="0" applyAlignment="1">
      <alignment horizontal="center" vertical="center" textRotation="90"/>
    </xf>
    <xf numFmtId="0" fontId="17" fillId="0" borderId="0" xfId="0" applyFont="1" applyAlignment="1">
      <alignment vertical="center"/>
    </xf>
    <xf numFmtId="0" fontId="0" fillId="0" borderId="0" xfId="0" applyBorder="1"/>
    <xf numFmtId="166" fontId="3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166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textRotation="90"/>
    </xf>
    <xf numFmtId="0" fontId="16" fillId="0" borderId="21" xfId="0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5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11" fontId="3" fillId="0" borderId="2" xfId="0" quotePrefix="1" applyNumberFormat="1" applyFont="1" applyBorder="1" applyAlignment="1" applyProtection="1">
      <alignment horizontal="center" vertical="center"/>
      <protection locked="0"/>
    </xf>
    <xf numFmtId="11" fontId="3" fillId="0" borderId="3" xfId="0" quotePrefix="1" applyNumberFormat="1" applyFont="1" applyBorder="1" applyAlignment="1" applyProtection="1">
      <alignment horizontal="center" vertical="center"/>
      <protection locked="0"/>
    </xf>
    <xf numFmtId="11" fontId="3" fillId="0" borderId="4" xfId="0" quotePrefix="1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1" fillId="5" borderId="1" xfId="2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2" xfId="0" quotePrefix="1" applyNumberFormat="1" applyFont="1" applyBorder="1" applyAlignment="1" applyProtection="1">
      <alignment horizontal="center" vertical="center"/>
      <protection locked="0"/>
    </xf>
    <xf numFmtId="164" fontId="3" fillId="0" borderId="3" xfId="0" quotePrefix="1" applyNumberFormat="1" applyFont="1" applyBorder="1" applyAlignment="1" applyProtection="1">
      <alignment horizontal="center" vertical="center"/>
      <protection locked="0"/>
    </xf>
    <xf numFmtId="164" fontId="3" fillId="0" borderId="4" xfId="0" quotePrefix="1" applyNumberFormat="1" applyFont="1" applyBorder="1" applyAlignment="1" applyProtection="1">
      <alignment horizontal="center" vertical="center"/>
      <protection locked="0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3" fillId="0" borderId="3" xfId="0" quotePrefix="1" applyFont="1" applyBorder="1" applyAlignment="1" applyProtection="1">
      <alignment horizontal="center" vertical="center"/>
      <protection locked="0"/>
    </xf>
    <xf numFmtId="0" fontId="3" fillId="0" borderId="4" xfId="0" quotePrefix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 textRotation="90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5" borderId="4" xfId="2" applyBorder="1" applyAlignment="1">
      <alignment horizontal="center" vertical="center"/>
    </xf>
    <xf numFmtId="0" fontId="11" fillId="5" borderId="1" xfId="2" applyBorder="1" applyAlignment="1">
      <alignment horizontal="center" vertical="center"/>
    </xf>
    <xf numFmtId="0" fontId="0" fillId="0" borderId="0" xfId="0"/>
    <xf numFmtId="0" fontId="3" fillId="8" borderId="1" xfId="0" applyFont="1" applyFill="1" applyBorder="1" applyAlignment="1">
      <alignment horizontal="left" vertical="center"/>
    </xf>
  </cellXfs>
  <cellStyles count="3">
    <cellStyle name="Bad" xfId="1" builtinId="27"/>
    <cellStyle name="Neutral" xfId="2" builtinId="28"/>
    <cellStyle name="Normal" xfId="0" builtinId="0"/>
  </cellStyles>
  <dxfs count="34"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478155</xdr:colOff>
      <xdr:row>0</xdr:row>
      <xdr:rowOff>662940</xdr:rowOff>
    </xdr:to>
    <xdr:pic>
      <xdr:nvPicPr>
        <xdr:cNvPr id="2" name="Image 77" descr="template_header_Lt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04266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77</xdr:row>
      <xdr:rowOff>0</xdr:rowOff>
    </xdr:from>
    <xdr:to>
      <xdr:col>29</xdr:col>
      <xdr:colOff>320040</xdr:colOff>
      <xdr:row>85</xdr:row>
      <xdr:rowOff>114300</xdr:rowOff>
    </xdr:to>
    <xdr:pic>
      <xdr:nvPicPr>
        <xdr:cNvPr id="4" name="Picture 3" descr="image026">
          <a:extLst>
            <a:ext uri="{FF2B5EF4-FFF2-40B4-BE49-F238E27FC236}">
              <a16:creationId xmlns:a16="http://schemas.microsoft.com/office/drawing/2014/main" id="{AB90F252-F799-40E2-BEDB-EB671216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14820900"/>
          <a:ext cx="4099560" cy="1577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474345</xdr:colOff>
      <xdr:row>0</xdr:row>
      <xdr:rowOff>666750</xdr:rowOff>
    </xdr:to>
    <xdr:pic>
      <xdr:nvPicPr>
        <xdr:cNvPr id="2" name="Image 77" descr="template_header_Ltr">
          <a:extLst>
            <a:ext uri="{FF2B5EF4-FFF2-40B4-BE49-F238E27FC236}">
              <a16:creationId xmlns:a16="http://schemas.microsoft.com/office/drawing/2014/main" id="{80E80DA9-71A2-461D-8FFE-206FC171E33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05028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77</xdr:row>
      <xdr:rowOff>0</xdr:rowOff>
    </xdr:from>
    <xdr:to>
      <xdr:col>29</xdr:col>
      <xdr:colOff>342900</xdr:colOff>
      <xdr:row>85</xdr:row>
      <xdr:rowOff>114300</xdr:rowOff>
    </xdr:to>
    <xdr:pic>
      <xdr:nvPicPr>
        <xdr:cNvPr id="3" name="Picture 2" descr="image026">
          <a:extLst>
            <a:ext uri="{FF2B5EF4-FFF2-40B4-BE49-F238E27FC236}">
              <a16:creationId xmlns:a16="http://schemas.microsoft.com/office/drawing/2014/main" id="{AB35ABD2-A70A-48CC-866B-6A8D6E28F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4575" y="14601825"/>
          <a:ext cx="41148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400050</xdr:colOff>
      <xdr:row>0</xdr:row>
      <xdr:rowOff>586740</xdr:rowOff>
    </xdr:to>
    <xdr:pic>
      <xdr:nvPicPr>
        <xdr:cNvPr id="2" name="Image 77" descr="template_header_Lt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43600" cy="594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401955</xdr:colOff>
      <xdr:row>0</xdr:row>
      <xdr:rowOff>586740</xdr:rowOff>
    </xdr:to>
    <xdr:pic>
      <xdr:nvPicPr>
        <xdr:cNvPr id="2" name="Image 77" descr="template_header_Ltr">
          <a:extLst>
            <a:ext uri="{FF2B5EF4-FFF2-40B4-BE49-F238E27FC236}">
              <a16:creationId xmlns:a16="http://schemas.microsoft.com/office/drawing/2014/main" id="{57DAB1A0-795F-4C5B-B3A5-E2C7CC01648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6836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lal Yazji" id="{847702ED-5A79-4456-B04F-9BFC272F32BC}" userId="S::jyazji@gtweed.com::e900be05-e3af-4be7-8e7a-b9e9795eb1a0" providerId="AD"/>
  <person displayName="Yang Wang" id="{2618F79E-12D7-44CB-B578-247D76FE3B80}" userId="S::yawang@gtweed.com::dd5db8dd-e8ac-47c6-a739-ddb99b9da38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1" dT="2020-04-13T16:46:12.32" personId="{2618F79E-12D7-44CB-B578-247D76FE3B80}" id="{6808BCA6-D5F7-4890-8534-A3DACB35170E}">
    <text>Expanded VLOOKUP range to include WR600</text>
  </threadedComment>
  <threadedComment ref="J28" dT="2020-04-13T16:46:17.50" personId="{2618F79E-12D7-44CB-B578-247D76FE3B80}" id="{6FD0E638-3E47-44D1-974F-9FE031A7A193}">
    <text>Expanded VLOOKUP range to include WR600</text>
  </threadedComment>
  <threadedComment ref="J30" dT="2020-05-19T19:17:01.43" personId="{2618F79E-12D7-44CB-B578-247D76FE3B80}" id="{48FF6E6C-272C-45ED-9A0E-F0F6EA863955}">
    <text>Use CTE from min temp instead of max temp.</text>
  </threadedComment>
  <threadedComment ref="J34" dT="2020-05-19T19:32:16.53" personId="{2618F79E-12D7-44CB-B578-247D76FE3B80}" id="{910A43C8-2043-4AAF-8EA5-9C52C9DD1F64}">
    <text>Use VLOOKUP to streamline the calculations</text>
  </threadedComment>
  <threadedComment ref="R55" dT="2020-04-13T16:54:47.95" personId="{2618F79E-12D7-44CB-B578-247D76FE3B80}" id="{41003AB7-6CAA-4A62-AC96-EBABA59C8FF7}">
    <text>No lab ID CTE data.</text>
  </threadedComment>
  <threadedComment ref="U55" dT="2020-04-13T16:55:38.59" personId="{2618F79E-12D7-44CB-B578-247D76FE3B80}" id="{D96C37FC-AF12-45B8-A28E-9A0C5D9AFC60}">
    <text>Used same OD calc as WR650.</text>
  </threadedComment>
  <threadedComment ref="W55" dT="2020-03-24T13:41:35.01" personId="{847702ED-5A79-4456-B04F-9BFC272F32BC}" id="{E88CF6EB-EAC9-4BDC-8454-49EC77802A7D}">
    <text>Added "check temperature" condition to the code to align it with the other two columns.</text>
  </threadedComment>
  <threadedComment ref="AI55" dT="2020-03-23T15:11:03.62" personId="{847702ED-5A79-4456-B04F-9BFC272F32BC}" id="{5AC67F20-2313-4E35-850C-9B36A9F26468}">
    <text>Locked down row numbers for cells D13 and D17. Also dragged the formula down the culomn.</text>
  </threadedComment>
  <threadedComment ref="Q79" dT="2020-04-17T12:42:25.52" personId="{2618F79E-12D7-44CB-B578-247D76FE3B80}" id="{6407EE8D-27FE-46E1-AFAE-D9EEC385C999}">
    <text>Changed hardcoded clearance value to referencing clearance values in column V</text>
  </threadedComment>
  <threadedComment ref="S84" dT="2020-04-29T22:56:41.46" personId="{2618F79E-12D7-44CB-B578-247D76FE3B80}" id="{05908F03-68AF-4837-8F6D-0DDD33A5C2E5}">
    <text>Changed max interference from 0.002 to 0.006 in/in per design guideline rev E update.</text>
  </threadedComment>
  <threadedComment ref="O99" dT="2020-04-15T16:43:38.11" personId="{2618F79E-12D7-44CB-B578-247D76FE3B80}" id="{48CF4283-86B6-4AE9-98A9-29F83AAE4750}">
    <text>Will return "NO" if thermal fit temp is too high or material is not recommended for thermal fit (see Table R97).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5" dT="2020-04-13T16:48:26.66" personId="{2618F79E-12D7-44CB-B578-247D76FE3B80}" id="{7258CCC0-701A-4DB0-92C1-2ADFCBBD5F79}">
    <text>Simplified length calculation since material temperature doesn't go high enough.</text>
  </threadedComment>
  <threadedComment ref="W15" dT="2020-04-13T16:48:31.43" personId="{2618F79E-12D7-44CB-B578-247D76FE3B80}" id="{1ED4345E-BC49-42E2-A17F-773A75385E03}">
    <text>Simplified length calculation since material temperature doesn't go high enough.</text>
  </threadedComment>
  <threadedComment ref="J21" dT="2020-04-13T16:47:15.99" personId="{2618F79E-12D7-44CB-B578-247D76FE3B80}" id="{F7BAD3A2-C39C-4521-9E6A-7CBE70E08473}">
    <text>Expanded VLOOKUP range to include WR600</text>
  </threadedComment>
  <threadedComment ref="W25" dT="2020-04-13T16:48:36.28" personId="{2618F79E-12D7-44CB-B578-247D76FE3B80}" id="{AC06ED62-5678-4CFE-9803-9E111F84DCCD}">
    <text>Simplified length calculation since material temperature doesn't go high enough.</text>
  </threadedComment>
  <threadedComment ref="J28" dT="2020-04-13T16:47:22.79" personId="{2618F79E-12D7-44CB-B578-247D76FE3B80}" id="{5014BDEA-7D5B-4FD6-8C70-A93467530A4D}">
    <text>Expanded VLOOKUP range to include WR600</text>
  </threadedComment>
  <threadedComment ref="J31" dT="2020-05-19T19:16:29.98" personId="{2618F79E-12D7-44CB-B578-247D76FE3B80}" id="{6E346A64-300B-4BAC-BA99-95BADE6DEE59}">
    <text>Use CTE from min temp instead of max temp.</text>
  </threadedComment>
  <threadedComment ref="J34" dT="2020-05-19T19:32:24.83" personId="{2618F79E-12D7-44CB-B578-247D76FE3B80}" id="{C0AE594F-0346-4203-9EC4-28267CA7A258}">
    <text>Use VLOOKUP to streamline the calculations</text>
  </threadedComment>
  <threadedComment ref="W55" dT="2020-03-24T13:41:35.01" personId="{847702ED-5A79-4456-B04F-9BFC272F32BC}" id="{EBCE041E-3295-453D-86BF-A2B841B6FB76}">
    <text>Added "check temperature" condition to the code to align it with the other two columns.</text>
  </threadedComment>
  <threadedComment ref="AI55" dT="2020-03-23T15:11:03.62" personId="{847702ED-5A79-4456-B04F-9BFC272F32BC}" id="{71B0ACAD-F92D-4F58-9906-E45736992E4E}">
    <text>Locked down row numbers for cells D13 and D17. Also dragged the formula down the culomn.</text>
  </threadedComment>
  <threadedComment ref="Q79" dT="2020-04-17T12:43:53.69" personId="{2618F79E-12D7-44CB-B578-247D76FE3B80}" id="{94B8FEA0-FF0D-4690-B718-774346DCAFCC}">
    <text>Changed hardcoded clearance value to referencing clearance values in column V</text>
  </threadedComment>
  <threadedComment ref="O99" dT="2020-04-15T16:43:38.11" personId="{2618F79E-12D7-44CB-B578-247D76FE3B80}" id="{44CF20DF-B662-4A2F-B87A-BC7C817016F1}">
    <text>Will return "NO" if thermal fit temp is too high or material is not recommended for thermal fit (see Table R97).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8" dT="2020-03-24T14:15:36.77" personId="{847702ED-5A79-4456-B04F-9BFC272F32BC}" id="{00C9439E-B3FA-44C5-93F4-67000B4293F4}">
    <text>streamlined with vlookup as well.</text>
  </threadedComment>
  <threadedComment ref="J31" dT="2020-05-19T19:18:29.59" personId="{2618F79E-12D7-44CB-B578-247D76FE3B80}" id="{A25A7FBA-3075-45E3-977C-B206A3F4B5F5}">
    <text>Use CTE from min temp instead of max temp.</text>
  </threadedComment>
  <threadedComment ref="G33" dT="2020-03-24T13:46:29.99" personId="{847702ED-5A79-4456-B04F-9BFC272F32BC}" id="{CAE44401-F451-41BE-A44F-E1596D09D4D9}">
    <text>These are also no longer needed as with the press in calcs.</text>
  </threadedComment>
  <threadedComment ref="J34" dT="2020-05-19T19:46:48.33" personId="{2618F79E-12D7-44CB-B578-247D76FE3B80}" id="{80EB0CD0-BC17-4BAD-A91C-FB6745A55E9A}">
    <text>Use VLOOKUP to streamline calculation</text>
  </threadedComment>
  <threadedComment ref="W55" dT="2020-03-24T13:48:24.23" personId="{847702ED-5A79-4456-B04F-9BFC272F32BC}" id="{869D8951-83D7-4BAA-A01A-C3337E874480}">
    <text>1. Changed max temp at which you start accounting for axial growth from 300 to 150, per press-in calculator.
2. OAL was referecing cells that are no longer needed. Changed reference to the columns on the right. Now both press-in and floating agree on the same OAL.</text>
  </threadedComment>
  <threadedComment ref="AI55" dT="2020-03-24T14:29:09.96" personId="{847702ED-5A79-4456-B04F-9BFC272F32BC}" id="{CA1A1C0A-AFEA-413C-961D-458AF3A7A2E2}">
    <text>Changed calculation so that for a certain temperature range, the CTE of the lower end is referenced to make it consistent with the press-in.</text>
  </threadedComment>
  <threadedComment ref="AE62" dT="2020-03-23T20:20:30.32" personId="{847702ED-5A79-4456-B04F-9BFC272F32BC}" id="{5D901F31-83A1-45C4-B518-FA0702A42DD1}">
    <text>(Not too important because last cell is always 0.) Dragged growth selection down to select 500 row. It had been left out previously.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5" dT="2020-04-09T19:56:46.49" personId="{2618F79E-12D7-44CB-B578-247D76FE3B80}" id="{07C13FAB-AF91-4DF6-B7A0-296AEF8FEED4}">
    <text>Wrong temp unit.</text>
  </threadedComment>
  <threadedComment ref="M15" dT="2020-04-09T19:56:54.08" personId="{2618F79E-12D7-44CB-B578-247D76FE3B80}" id="{4ABBA1A8-BC56-49E4-BF56-BBB81A30AE20}">
    <text>Wrong temp unit.</text>
  </threadedComment>
  <threadedComment ref="M25" dT="2020-04-09T19:56:58.30" personId="{2618F79E-12D7-44CB-B578-247D76FE3B80}" id="{9979D409-05BE-44E5-938A-F35AFA041D7A}">
    <text>Wrong temp unit.</text>
  </threadedComment>
  <threadedComment ref="M35" dT="2020-04-09T19:57:04.83" personId="{2618F79E-12D7-44CB-B578-247D76FE3B80}" id="{359F3DB3-CD4D-4BC0-B931-628871274892}">
    <text>Wrong temp unit.</text>
  </threadedComment>
  <threadedComment ref="M45" dT="2020-04-09T19:57:22.67" personId="{2618F79E-12D7-44CB-B578-247D76FE3B80}" id="{C2EE3DE5-9884-4A26-BC4D-93D8F7CCD0E1}">
    <text>Wrong temp unit.</text>
  </threadedComment>
  <threadedComment ref="W55" dT="2020-03-24T13:48:24.23" personId="{847702ED-5A79-4456-B04F-9BFC272F32BC}" id="{98634599-F8AB-49AB-AA35-B45622B04A98}">
    <text>1. Changed max temp at which you start accounting for axial growth from 300 to 150, per press-in calculator.
2. OAL was referecing cells that are no longer needed. Changed reference to the columns on the right. Now both press-in and floating agree on the same OAL.</text>
  </threadedComment>
  <threadedComment ref="AI55" dT="2020-03-24T14:29:09.96" personId="{847702ED-5A79-4456-B04F-9BFC272F32BC}" id="{22D3BE14-78F0-468E-B580-87B3CF903084}">
    <text>Changed calculation so that for a certain temperature range, the CTE of the lower end is referenced to make it consistent with the press-in.</text>
  </threadedComment>
  <threadedComment ref="P85" dT="2020-04-09T21:17:46.38" personId="{2618F79E-12D7-44CB-B578-247D76FE3B80}" id="{B8C0DB24-77CC-4347-BB42-60B6E8AB0CCD}">
    <text>Fixed a formula reference error that resulted in the wrong clearance value</text>
  </threadedComment>
  <threadedComment ref="T85" dT="2020-04-13T16:38:52.86" personId="{2618F79E-12D7-44CB-B578-247D76FE3B80}" id="{698295FD-120E-460F-9CB7-44AB467D2D36}">
    <text>Fixed wrong cell reference.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"/>
  <sheetViews>
    <sheetView tabSelected="1" topLeftCell="A20" zoomScaleNormal="100" workbookViewId="0">
      <selection activeCell="C7" sqref="C7:E7"/>
    </sheetView>
  </sheetViews>
  <sheetFormatPr defaultColWidth="8.88671875" defaultRowHeight="14.4" x14ac:dyDescent="0.3"/>
  <cols>
    <col min="1" max="1" width="54.6640625" style="1" customWidth="1"/>
    <col min="2" max="2" width="5.6640625" style="1" customWidth="1"/>
    <col min="3" max="3" width="7.44140625" style="17" customWidth="1"/>
    <col min="4" max="4" width="13.33203125" style="11" customWidth="1"/>
    <col min="5" max="5" width="7.44140625" style="1" customWidth="1"/>
    <col min="6" max="6" width="8.88671875" style="1" customWidth="1"/>
    <col min="7" max="7" width="36.33203125" style="34" customWidth="1"/>
    <col min="8" max="8" width="11.44140625" style="34" customWidth="1"/>
    <col min="9" max="11" width="10.6640625" style="34" customWidth="1"/>
    <col min="12" max="12" width="8.88671875" style="1" customWidth="1"/>
    <col min="13" max="13" width="9.109375" style="1" customWidth="1"/>
    <col min="14" max="14" width="11" style="1" customWidth="1"/>
    <col min="15" max="15" width="10" style="11" customWidth="1"/>
    <col min="16" max="16" width="20.88671875" style="11" customWidth="1"/>
    <col min="17" max="17" width="17.6640625" style="11" customWidth="1"/>
    <col min="18" max="20" width="9.6640625" style="11" customWidth="1"/>
    <col min="21" max="25" width="9.6640625" style="1" customWidth="1"/>
    <col min="26" max="26" width="8.88671875" style="1" customWidth="1"/>
    <col min="27" max="27" width="9.109375" style="1" customWidth="1"/>
    <col min="28" max="32" width="8.88671875" style="1" customWidth="1"/>
    <col min="33" max="33" width="13.6640625" style="1" customWidth="1"/>
    <col min="34" max="34" width="8.88671875" style="1" customWidth="1"/>
    <col min="35" max="35" width="9.5546875" style="1" bestFit="1" customWidth="1"/>
    <col min="36" max="36" width="9.88671875" style="1" bestFit="1" customWidth="1"/>
    <col min="37" max="16384" width="8.88671875" style="16"/>
  </cols>
  <sheetData>
    <row r="1" spans="1:36" ht="60" customHeight="1" thickBot="1" x14ac:dyDescent="0.35">
      <c r="A1" s="235"/>
      <c r="B1" s="235"/>
      <c r="C1" s="235"/>
      <c r="D1" s="235"/>
      <c r="E1" s="235"/>
    </row>
    <row r="2" spans="1:36" ht="21" x14ac:dyDescent="0.3">
      <c r="A2" s="255" t="s">
        <v>172</v>
      </c>
      <c r="B2" s="255"/>
      <c r="C2" s="255"/>
      <c r="D2" s="255"/>
      <c r="E2" s="255"/>
      <c r="F2" s="26"/>
      <c r="G2" s="26"/>
      <c r="H2" s="26"/>
      <c r="I2" s="26"/>
      <c r="J2" s="26"/>
      <c r="K2" s="26"/>
      <c r="L2" s="26"/>
      <c r="M2" s="27"/>
      <c r="N2" s="27"/>
      <c r="O2" s="26"/>
      <c r="P2" s="26"/>
      <c r="Q2" s="26"/>
      <c r="R2" s="26"/>
      <c r="S2" s="26"/>
      <c r="T2" s="26"/>
      <c r="U2" s="27"/>
      <c r="V2" s="27"/>
      <c r="W2" s="27"/>
      <c r="X2" s="27"/>
      <c r="Y2" s="27"/>
      <c r="Z2" s="27"/>
      <c r="AC2" s="113" t="s">
        <v>202</v>
      </c>
      <c r="AE2" s="113" t="s">
        <v>203</v>
      </c>
      <c r="AG2" s="113" t="s">
        <v>219</v>
      </c>
      <c r="AJ2" s="211" t="s">
        <v>237</v>
      </c>
    </row>
    <row r="3" spans="1:36" ht="14.4" customHeight="1" x14ac:dyDescent="0.3">
      <c r="A3" s="71"/>
      <c r="B3" s="250" t="s">
        <v>171</v>
      </c>
      <c r="C3" s="250"/>
      <c r="D3" s="250"/>
      <c r="E3" s="71"/>
      <c r="F3" s="27"/>
      <c r="G3" s="238" t="s">
        <v>86</v>
      </c>
      <c r="H3" s="238"/>
      <c r="I3" s="238"/>
      <c r="J3" s="238"/>
      <c r="K3" s="238"/>
      <c r="L3" s="27"/>
      <c r="M3" s="235" t="s">
        <v>114</v>
      </c>
      <c r="N3" s="256"/>
      <c r="O3" s="5" t="s">
        <v>78</v>
      </c>
      <c r="P3" s="208" t="s">
        <v>190</v>
      </c>
      <c r="Q3" s="210"/>
      <c r="R3" s="208" t="s">
        <v>191</v>
      </c>
      <c r="S3" s="209"/>
      <c r="T3" s="210"/>
      <c r="U3" s="208" t="s">
        <v>236</v>
      </c>
      <c r="V3" s="209"/>
      <c r="W3" s="209"/>
      <c r="X3" s="209"/>
      <c r="Y3" s="210"/>
      <c r="Z3" s="27"/>
      <c r="AC3" s="116" t="e">
        <f>J5*D13*R5</f>
        <v>#VALUE!</v>
      </c>
      <c r="AE3" s="116" t="e">
        <f>J5*D17*S5</f>
        <v>#VALUE!</v>
      </c>
      <c r="AG3" s="193" t="e">
        <f>D20*J5*J33</f>
        <v>#VALUE!</v>
      </c>
      <c r="AJ3" s="212"/>
    </row>
    <row r="4" spans="1:36" ht="14.4" customHeight="1" x14ac:dyDescent="0.3">
      <c r="A4" s="257" t="s">
        <v>170</v>
      </c>
      <c r="B4" s="258"/>
      <c r="C4" s="258"/>
      <c r="D4" s="258"/>
      <c r="E4" s="259"/>
      <c r="F4" s="27"/>
      <c r="G4" s="228" t="s">
        <v>29</v>
      </c>
      <c r="H4" s="228"/>
      <c r="I4" s="28" t="s">
        <v>35</v>
      </c>
      <c r="J4" s="60" t="str">
        <f>IF(D21="","",D21-75)</f>
        <v/>
      </c>
      <c r="K4" s="5" t="s">
        <v>26</v>
      </c>
      <c r="L4" s="27"/>
      <c r="M4" s="11" t="s">
        <v>60</v>
      </c>
      <c r="N4" s="11" t="s">
        <v>59</v>
      </c>
      <c r="O4" s="36" t="s">
        <v>17</v>
      </c>
      <c r="P4" s="36" t="s">
        <v>81</v>
      </c>
      <c r="Q4" s="36" t="s">
        <v>82</v>
      </c>
      <c r="R4" s="87" t="s">
        <v>80</v>
      </c>
      <c r="S4" s="87" t="s">
        <v>83</v>
      </c>
      <c r="T4" s="87" t="s">
        <v>84</v>
      </c>
      <c r="U4" s="37" t="s">
        <v>111</v>
      </c>
      <c r="V4" s="37" t="s">
        <v>112</v>
      </c>
      <c r="W4" s="37" t="s">
        <v>113</v>
      </c>
      <c r="X4" s="13" t="s">
        <v>132</v>
      </c>
      <c r="Y4" s="13" t="s">
        <v>133</v>
      </c>
      <c r="Z4" s="27"/>
      <c r="AB4" s="86"/>
      <c r="AC4" s="86"/>
      <c r="AD4" s="86"/>
      <c r="AJ4" s="212"/>
    </row>
    <row r="5" spans="1:36" ht="14.4" customHeight="1" x14ac:dyDescent="0.3">
      <c r="A5" s="218" t="s">
        <v>101</v>
      </c>
      <c r="B5" s="220"/>
      <c r="C5" s="251"/>
      <c r="D5" s="251"/>
      <c r="E5" s="251"/>
      <c r="F5" s="27"/>
      <c r="G5" s="228" t="s">
        <v>30</v>
      </c>
      <c r="H5" s="228"/>
      <c r="I5" s="28" t="s">
        <v>36</v>
      </c>
      <c r="J5" s="60" t="str">
        <f>IF(D22="","",D22-75)</f>
        <v/>
      </c>
      <c r="K5" s="5" t="s">
        <v>26</v>
      </c>
      <c r="L5" s="27"/>
      <c r="M5" s="1" t="str">
        <f>IF(C$7=$O$3,IF(D$22=75,C$7,""),"")</f>
        <v/>
      </c>
      <c r="N5" s="1" t="str">
        <f>IF(C$7=$O$3,C$7,"")</f>
        <v/>
      </c>
      <c r="O5" s="13">
        <v>75</v>
      </c>
      <c r="P5" s="4">
        <v>157000</v>
      </c>
      <c r="Q5" s="4">
        <v>2700</v>
      </c>
      <c r="R5" s="18">
        <v>6.7000000000000002E-5</v>
      </c>
      <c r="S5" s="18">
        <v>6.7000000000000002E-5</v>
      </c>
      <c r="T5" s="18">
        <v>6.7000000000000002E-5</v>
      </c>
      <c r="U5" s="24" t="str">
        <f t="shared" ref="U5:U6" si="0">IF(M5=O$3,IF(D$22&gt;120,"Check Temperature",J$30-J$31),"")</f>
        <v/>
      </c>
      <c r="V5" s="24" t="str">
        <f t="shared" ref="V5:V6" si="1">IF(M5=O$3,IF(D$22&gt;120,"Check Temp Range",D$13+J$37+J$9+J$28-J$21-J$15),"")</f>
        <v/>
      </c>
      <c r="W5" s="102" t="str">
        <f>IF(M5=O$3,IF(D$22&gt;120,"Check Temp Range",D$20),"")</f>
        <v/>
      </c>
      <c r="X5" s="20" t="str">
        <f>IF(U5="","",IF(U5&lt;3,0.003,IF(U5&lt;6,0.004,IF(U5&lt;12,0.005,"Check"))))</f>
        <v/>
      </c>
      <c r="Y5" s="20" t="str">
        <f>IF(V5="","",IF(V5&lt;3,0.003,IF(V5&lt;6,0.004,IF(V5&lt;12,0.005,"Check"))))</f>
        <v/>
      </c>
      <c r="Z5" s="27"/>
      <c r="AJ5" s="212"/>
    </row>
    <row r="6" spans="1:36" ht="14.4" customHeight="1" x14ac:dyDescent="0.3">
      <c r="A6" s="228" t="s">
        <v>102</v>
      </c>
      <c r="B6" s="228"/>
      <c r="C6" s="252"/>
      <c r="D6" s="253"/>
      <c r="E6" s="254"/>
      <c r="F6" s="27"/>
      <c r="G6" s="238" t="s">
        <v>123</v>
      </c>
      <c r="H6" s="238"/>
      <c r="I6" s="238"/>
      <c r="J6" s="238"/>
      <c r="K6" s="238"/>
      <c r="L6" s="27"/>
      <c r="M6" s="1" t="str">
        <f t="shared" ref="M6:M11" si="2">IF(C$7=$O$3,IF($O5&lt;D$22,IF(D$22&lt;=$O6,C$7,""),""),"")</f>
        <v/>
      </c>
      <c r="O6" s="99">
        <v>200</v>
      </c>
      <c r="P6" s="4">
        <v>127297.29729729731</v>
      </c>
      <c r="Q6" s="4">
        <v>2189.1891891891892</v>
      </c>
      <c r="R6" s="18">
        <v>6.7000000000000002E-5</v>
      </c>
      <c r="S6" s="18">
        <v>6.7000000000000002E-5</v>
      </c>
      <c r="T6" s="18">
        <v>6.7000000000000002E-5</v>
      </c>
      <c r="U6" s="24" t="str">
        <f t="shared" si="0"/>
        <v/>
      </c>
      <c r="V6" s="24" t="str">
        <f t="shared" si="1"/>
        <v/>
      </c>
      <c r="W6" s="102" t="str">
        <f t="shared" ref="W6:W10" si="3">IF(M6=O$3,IF(D$22&gt;120,"Check Temp Range",D$20),"")</f>
        <v/>
      </c>
      <c r="X6" s="20" t="str">
        <f t="shared" ref="X6" si="4">IF(U6="","",IF(U6&lt;3,0.003,IF(U6&lt;6,0.004,IF(U6&lt;12,0.005,"Check"))))</f>
        <v/>
      </c>
      <c r="Y6" s="20" t="str">
        <f t="shared" ref="Y6" si="5">IF(V6="","",IF(V6&lt;3,0.003,IF(V6&lt;6,0.004,IF(V6&lt;12,0.005,"Check"))))</f>
        <v/>
      </c>
      <c r="Z6" s="27"/>
      <c r="AJ6" s="212"/>
    </row>
    <row r="7" spans="1:36" ht="14.4" customHeight="1" x14ac:dyDescent="0.3">
      <c r="A7" s="228" t="s">
        <v>52</v>
      </c>
      <c r="B7" s="228"/>
      <c r="C7" s="247"/>
      <c r="D7" s="248"/>
      <c r="E7" s="249"/>
      <c r="F7" s="27"/>
      <c r="G7" s="228" t="s">
        <v>74</v>
      </c>
      <c r="H7" s="228"/>
      <c r="I7" s="29" t="s">
        <v>32</v>
      </c>
      <c r="J7" s="105" t="str">
        <f>IF(C$14="","",VLOOKUP(C$14,O$67:R$76,4,FALSE))</f>
        <v/>
      </c>
      <c r="K7" s="5" t="s">
        <v>87</v>
      </c>
      <c r="L7" s="27"/>
      <c r="M7" s="1" t="str">
        <f t="shared" si="2"/>
        <v/>
      </c>
      <c r="O7" s="13">
        <v>250</v>
      </c>
      <c r="P7" s="4">
        <v>101837.83783783784</v>
      </c>
      <c r="Q7" s="4">
        <v>1751.3513513513515</v>
      </c>
      <c r="R7" s="18">
        <v>6.7000000000000002E-5</v>
      </c>
      <c r="S7" s="18">
        <v>6.7000000000000002E-5</v>
      </c>
      <c r="T7" s="18">
        <v>6.7000000000000002E-5</v>
      </c>
      <c r="U7" s="24" t="str">
        <f t="shared" ref="U7:U10" si="6">IF(M7=O$3,IF(D$22&gt;120,"Check Temperature",J$30-J$31),"")</f>
        <v/>
      </c>
      <c r="V7" s="24" t="str">
        <f t="shared" ref="V7:V10" si="7">IF(M7=O$3,IF(D$22&gt;120,"Check Temp Range",D$13+J$37+J$9+J$28-J$21-J$15),"")</f>
        <v/>
      </c>
      <c r="W7" s="102" t="str">
        <f t="shared" si="3"/>
        <v/>
      </c>
      <c r="X7" s="20" t="str">
        <f t="shared" ref="X7:X10" si="8">IF(U7="","",IF(U7&lt;3,0.003,IF(U7&lt;6,0.004,IF(U7&lt;12,0.005,"Check"))))</f>
        <v/>
      </c>
      <c r="Y7" s="20" t="str">
        <f t="shared" ref="Y7:Y10" si="9">IF(V7="","",IF(V7&lt;3,0.003,IF(V7&lt;6,0.004,IF(V7&lt;12,0.005,"Check"))))</f>
        <v/>
      </c>
      <c r="Z7" s="27"/>
      <c r="AA7" s="89"/>
      <c r="AJ7" s="212"/>
    </row>
    <row r="8" spans="1:36" ht="14.4" customHeight="1" x14ac:dyDescent="0.3">
      <c r="A8" s="218" t="s">
        <v>143</v>
      </c>
      <c r="B8" s="220"/>
      <c r="C8" s="247"/>
      <c r="D8" s="248"/>
      <c r="E8" s="249"/>
      <c r="F8" s="27"/>
      <c r="G8" s="228" t="s">
        <v>56</v>
      </c>
      <c r="H8" s="228"/>
      <c r="I8" s="12" t="s">
        <v>65</v>
      </c>
      <c r="J8" s="106" t="str">
        <f>IF(D22="","",J9+D13)</f>
        <v/>
      </c>
      <c r="K8" s="5" t="s">
        <v>23</v>
      </c>
      <c r="L8" s="67"/>
      <c r="M8" s="1" t="str">
        <f t="shared" si="2"/>
        <v/>
      </c>
      <c r="O8" s="13">
        <v>300</v>
      </c>
      <c r="P8" s="4">
        <v>91229.729729729719</v>
      </c>
      <c r="Q8" s="4">
        <v>1568.9189189189187</v>
      </c>
      <c r="R8" s="18">
        <v>6.7000000000000002E-5</v>
      </c>
      <c r="S8" s="18">
        <v>6.7000000000000002E-5</v>
      </c>
      <c r="T8" s="18">
        <v>6.7000000000000002E-5</v>
      </c>
      <c r="U8" s="24" t="str">
        <f t="shared" si="6"/>
        <v/>
      </c>
      <c r="V8" s="24" t="str">
        <f t="shared" si="7"/>
        <v/>
      </c>
      <c r="W8" s="102" t="str">
        <f t="shared" si="3"/>
        <v/>
      </c>
      <c r="X8" s="20" t="str">
        <f t="shared" si="8"/>
        <v/>
      </c>
      <c r="Y8" s="20" t="str">
        <f t="shared" si="9"/>
        <v/>
      </c>
      <c r="Z8" s="27"/>
      <c r="AJ8" s="212"/>
    </row>
    <row r="9" spans="1:36" ht="14.4" customHeight="1" x14ac:dyDescent="0.3">
      <c r="A9" s="221" t="str">
        <f>IF(C8="","",IF(C8=R78,"Custom Interference",CONCATENATE("Standard Interference = ",FIXED(J36,3))))</f>
        <v/>
      </c>
      <c r="B9" s="223"/>
      <c r="C9" s="244"/>
      <c r="D9" s="245"/>
      <c r="E9" s="246"/>
      <c r="F9" s="27"/>
      <c r="G9" s="228" t="s">
        <v>69</v>
      </c>
      <c r="H9" s="228"/>
      <c r="I9" s="12" t="s">
        <v>37</v>
      </c>
      <c r="J9" s="106" t="str">
        <f>IF(D22="","",D13*J5*J7)</f>
        <v/>
      </c>
      <c r="K9" s="5" t="s">
        <v>23</v>
      </c>
      <c r="L9" s="67"/>
      <c r="M9" s="1" t="str">
        <f t="shared" si="2"/>
        <v/>
      </c>
      <c r="O9" s="13">
        <v>350</v>
      </c>
      <c r="P9" s="4">
        <v>89108.108108108107</v>
      </c>
      <c r="Q9" s="4">
        <v>1532.4324324324323</v>
      </c>
      <c r="R9" s="18">
        <v>1E-4</v>
      </c>
      <c r="S9" s="18">
        <v>1E-4</v>
      </c>
      <c r="T9" s="18">
        <v>1E-4</v>
      </c>
      <c r="U9" s="24" t="str">
        <f t="shared" si="6"/>
        <v/>
      </c>
      <c r="V9" s="24" t="str">
        <f t="shared" si="7"/>
        <v/>
      </c>
      <c r="W9" s="102" t="str">
        <f t="shared" si="3"/>
        <v/>
      </c>
      <c r="X9" s="20" t="str">
        <f t="shared" si="8"/>
        <v/>
      </c>
      <c r="Y9" s="20" t="str">
        <f t="shared" si="9"/>
        <v/>
      </c>
      <c r="Z9" s="27"/>
      <c r="AJ9" s="212"/>
    </row>
    <row r="10" spans="1:36" ht="14.4" customHeight="1" x14ac:dyDescent="0.3">
      <c r="A10" s="218" t="s">
        <v>163</v>
      </c>
      <c r="B10" s="220"/>
      <c r="C10" s="247"/>
      <c r="D10" s="248"/>
      <c r="E10" s="249"/>
      <c r="F10" s="27"/>
      <c r="G10" s="228" t="s">
        <v>53</v>
      </c>
      <c r="H10" s="228"/>
      <c r="I10" s="12" t="s">
        <v>61</v>
      </c>
      <c r="J10" s="106" t="str">
        <f>IF(D21="","",D13+J11)</f>
        <v/>
      </c>
      <c r="K10" s="5" t="s">
        <v>23</v>
      </c>
      <c r="L10" s="67"/>
      <c r="M10" s="1" t="str">
        <f t="shared" si="2"/>
        <v/>
      </c>
      <c r="O10" s="13">
        <v>400</v>
      </c>
      <c r="P10" s="4">
        <v>80621.621621621613</v>
      </c>
      <c r="Q10" s="4">
        <v>1386.4864864864865</v>
      </c>
      <c r="R10" s="18">
        <v>1E-4</v>
      </c>
      <c r="S10" s="18">
        <v>1E-4</v>
      </c>
      <c r="T10" s="18">
        <v>1E-4</v>
      </c>
      <c r="U10" s="24" t="str">
        <f t="shared" si="6"/>
        <v/>
      </c>
      <c r="V10" s="24" t="str">
        <f t="shared" si="7"/>
        <v/>
      </c>
      <c r="W10" s="102" t="str">
        <f t="shared" si="3"/>
        <v/>
      </c>
      <c r="X10" s="20" t="str">
        <f t="shared" si="8"/>
        <v/>
      </c>
      <c r="Y10" s="20" t="str">
        <f t="shared" si="9"/>
        <v/>
      </c>
      <c r="Z10" s="27"/>
      <c r="AJ10" s="212"/>
    </row>
    <row r="11" spans="1:36" ht="14.4" customHeight="1" x14ac:dyDescent="0.3">
      <c r="A11" s="221" t="str">
        <f>IF(C10="","",IF(C10=T87,"Custom Clearance",CONCATENATE("Standard Clearance = ",FIXED(J37,3))))</f>
        <v/>
      </c>
      <c r="B11" s="223"/>
      <c r="C11" s="244"/>
      <c r="D11" s="245"/>
      <c r="E11" s="246"/>
      <c r="F11" s="49"/>
      <c r="G11" s="228" t="s">
        <v>70</v>
      </c>
      <c r="H11" s="228"/>
      <c r="I11" s="12" t="s">
        <v>38</v>
      </c>
      <c r="J11" s="106" t="str">
        <f>IF(D21="","",D13*J4*J7)</f>
        <v/>
      </c>
      <c r="K11" s="5" t="s">
        <v>23</v>
      </c>
      <c r="L11" s="67"/>
      <c r="M11" s="1" t="str">
        <f t="shared" si="2"/>
        <v/>
      </c>
      <c r="O11" s="13">
        <v>500</v>
      </c>
      <c r="P11" s="13" t="s">
        <v>85</v>
      </c>
      <c r="Q11" s="13" t="s">
        <v>85</v>
      </c>
      <c r="R11" s="85" t="s">
        <v>85</v>
      </c>
      <c r="S11" s="85" t="s">
        <v>85</v>
      </c>
      <c r="T11" s="85" t="s">
        <v>85</v>
      </c>
      <c r="U11" s="95" t="s">
        <v>85</v>
      </c>
      <c r="V11" s="95" t="s">
        <v>85</v>
      </c>
      <c r="W11" s="95" t="s">
        <v>85</v>
      </c>
      <c r="X11" s="95" t="s">
        <v>85</v>
      </c>
      <c r="Y11" s="95" t="s">
        <v>85</v>
      </c>
      <c r="Z11" s="27"/>
      <c r="AJ11" s="212"/>
    </row>
    <row r="12" spans="1:36" ht="14.4" customHeight="1" x14ac:dyDescent="0.3">
      <c r="A12" s="228" t="s">
        <v>25</v>
      </c>
      <c r="B12" s="5" t="s">
        <v>21</v>
      </c>
      <c r="C12" s="33" t="s">
        <v>130</v>
      </c>
      <c r="D12" s="68"/>
      <c r="E12" s="13" t="s">
        <v>23</v>
      </c>
      <c r="F12" s="27"/>
      <c r="G12" s="238" t="s">
        <v>124</v>
      </c>
      <c r="H12" s="238"/>
      <c r="I12" s="238"/>
      <c r="J12" s="238"/>
      <c r="K12" s="238"/>
      <c r="L12" s="27"/>
      <c r="Z12" s="27"/>
      <c r="AC12" s="113" t="s">
        <v>202</v>
      </c>
      <c r="AE12" s="113" t="s">
        <v>203</v>
      </c>
      <c r="AG12" s="113" t="s">
        <v>219</v>
      </c>
      <c r="AJ12" s="212"/>
    </row>
    <row r="13" spans="1:36" ht="14.4" customHeight="1" x14ac:dyDescent="0.3">
      <c r="A13" s="228"/>
      <c r="B13" s="5" t="s">
        <v>22</v>
      </c>
      <c r="C13" s="12" t="s">
        <v>31</v>
      </c>
      <c r="D13" s="68"/>
      <c r="E13" s="13" t="s">
        <v>23</v>
      </c>
      <c r="F13" s="27"/>
      <c r="G13" s="228" t="s">
        <v>75</v>
      </c>
      <c r="H13" s="228"/>
      <c r="I13" s="29" t="s">
        <v>34</v>
      </c>
      <c r="J13" s="105" t="str">
        <f>IF(C$18="","",VLOOKUP(C$18,O$67:S$76,5,FALSE))</f>
        <v/>
      </c>
      <c r="K13" s="5" t="s">
        <v>87</v>
      </c>
      <c r="L13" s="27"/>
      <c r="O13" s="5" t="s">
        <v>1</v>
      </c>
      <c r="P13" s="208" t="s">
        <v>190</v>
      </c>
      <c r="Q13" s="210"/>
      <c r="R13" s="208" t="s">
        <v>191</v>
      </c>
      <c r="S13" s="209"/>
      <c r="T13" s="210"/>
      <c r="U13" s="208" t="s">
        <v>236</v>
      </c>
      <c r="V13" s="209"/>
      <c r="W13" s="209"/>
      <c r="X13" s="209"/>
      <c r="Y13" s="210"/>
      <c r="Z13" s="27"/>
      <c r="AC13" s="116" t="e">
        <f>J5*D13*R15</f>
        <v>#VALUE!</v>
      </c>
      <c r="AE13" s="116" t="e">
        <f>J5*D17*S15</f>
        <v>#VALUE!</v>
      </c>
      <c r="AG13" s="193" t="e">
        <f>D20*J5*J33</f>
        <v>#VALUE!</v>
      </c>
      <c r="AJ13" s="212"/>
    </row>
    <row r="14" spans="1:36" ht="14.4" customHeight="1" x14ac:dyDescent="0.3">
      <c r="A14" s="228" t="s">
        <v>27</v>
      </c>
      <c r="B14" s="228"/>
      <c r="C14" s="229"/>
      <c r="D14" s="230"/>
      <c r="E14" s="231"/>
      <c r="F14" s="27"/>
      <c r="G14" s="228" t="s">
        <v>57</v>
      </c>
      <c r="H14" s="228"/>
      <c r="I14" s="12" t="s">
        <v>66</v>
      </c>
      <c r="J14" s="106" t="str">
        <f>IF(D22="","",J15+D17)</f>
        <v/>
      </c>
      <c r="K14" s="5" t="s">
        <v>23</v>
      </c>
      <c r="L14" s="67"/>
      <c r="O14" s="36" t="s">
        <v>17</v>
      </c>
      <c r="P14" s="36" t="s">
        <v>81</v>
      </c>
      <c r="Q14" s="36" t="s">
        <v>82</v>
      </c>
      <c r="R14" s="36" t="s">
        <v>80</v>
      </c>
      <c r="S14" s="36" t="s">
        <v>83</v>
      </c>
      <c r="T14" s="36" t="s">
        <v>84</v>
      </c>
      <c r="U14" s="37" t="s">
        <v>111</v>
      </c>
      <c r="V14" s="37" t="s">
        <v>112</v>
      </c>
      <c r="W14" s="37" t="s">
        <v>113</v>
      </c>
      <c r="X14" s="13" t="s">
        <v>132</v>
      </c>
      <c r="Y14" s="13" t="s">
        <v>133</v>
      </c>
      <c r="Z14" s="27"/>
      <c r="AJ14" s="212"/>
    </row>
    <row r="15" spans="1:36" ht="14.4" customHeight="1" x14ac:dyDescent="0.3">
      <c r="A15" s="51" t="str">
        <f>IF(C14="","",IF(C14=O67,"Custom Rotor CTE",CONCATENATE("Rotor CTE = ",(J7*1000000)," X 10")))</f>
        <v/>
      </c>
      <c r="B15" s="50" t="str">
        <f>IF(C14="","",IF(C14=O67,"","-6"))</f>
        <v/>
      </c>
      <c r="C15" s="232" t="str">
        <f>IF(C14="Custom","Enter Custom Value","")</f>
        <v/>
      </c>
      <c r="D15" s="233"/>
      <c r="E15" s="234"/>
      <c r="F15" s="27"/>
      <c r="G15" s="228" t="s">
        <v>71</v>
      </c>
      <c r="H15" s="228"/>
      <c r="I15" s="12" t="s">
        <v>39</v>
      </c>
      <c r="J15" s="106" t="str">
        <f>IF(D22="","",D17*J5*J13)</f>
        <v/>
      </c>
      <c r="K15" s="5" t="s">
        <v>23</v>
      </c>
      <c r="L15" s="67"/>
      <c r="M15" s="1" t="str">
        <f>IF(C$7=$O$13,IF(D$22=75,C$7,""),"")</f>
        <v/>
      </c>
      <c r="N15" s="1" t="str">
        <f>IF(C$7=$O$13,C$7,"")</f>
        <v/>
      </c>
      <c r="O15" s="13">
        <v>75</v>
      </c>
      <c r="P15" s="4">
        <v>200000</v>
      </c>
      <c r="Q15" s="4">
        <v>7200</v>
      </c>
      <c r="R15" s="18">
        <v>1.5999999999999999E-5</v>
      </c>
      <c r="S15" s="18">
        <v>1.5999999999999999E-5</v>
      </c>
      <c r="T15" s="18">
        <v>1.5999999999999999E-5</v>
      </c>
      <c r="U15" s="24" t="str">
        <f t="shared" ref="U15:U17" si="10">IF(M15=O$13,IF(D$22&gt;250,"Check Temperature",J$30-J$31),"")</f>
        <v/>
      </c>
      <c r="V15" s="24" t="str">
        <f t="shared" ref="V15:V20" si="11">IF(M15=O$13,IF(D$22&gt;250,"Check Temp Range",D$13+J$37+J$9+J$28-J$21-J$15),"")</f>
        <v/>
      </c>
      <c r="W15" s="102" t="str">
        <f>IF(M15=O$13,IF(D$22&gt;250,"Check Temp Range",D$20),"")</f>
        <v/>
      </c>
      <c r="X15" s="20" t="str">
        <f>IF(U15="","",IF(U15&lt;3,0.003,IF(U15&lt;6,0.004,IF(U15&lt;12,0.005,"Check"))))</f>
        <v/>
      </c>
      <c r="Y15" s="20" t="str">
        <f>IF(V15="","",IF(V15&lt;3,0.003,IF(V15&lt;6,0.004,IF(V15&lt;12,0.005,"Check"))))</f>
        <v/>
      </c>
      <c r="Z15" s="27"/>
      <c r="AJ15" s="212"/>
    </row>
    <row r="16" spans="1:36" ht="14.4" customHeight="1" x14ac:dyDescent="0.3">
      <c r="A16" s="228" t="s">
        <v>24</v>
      </c>
      <c r="B16" s="5" t="s">
        <v>21</v>
      </c>
      <c r="C16" s="52" t="s">
        <v>130</v>
      </c>
      <c r="D16" s="69"/>
      <c r="E16" s="54" t="s">
        <v>23</v>
      </c>
      <c r="F16" s="27"/>
      <c r="G16" s="228" t="s">
        <v>54</v>
      </c>
      <c r="H16" s="228"/>
      <c r="I16" s="12" t="s">
        <v>62</v>
      </c>
      <c r="J16" s="106" t="str">
        <f>IF(D21="","",D17+J17)</f>
        <v/>
      </c>
      <c r="K16" s="5" t="s">
        <v>23</v>
      </c>
      <c r="L16" s="67"/>
      <c r="M16" s="1" t="str">
        <f t="shared" ref="M16:M21" si="12">IF(C$7=$O$13,IF($O15&lt;D$22,IF(D$22&lt;=$O16,C$7,""),""),"")</f>
        <v/>
      </c>
      <c r="O16" s="13">
        <v>200</v>
      </c>
      <c r="P16" s="4">
        <v>182171.25382262998</v>
      </c>
      <c r="Q16" s="4">
        <v>6558.1651376146792</v>
      </c>
      <c r="R16" s="18">
        <v>1.5999999999999999E-5</v>
      </c>
      <c r="S16" s="18">
        <v>1.5999999999999999E-5</v>
      </c>
      <c r="T16" s="18">
        <v>1.5999999999999999E-5</v>
      </c>
      <c r="U16" s="24" t="str">
        <f>IF(M16=O$13,IF(D$22&gt;250,"Check Temperature",J$30-J$31),"")</f>
        <v/>
      </c>
      <c r="V16" s="24" t="str">
        <f t="shared" si="11"/>
        <v/>
      </c>
      <c r="W16" s="102" t="str">
        <f t="shared" ref="W16:W21" si="13">IF(M16=O$13,IF(D$22&gt;250,"Check Temp Range",D$20),"")</f>
        <v/>
      </c>
      <c r="X16" s="20" t="str">
        <f t="shared" ref="X16:X17" si="14">IF(U16="","",IF(U16&lt;3,0.003,IF(U16&lt;6,0.004,IF(U16&lt;12,0.005,"Check"))))</f>
        <v/>
      </c>
      <c r="Y16" s="20" t="str">
        <f t="shared" ref="Y16:Y17" si="15">IF(V16="","",IF(V16&lt;3,0.003,IF(V16&lt;6,0.004,IF(V16&lt;12,0.005,"Check"))))</f>
        <v/>
      </c>
      <c r="Z16" s="27"/>
      <c r="AJ16" s="212"/>
    </row>
    <row r="17" spans="1:36" ht="14.4" customHeight="1" x14ac:dyDescent="0.3">
      <c r="A17" s="228"/>
      <c r="B17" s="5" t="s">
        <v>22</v>
      </c>
      <c r="C17" s="55" t="s">
        <v>33</v>
      </c>
      <c r="D17" s="69"/>
      <c r="E17" s="54" t="s">
        <v>23</v>
      </c>
      <c r="F17" s="27"/>
      <c r="G17" s="228" t="s">
        <v>72</v>
      </c>
      <c r="H17" s="228"/>
      <c r="I17" s="12" t="s">
        <v>40</v>
      </c>
      <c r="J17" s="106" t="str">
        <f>IF(D21="","",J4*D17*J13)</f>
        <v/>
      </c>
      <c r="K17" s="5" t="s">
        <v>23</v>
      </c>
      <c r="L17" s="67"/>
      <c r="M17" s="1" t="str">
        <f t="shared" si="12"/>
        <v/>
      </c>
      <c r="O17" s="13">
        <v>250</v>
      </c>
      <c r="P17" s="4">
        <v>177981.65137614679</v>
      </c>
      <c r="Q17" s="4">
        <v>6407.339449541284</v>
      </c>
      <c r="R17" s="18">
        <v>1.5999999999999999E-5</v>
      </c>
      <c r="S17" s="18">
        <v>1.5999999999999999E-5</v>
      </c>
      <c r="T17" s="18">
        <v>1.5999999999999999E-5</v>
      </c>
      <c r="U17" s="24" t="str">
        <f t="shared" si="10"/>
        <v/>
      </c>
      <c r="V17" s="24" t="str">
        <f t="shared" si="11"/>
        <v/>
      </c>
      <c r="W17" s="102" t="str">
        <f t="shared" si="13"/>
        <v/>
      </c>
      <c r="X17" s="20" t="str">
        <f t="shared" si="14"/>
        <v/>
      </c>
      <c r="Y17" s="20" t="str">
        <f t="shared" si="15"/>
        <v/>
      </c>
      <c r="Z17" s="27"/>
      <c r="AJ17" s="212"/>
    </row>
    <row r="18" spans="1:36" ht="14.4" customHeight="1" x14ac:dyDescent="0.3">
      <c r="A18" s="228" t="s">
        <v>28</v>
      </c>
      <c r="B18" s="228"/>
      <c r="C18" s="229"/>
      <c r="D18" s="230"/>
      <c r="E18" s="231"/>
      <c r="F18" s="27"/>
      <c r="G18" s="238" t="s">
        <v>125</v>
      </c>
      <c r="H18" s="238"/>
      <c r="I18" s="238"/>
      <c r="J18" s="238"/>
      <c r="K18" s="238"/>
      <c r="L18" s="27"/>
      <c r="M18" s="1" t="str">
        <f t="shared" si="12"/>
        <v/>
      </c>
      <c r="O18" s="13">
        <v>300</v>
      </c>
      <c r="P18" s="4">
        <v>138532.11009174312</v>
      </c>
      <c r="Q18" s="4">
        <v>4987.1559633027518</v>
      </c>
      <c r="R18" s="18">
        <v>4.6153846153846151E-5</v>
      </c>
      <c r="S18" s="18">
        <v>4.6153846153846151E-5</v>
      </c>
      <c r="T18" s="18">
        <v>4.6153846153846151E-5</v>
      </c>
      <c r="U18" s="24" t="str">
        <f t="shared" ref="U18:U21" si="16">IF(M18=O$13,IF(D$22&gt;250,"Check Temperature",J$30-J$31),"")</f>
        <v/>
      </c>
      <c r="V18" s="24" t="str">
        <f t="shared" si="11"/>
        <v/>
      </c>
      <c r="W18" s="102" t="str">
        <f t="shared" si="13"/>
        <v/>
      </c>
      <c r="X18" s="20" t="str">
        <f t="shared" ref="X18:X21" si="17">IF(U18="","",IF(U18&lt;3,0.003,IF(U18&lt;6,0.004,IF(U18&lt;12,0.005,"Check"))))</f>
        <v/>
      </c>
      <c r="Y18" s="20" t="str">
        <f t="shared" ref="Y18:Y21" si="18">IF(V18="","",IF(V18&lt;3,0.003,IF(V18&lt;6,0.004,IF(V18&lt;12,0.005,"Check"))))</f>
        <v/>
      </c>
      <c r="Z18" s="27"/>
      <c r="AJ18" s="212"/>
    </row>
    <row r="19" spans="1:36" ht="14.4" customHeight="1" x14ac:dyDescent="0.3">
      <c r="A19" s="51" t="str">
        <f>IF(C18="","",IF(C18=O67,"Custom Stator CTE",CONCATENATE("Stator CTE = ",(J13*1000000)," X 10")))</f>
        <v/>
      </c>
      <c r="B19" s="50" t="str">
        <f>IF(A19="","",IF(C18=O67,"","-6"))</f>
        <v/>
      </c>
      <c r="C19" s="232" t="str">
        <f>IF(C18="Custom","Enter Custom Value","")</f>
        <v/>
      </c>
      <c r="D19" s="233"/>
      <c r="E19" s="234"/>
      <c r="F19" s="26"/>
      <c r="G19" s="228" t="s">
        <v>115</v>
      </c>
      <c r="H19" s="228"/>
      <c r="I19" s="29" t="s">
        <v>117</v>
      </c>
      <c r="J19" s="105" t="str">
        <f>IF(D22="","",IF(C$7="","",VLOOKUP(C$7,M$4:T$61,6,FALSE)))</f>
        <v/>
      </c>
      <c r="K19" s="5" t="s">
        <v>87</v>
      </c>
      <c r="L19" s="27"/>
      <c r="M19" s="1" t="str">
        <f t="shared" si="12"/>
        <v/>
      </c>
      <c r="O19" s="13">
        <v>350</v>
      </c>
      <c r="P19" s="4">
        <v>26788.99082568807</v>
      </c>
      <c r="Q19" s="4">
        <v>964.40366972477045</v>
      </c>
      <c r="R19" s="18">
        <v>4.6153846153846151E-5</v>
      </c>
      <c r="S19" s="18">
        <v>4.6153846153846151E-5</v>
      </c>
      <c r="T19" s="18">
        <v>4.6153846153846151E-5</v>
      </c>
      <c r="U19" s="24" t="str">
        <f t="shared" si="16"/>
        <v/>
      </c>
      <c r="V19" s="24" t="str">
        <f t="shared" si="11"/>
        <v/>
      </c>
      <c r="W19" s="102" t="str">
        <f t="shared" si="13"/>
        <v/>
      </c>
      <c r="X19" s="20" t="str">
        <f t="shared" si="17"/>
        <v/>
      </c>
      <c r="Y19" s="20" t="str">
        <f t="shared" si="18"/>
        <v/>
      </c>
      <c r="Z19" s="27"/>
      <c r="AJ19" s="212"/>
    </row>
    <row r="20" spans="1:36" ht="14.4" customHeight="1" x14ac:dyDescent="0.3">
      <c r="A20" s="5" t="s">
        <v>88</v>
      </c>
      <c r="B20" s="5" t="s">
        <v>21</v>
      </c>
      <c r="C20" s="13" t="s">
        <v>46</v>
      </c>
      <c r="D20" s="68"/>
      <c r="E20" s="13" t="s">
        <v>23</v>
      </c>
      <c r="F20" s="27"/>
      <c r="G20" s="228" t="s">
        <v>58</v>
      </c>
      <c r="H20" s="228"/>
      <c r="I20" s="12" t="s">
        <v>68</v>
      </c>
      <c r="J20" s="19" t="str">
        <f>IF(D22="","",J21+D13)</f>
        <v/>
      </c>
      <c r="K20" s="5" t="s">
        <v>23</v>
      </c>
      <c r="L20" s="67"/>
      <c r="M20" s="1" t="str">
        <f t="shared" si="12"/>
        <v/>
      </c>
      <c r="O20" s="13">
        <v>400</v>
      </c>
      <c r="P20" s="4">
        <v>23241.590214067277</v>
      </c>
      <c r="Q20" s="4">
        <v>836.69724770642199</v>
      </c>
      <c r="R20" s="18">
        <v>4.6153846153846151E-5</v>
      </c>
      <c r="S20" s="18">
        <v>4.6153846153846151E-5</v>
      </c>
      <c r="T20" s="18">
        <v>4.6153846153846151E-5</v>
      </c>
      <c r="U20" s="24" t="str">
        <f t="shared" si="16"/>
        <v/>
      </c>
      <c r="V20" s="24" t="str">
        <f t="shared" si="11"/>
        <v/>
      </c>
      <c r="W20" s="102" t="str">
        <f t="shared" si="13"/>
        <v/>
      </c>
      <c r="X20" s="20" t="str">
        <f t="shared" si="17"/>
        <v/>
      </c>
      <c r="Y20" s="20" t="str">
        <f t="shared" si="18"/>
        <v/>
      </c>
      <c r="Z20" s="27"/>
      <c r="AJ20" s="212"/>
    </row>
    <row r="21" spans="1:36" ht="14.4" customHeight="1" x14ac:dyDescent="0.3">
      <c r="A21" s="228" t="s">
        <v>155</v>
      </c>
      <c r="B21" s="5" t="s">
        <v>21</v>
      </c>
      <c r="C21" s="13" t="s">
        <v>59</v>
      </c>
      <c r="D21" s="70"/>
      <c r="E21" s="13" t="s">
        <v>26</v>
      </c>
      <c r="F21" s="27"/>
      <c r="G21" s="228" t="s">
        <v>50</v>
      </c>
      <c r="H21" s="228"/>
      <c r="I21" s="12" t="s">
        <v>43</v>
      </c>
      <c r="J21" s="115" t="str">
        <f>IF(D22="","",VLOOKUP(C7,O3:AG61,15,FALSE))</f>
        <v/>
      </c>
      <c r="K21" s="5" t="s">
        <v>23</v>
      </c>
      <c r="L21" s="67"/>
      <c r="M21" s="1" t="str">
        <f t="shared" si="12"/>
        <v/>
      </c>
      <c r="O21" s="13">
        <v>500</v>
      </c>
      <c r="P21" s="4">
        <v>15382.262996941896</v>
      </c>
      <c r="Q21" s="4">
        <v>553.7614678899082</v>
      </c>
      <c r="R21" s="18">
        <v>4.6153846153846151E-5</v>
      </c>
      <c r="S21" s="18">
        <v>4.6153846153846151E-5</v>
      </c>
      <c r="T21" s="18">
        <v>4.6153846153846151E-5</v>
      </c>
      <c r="U21" s="24" t="str">
        <f t="shared" si="16"/>
        <v/>
      </c>
      <c r="V21" s="24" t="str">
        <f t="shared" ref="V21" si="19">IF(M21=O$13,IF(D$22&gt;250,"Check Temp Range",D$13+J$37+J$9+J$28-J$21-J$15),"")</f>
        <v/>
      </c>
      <c r="W21" s="102" t="str">
        <f t="shared" si="13"/>
        <v/>
      </c>
      <c r="X21" s="20" t="str">
        <f t="shared" si="17"/>
        <v/>
      </c>
      <c r="Y21" s="20" t="str">
        <f t="shared" si="18"/>
        <v/>
      </c>
      <c r="Z21" s="27"/>
      <c r="AJ21" s="212"/>
    </row>
    <row r="22" spans="1:36" ht="14.4" customHeight="1" x14ac:dyDescent="0.3">
      <c r="A22" s="228"/>
      <c r="B22" s="5" t="s">
        <v>22</v>
      </c>
      <c r="C22" s="13" t="s">
        <v>60</v>
      </c>
      <c r="D22" s="70"/>
      <c r="E22" s="13" t="s">
        <v>26</v>
      </c>
      <c r="F22" s="27"/>
      <c r="G22" s="228" t="s">
        <v>116</v>
      </c>
      <c r="H22" s="228"/>
      <c r="I22" s="29" t="s">
        <v>118</v>
      </c>
      <c r="J22" s="30" t="str">
        <f>IF(C$7="","",VLOOKUP(C$7,N$4:T$61,5,FALSE))</f>
        <v/>
      </c>
      <c r="K22" s="5" t="s">
        <v>87</v>
      </c>
      <c r="L22" s="67"/>
      <c r="Z22" s="27"/>
      <c r="AC22" s="113" t="s">
        <v>202</v>
      </c>
      <c r="AE22" s="113" t="s">
        <v>203</v>
      </c>
      <c r="AG22" s="113" t="s">
        <v>219</v>
      </c>
      <c r="AJ22" s="212"/>
    </row>
    <row r="23" spans="1:36" ht="14.4" customHeight="1" x14ac:dyDescent="0.3">
      <c r="A23" s="235"/>
      <c r="B23" s="235"/>
      <c r="C23" s="235"/>
      <c r="D23" s="235"/>
      <c r="E23" s="235"/>
      <c r="F23" s="27"/>
      <c r="G23" s="228" t="s">
        <v>55</v>
      </c>
      <c r="H23" s="228"/>
      <c r="I23" s="12" t="s">
        <v>64</v>
      </c>
      <c r="J23" s="19" t="str">
        <f>IF(D21="","",D13+J24)</f>
        <v/>
      </c>
      <c r="K23" s="5" t="s">
        <v>23</v>
      </c>
      <c r="L23" s="67"/>
      <c r="O23" s="5" t="s">
        <v>79</v>
      </c>
      <c r="P23" s="208" t="s">
        <v>190</v>
      </c>
      <c r="Q23" s="210"/>
      <c r="R23" s="208" t="s">
        <v>191</v>
      </c>
      <c r="S23" s="209"/>
      <c r="T23" s="210"/>
      <c r="U23" s="208" t="s">
        <v>236</v>
      </c>
      <c r="V23" s="209"/>
      <c r="W23" s="209"/>
      <c r="X23" s="209"/>
      <c r="Y23" s="210"/>
      <c r="Z23" s="27"/>
      <c r="AC23" s="116" t="e">
        <f>J5*D13*R25</f>
        <v>#VALUE!</v>
      </c>
      <c r="AE23" s="116" t="e">
        <f>J5*D17*S25</f>
        <v>#VALUE!</v>
      </c>
      <c r="AG23" s="193" t="e">
        <f>D20*J5*J33</f>
        <v>#VALUE!</v>
      </c>
      <c r="AJ23" s="212"/>
    </row>
    <row r="24" spans="1:36" ht="14.4" customHeight="1" x14ac:dyDescent="0.3">
      <c r="A24" s="208" t="s">
        <v>110</v>
      </c>
      <c r="B24" s="209"/>
      <c r="C24" s="210"/>
      <c r="D24" s="13" t="s">
        <v>134</v>
      </c>
      <c r="E24" s="13" t="s">
        <v>135</v>
      </c>
      <c r="F24" s="27"/>
      <c r="G24" s="228" t="s">
        <v>51</v>
      </c>
      <c r="H24" s="228"/>
      <c r="I24" s="12" t="s">
        <v>44</v>
      </c>
      <c r="J24" s="19" t="str">
        <f>IF(D21="","",J4*D13*J22)</f>
        <v/>
      </c>
      <c r="K24" s="5" t="s">
        <v>23</v>
      </c>
      <c r="L24" s="67"/>
      <c r="O24" s="13" t="s">
        <v>17</v>
      </c>
      <c r="P24" s="13" t="s">
        <v>81</v>
      </c>
      <c r="Q24" s="13" t="s">
        <v>82</v>
      </c>
      <c r="R24" s="13" t="s">
        <v>80</v>
      </c>
      <c r="S24" s="13" t="s">
        <v>83</v>
      </c>
      <c r="T24" s="13" t="s">
        <v>84</v>
      </c>
      <c r="U24" s="5" t="s">
        <v>111</v>
      </c>
      <c r="V24" s="5" t="s">
        <v>112</v>
      </c>
      <c r="W24" s="5" t="s">
        <v>113</v>
      </c>
      <c r="X24" s="13" t="s">
        <v>132</v>
      </c>
      <c r="Y24" s="13" t="s">
        <v>133</v>
      </c>
      <c r="Z24" s="27"/>
      <c r="AJ24" s="212"/>
    </row>
    <row r="25" spans="1:36" ht="14.4" customHeight="1" x14ac:dyDescent="0.3">
      <c r="A25" s="218" t="s">
        <v>131</v>
      </c>
      <c r="B25" s="219"/>
      <c r="C25" s="220"/>
      <c r="D25" s="22" t="str">
        <f>IF(J26="","",VLOOKUP(C$7,M3:W61,9,FALSE))</f>
        <v/>
      </c>
      <c r="E25" s="98" t="str">
        <f>IF(D25="","",CONCATENATE("+",VLOOKUP(C$7,M5:Y61,12,FALSE)))</f>
        <v/>
      </c>
      <c r="F25" s="27"/>
      <c r="G25" s="238" t="s">
        <v>126</v>
      </c>
      <c r="H25" s="238"/>
      <c r="I25" s="238"/>
      <c r="J25" s="238"/>
      <c r="K25" s="238"/>
      <c r="L25" s="27"/>
      <c r="M25" s="1" t="str">
        <f>IF(C$7=$O$23,IF(D$22=75,C$7,""),"")</f>
        <v/>
      </c>
      <c r="N25" s="1" t="str">
        <f>IF(C$7=$O$23,C$7,"")</f>
        <v/>
      </c>
      <c r="O25" s="13">
        <v>75</v>
      </c>
      <c r="P25" s="4">
        <v>400000</v>
      </c>
      <c r="Q25" s="4">
        <v>23500</v>
      </c>
      <c r="R25" s="18">
        <v>1.5999999999999999E-5</v>
      </c>
      <c r="S25" s="18">
        <v>1.5999999999999999E-5</v>
      </c>
      <c r="T25" s="18">
        <v>1.5999999999999999E-5</v>
      </c>
      <c r="U25" s="24" t="str">
        <f t="shared" ref="U25:U28" si="20">IF(M25=O$23,IF(D$22&gt;275,"Check Temperature",J$30-J$31),"")</f>
        <v/>
      </c>
      <c r="V25" s="24" t="str">
        <f t="shared" ref="V25:V27" si="21">IF(M25=O$23,IF(D$22&gt;275,"Check Temp Range",D$13+J$37+J$9+J$28-J$21-J$15),"")</f>
        <v/>
      </c>
      <c r="W25" s="102" t="str">
        <f>IF(M25=O$23,IF(D$22&gt;275,"Check Temp Range",D$20),"")</f>
        <v/>
      </c>
      <c r="X25" s="20" t="str">
        <f>IF(U25="","",IF(U25&lt;3,0.003,IF(U25&lt;6,0.005,IF(U25&lt;12,0.006,"Check"))))</f>
        <v/>
      </c>
      <c r="Y25" s="20" t="str">
        <f>IF(V25="","",IF(V25&lt;3,0.003,IF(V25&lt;6,0.005,IF(V25&lt;12,0.006,"Check"))))</f>
        <v/>
      </c>
      <c r="Z25" s="27"/>
      <c r="AJ25" s="212"/>
    </row>
    <row r="26" spans="1:36" ht="14.4" customHeight="1" x14ac:dyDescent="0.3">
      <c r="A26" s="218" t="s">
        <v>137</v>
      </c>
      <c r="B26" s="219"/>
      <c r="C26" s="220"/>
      <c r="D26" s="22" t="str">
        <f>IF(J19="","",VLOOKUP(C$7,M3:W61,10,FALSE))</f>
        <v/>
      </c>
      <c r="E26" s="98" t="str">
        <f>IF(D26="","",CONCATENATE("+",VLOOKUP(C$7,M5:Y61,13,FALSE)))</f>
        <v/>
      </c>
      <c r="F26" s="27"/>
      <c r="G26" s="228" t="s">
        <v>122</v>
      </c>
      <c r="H26" s="228"/>
      <c r="I26" s="29" t="s">
        <v>119</v>
      </c>
      <c r="J26" s="30" t="str">
        <f>IF(D22="","",IF(C$7="","",VLOOKUP(C$7,M$4:T$61,7,FALSE)))</f>
        <v/>
      </c>
      <c r="K26" s="5" t="s">
        <v>87</v>
      </c>
      <c r="L26" s="27"/>
      <c r="M26" s="1" t="str">
        <f t="shared" ref="M26:M31" si="22">IF(C$7=$O$23,IF($O25&lt;D$22,IF(D$22&lt;=$O26,C$7,""),""),"")</f>
        <v/>
      </c>
      <c r="O26" s="13">
        <v>200</v>
      </c>
      <c r="P26" s="4">
        <v>364342.50764525996</v>
      </c>
      <c r="Q26" s="4">
        <v>21405.122324159023</v>
      </c>
      <c r="R26" s="18">
        <v>1.5999999999999999E-5</v>
      </c>
      <c r="S26" s="18">
        <v>1.5999999999999999E-5</v>
      </c>
      <c r="T26" s="18">
        <v>1.5999999999999999E-5</v>
      </c>
      <c r="U26" s="24" t="str">
        <f t="shared" si="20"/>
        <v/>
      </c>
      <c r="V26" s="24" t="str">
        <f t="shared" si="21"/>
        <v/>
      </c>
      <c r="W26" s="102" t="str">
        <f t="shared" ref="W26:W31" si="23">IF(M26=O$23,IF(D$22&gt;275,"Check Temp Range",D$20),"")</f>
        <v/>
      </c>
      <c r="X26" s="20" t="str">
        <f t="shared" ref="X26:X27" si="24">IF(U26="","",IF(U26&lt;3,0.003,IF(U26&lt;6,0.005,IF(U26&lt;12,0.006,"Check"))))</f>
        <v/>
      </c>
      <c r="Y26" s="20" t="str">
        <f t="shared" ref="Y26:Y27" si="25">IF(V26="","",IF(V26&lt;3,0.003,IF(V26&lt;6,0.005,IF(V26&lt;12,0.006,"Check"))))</f>
        <v/>
      </c>
      <c r="Z26" s="27"/>
      <c r="AJ26" s="212"/>
    </row>
    <row r="27" spans="1:36" ht="14.4" customHeight="1" x14ac:dyDescent="0.3">
      <c r="A27" s="218" t="s">
        <v>136</v>
      </c>
      <c r="B27" s="219"/>
      <c r="C27" s="220"/>
      <c r="D27" s="22" t="str">
        <f>IF(J33="","",VLOOKUP(C$7,M3:W61,11,FALSE))</f>
        <v/>
      </c>
      <c r="E27" s="46" t="str">
        <f>IF(D27="","","-.010")</f>
        <v/>
      </c>
      <c r="F27" s="27"/>
      <c r="G27" s="236" t="s">
        <v>217</v>
      </c>
      <c r="H27" s="236"/>
      <c r="I27" s="12" t="s">
        <v>67</v>
      </c>
      <c r="J27" s="25" t="str">
        <f>IF(D22="","",J36+J14)</f>
        <v/>
      </c>
      <c r="K27" s="5" t="s">
        <v>23</v>
      </c>
      <c r="L27" s="67"/>
      <c r="M27" s="1" t="str">
        <f t="shared" si="22"/>
        <v/>
      </c>
      <c r="O27" s="13">
        <v>250</v>
      </c>
      <c r="P27" s="4">
        <v>355963.30275229359</v>
      </c>
      <c r="Q27" s="4">
        <v>20912.844036697246</v>
      </c>
      <c r="R27" s="18">
        <v>1.5999999999999999E-5</v>
      </c>
      <c r="S27" s="18">
        <v>1.5999999999999999E-5</v>
      </c>
      <c r="T27" s="18">
        <v>1.5999999999999999E-5</v>
      </c>
      <c r="U27" s="24" t="str">
        <f t="shared" si="20"/>
        <v/>
      </c>
      <c r="V27" s="24" t="str">
        <f t="shared" si="21"/>
        <v/>
      </c>
      <c r="W27" s="102" t="str">
        <f t="shared" si="23"/>
        <v/>
      </c>
      <c r="X27" s="20" t="str">
        <f t="shared" si="24"/>
        <v/>
      </c>
      <c r="Y27" s="20" t="str">
        <f t="shared" si="25"/>
        <v/>
      </c>
      <c r="Z27" s="27"/>
      <c r="AJ27" s="212"/>
    </row>
    <row r="28" spans="1:36" ht="14.4" customHeight="1" x14ac:dyDescent="0.3">
      <c r="A28" s="217"/>
      <c r="B28" s="217"/>
      <c r="C28" s="217"/>
      <c r="D28" s="217"/>
      <c r="E28" s="217"/>
      <c r="F28" s="27"/>
      <c r="G28" s="228" t="s">
        <v>48</v>
      </c>
      <c r="H28" s="228"/>
      <c r="I28" s="12" t="s">
        <v>41</v>
      </c>
      <c r="J28" s="151" t="str">
        <f>IF(D22="","",VLOOKUP(C7,O3:AG61,17,FALSE))</f>
        <v/>
      </c>
      <c r="K28" s="5" t="s">
        <v>23</v>
      </c>
      <c r="L28" s="67"/>
      <c r="M28" s="1" t="str">
        <f t="shared" si="22"/>
        <v/>
      </c>
      <c r="O28" s="99">
        <v>300</v>
      </c>
      <c r="P28" s="4">
        <v>277064.22018348624</v>
      </c>
      <c r="Q28" s="4">
        <v>16277.522935779816</v>
      </c>
      <c r="R28" s="18">
        <v>4.6153846153846151E-5</v>
      </c>
      <c r="S28" s="18">
        <v>4.6153846153846151E-5</v>
      </c>
      <c r="T28" s="18">
        <v>4.6153846153846151E-5</v>
      </c>
      <c r="U28" s="24" t="str">
        <f t="shared" si="20"/>
        <v/>
      </c>
      <c r="V28" s="24" t="str">
        <f t="shared" ref="V28" si="26">IF(M28=O$23,IF(D$22&gt;275,"Check Temp Range",D$13+J$37+J$9+J$28-J$21-J$15),"")</f>
        <v/>
      </c>
      <c r="W28" s="102" t="str">
        <f t="shared" si="23"/>
        <v/>
      </c>
      <c r="X28" s="20" t="str">
        <f t="shared" ref="X28" si="27">IF(U28="","",IF(U28&lt;3,0.003,IF(U28&lt;6,0.005,IF(U28&lt;12,0.006,"Check"))))</f>
        <v/>
      </c>
      <c r="Y28" s="20" t="str">
        <f t="shared" ref="Y28" si="28">IF(V28="","",IF(V28&lt;3,0.003,IF(V28&lt;6,0.005,IF(V28&lt;12,0.006,"Check"))))</f>
        <v/>
      </c>
      <c r="Z28" s="27"/>
      <c r="AJ28" s="212"/>
    </row>
    <row r="29" spans="1:36" ht="14.4" customHeight="1" x14ac:dyDescent="0.3">
      <c r="A29" s="227" t="s">
        <v>147</v>
      </c>
      <c r="B29" s="243"/>
      <c r="C29" s="243"/>
      <c r="D29" s="243"/>
      <c r="E29" s="243"/>
      <c r="F29" s="27"/>
      <c r="G29" s="228" t="s">
        <v>121</v>
      </c>
      <c r="H29" s="228"/>
      <c r="I29" s="29" t="s">
        <v>120</v>
      </c>
      <c r="J29" s="30" t="str">
        <f>IF(C$7="","",VLOOKUP(C$7,N$4:T$61,6,FALSE))</f>
        <v/>
      </c>
      <c r="K29" s="5" t="s">
        <v>87</v>
      </c>
      <c r="L29" s="67"/>
      <c r="M29" s="1" t="str">
        <f t="shared" si="22"/>
        <v/>
      </c>
      <c r="O29" s="13">
        <v>350</v>
      </c>
      <c r="P29" s="4">
        <v>53577.98165137614</v>
      </c>
      <c r="Q29" s="4">
        <v>3147.7064220183483</v>
      </c>
      <c r="R29" s="18">
        <v>4.6153846153846151E-5</v>
      </c>
      <c r="S29" s="18">
        <v>4.6153846153846151E-5</v>
      </c>
      <c r="T29" s="18">
        <v>4.6153846153846151E-5</v>
      </c>
      <c r="U29" s="24" t="str">
        <f t="shared" ref="U29:U31" si="29">IF(M29=O$23,IF(D$22&gt;275,"Check Temperature",J$30-J$31),"")</f>
        <v/>
      </c>
      <c r="V29" s="24" t="str">
        <f t="shared" ref="V29:V31" si="30">IF(M29=O$23,IF(D$22&gt;275,"Check Temp Range",D$13+J$37+J$9+J$28-J$21-J$15),"")</f>
        <v/>
      </c>
      <c r="W29" s="102" t="str">
        <f t="shared" si="23"/>
        <v/>
      </c>
      <c r="X29" s="20" t="str">
        <f t="shared" ref="X29:X31" si="31">IF(U29="","",IF(U29&lt;3,0.003,IF(U29&lt;6,0.005,IF(U29&lt;12,0.006,"Check"))))</f>
        <v/>
      </c>
      <c r="Y29" s="20" t="str">
        <f t="shared" ref="Y29:Y31" si="32">IF(V29="","",IF(V29&lt;3,0.003,IF(V29&lt;6,0.005,IF(V29&lt;12,0.006,"Check"))))</f>
        <v/>
      </c>
      <c r="Z29" s="27"/>
      <c r="AJ29" s="212"/>
    </row>
    <row r="30" spans="1:36" ht="14.4" customHeight="1" x14ac:dyDescent="0.3">
      <c r="A30" s="218" t="s">
        <v>139</v>
      </c>
      <c r="B30" s="219"/>
      <c r="C30" s="220"/>
      <c r="D30" s="10" t="s">
        <v>10</v>
      </c>
      <c r="E30" s="4" t="str">
        <f>IF(COUNT(D22,D21,D17,C8,C10)&lt;3,"",$H$54)</f>
        <v/>
      </c>
      <c r="F30" s="27"/>
      <c r="G30" s="236" t="s">
        <v>218</v>
      </c>
      <c r="H30" s="236"/>
      <c r="I30" s="12" t="s">
        <v>63</v>
      </c>
      <c r="J30" s="192" t="str">
        <f>IF(D21="","",J36+J16)</f>
        <v/>
      </c>
      <c r="K30" s="5" t="s">
        <v>23</v>
      </c>
      <c r="L30" s="67"/>
      <c r="M30" s="1" t="str">
        <f t="shared" si="22"/>
        <v/>
      </c>
      <c r="O30" s="13">
        <v>400</v>
      </c>
      <c r="P30" s="4">
        <v>46483.180428134554</v>
      </c>
      <c r="Q30" s="4">
        <v>2730.886850152905</v>
      </c>
      <c r="R30" s="18">
        <v>4.6153846153846151E-5</v>
      </c>
      <c r="S30" s="18">
        <v>4.6153846153846151E-5</v>
      </c>
      <c r="T30" s="18">
        <v>4.6153846153846151E-5</v>
      </c>
      <c r="U30" s="24" t="str">
        <f t="shared" si="29"/>
        <v/>
      </c>
      <c r="V30" s="24" t="str">
        <f t="shared" si="30"/>
        <v/>
      </c>
      <c r="W30" s="102" t="str">
        <f t="shared" si="23"/>
        <v/>
      </c>
      <c r="X30" s="20" t="str">
        <f t="shared" si="31"/>
        <v/>
      </c>
      <c r="Y30" s="20" t="str">
        <f t="shared" si="32"/>
        <v/>
      </c>
      <c r="Z30" s="27"/>
      <c r="AJ30" s="212"/>
    </row>
    <row r="31" spans="1:36" ht="14.4" customHeight="1" x14ac:dyDescent="0.3">
      <c r="A31" s="221" t="s">
        <v>140</v>
      </c>
      <c r="B31" s="222"/>
      <c r="C31" s="223"/>
      <c r="D31" s="10" t="str">
        <f>IF(COUNT(D22,D21,D17)&lt;3,"",$H$52)</f>
        <v/>
      </c>
      <c r="E31" s="13" t="s">
        <v>19</v>
      </c>
      <c r="F31" s="27"/>
      <c r="G31" s="228" t="s">
        <v>49</v>
      </c>
      <c r="H31" s="228"/>
      <c r="I31" s="12" t="s">
        <v>42</v>
      </c>
      <c r="J31" s="19" t="str">
        <f>IF(D21="","",J4*D17*J29)</f>
        <v/>
      </c>
      <c r="K31" s="5" t="s">
        <v>23</v>
      </c>
      <c r="L31" s="67"/>
      <c r="M31" s="1" t="str">
        <f t="shared" si="22"/>
        <v/>
      </c>
      <c r="O31" s="13">
        <v>500</v>
      </c>
      <c r="P31" s="4">
        <v>30764.525993883792</v>
      </c>
      <c r="Q31" s="4">
        <v>1807.4159021406726</v>
      </c>
      <c r="R31" s="18">
        <v>4.6153846153846151E-5</v>
      </c>
      <c r="S31" s="18">
        <v>4.6153846153846151E-5</v>
      </c>
      <c r="T31" s="18">
        <v>4.6153846153846151E-5</v>
      </c>
      <c r="U31" s="24" t="str">
        <f t="shared" si="29"/>
        <v/>
      </c>
      <c r="V31" s="24" t="str">
        <f t="shared" si="30"/>
        <v/>
      </c>
      <c r="W31" s="102" t="str">
        <f t="shared" si="23"/>
        <v/>
      </c>
      <c r="X31" s="20" t="str">
        <f t="shared" si="31"/>
        <v/>
      </c>
      <c r="Y31" s="20" t="str">
        <f t="shared" si="32"/>
        <v/>
      </c>
      <c r="Z31" s="27"/>
      <c r="AJ31" s="212"/>
    </row>
    <row r="32" spans="1:36" ht="14.4" customHeight="1" x14ac:dyDescent="0.3">
      <c r="A32" s="221" t="s">
        <v>141</v>
      </c>
      <c r="B32" s="222"/>
      <c r="C32" s="223"/>
      <c r="D32" s="10" t="str">
        <f>IF(COUNT(D22,D21,D17)&lt;3,"",H55)</f>
        <v/>
      </c>
      <c r="E32" s="13" t="s">
        <v>19</v>
      </c>
      <c r="F32" s="27"/>
      <c r="G32" s="238" t="s">
        <v>127</v>
      </c>
      <c r="H32" s="238"/>
      <c r="I32" s="238"/>
      <c r="J32" s="238"/>
      <c r="K32" s="238"/>
      <c r="L32" s="27"/>
      <c r="Z32" s="27"/>
      <c r="AA32" s="27"/>
      <c r="AB32" s="27"/>
      <c r="AC32" s="27"/>
      <c r="AD32" s="27"/>
      <c r="AE32" s="27"/>
      <c r="AF32" s="27"/>
      <c r="AG32" s="27"/>
      <c r="AH32" s="27"/>
      <c r="AJ32" s="212"/>
    </row>
    <row r="33" spans="1:38" ht="14.4" customHeight="1" x14ac:dyDescent="0.3">
      <c r="A33" s="239" t="s">
        <v>210</v>
      </c>
      <c r="B33" s="240"/>
      <c r="C33" s="241"/>
      <c r="D33" s="182" t="str">
        <f>IF(D26="","",D26-D13)</f>
        <v/>
      </c>
      <c r="E33" s="183" t="s">
        <v>23</v>
      </c>
      <c r="F33" s="27"/>
      <c r="G33" s="237" t="s">
        <v>76</v>
      </c>
      <c r="H33" s="237"/>
      <c r="I33" s="107" t="s">
        <v>47</v>
      </c>
      <c r="J33" s="108" t="str">
        <f>IF(D22="","",IF(C$7="","",VLOOKUP(C$7,M$4:T$61,8,FALSE)))</f>
        <v/>
      </c>
      <c r="K33" s="109" t="s">
        <v>87</v>
      </c>
      <c r="L33" s="27"/>
      <c r="O33" s="5" t="s">
        <v>2</v>
      </c>
      <c r="P33" s="208" t="s">
        <v>190</v>
      </c>
      <c r="Q33" s="210"/>
      <c r="R33" s="208" t="s">
        <v>191</v>
      </c>
      <c r="S33" s="209"/>
      <c r="T33" s="210"/>
      <c r="U33" s="208" t="s">
        <v>236</v>
      </c>
      <c r="V33" s="209"/>
      <c r="W33" s="209"/>
      <c r="X33" s="209"/>
      <c r="Y33" s="210"/>
      <c r="Z33" s="27"/>
      <c r="AA33" s="1" t="s">
        <v>192</v>
      </c>
      <c r="AC33" s="1">
        <f>AC42</f>
        <v>0</v>
      </c>
      <c r="AE33" s="1">
        <f t="shared" ref="AE33:AG33" si="33">AE42</f>
        <v>0</v>
      </c>
      <c r="AG33" s="1">
        <f t="shared" si="33"/>
        <v>0</v>
      </c>
      <c r="AH33" s="27"/>
      <c r="AJ33" s="212"/>
    </row>
    <row r="34" spans="1:38" ht="14.4" customHeight="1" x14ac:dyDescent="0.3">
      <c r="A34" s="218" t="str">
        <f>IF($C$6="","",HLOOKUP(C6,O92:R95,VLOOKUP(C5,O93:S95,5,FALSE),FALSE))</f>
        <v/>
      </c>
      <c r="B34" s="219"/>
      <c r="C34" s="219"/>
      <c r="D34" s="219"/>
      <c r="E34" s="220"/>
      <c r="F34" s="27"/>
      <c r="G34" s="237" t="s">
        <v>73</v>
      </c>
      <c r="H34" s="237"/>
      <c r="I34" s="110" t="s">
        <v>77</v>
      </c>
      <c r="J34" s="115" t="str">
        <f>IF(J33="","",VLOOKUP(C$7,O3:AG61,19,FALSE))</f>
        <v/>
      </c>
      <c r="K34" s="109" t="s">
        <v>23</v>
      </c>
      <c r="L34" s="67"/>
      <c r="O34" s="36" t="s">
        <v>17</v>
      </c>
      <c r="P34" s="36" t="s">
        <v>81</v>
      </c>
      <c r="Q34" s="36" t="s">
        <v>82</v>
      </c>
      <c r="R34" s="36" t="s">
        <v>80</v>
      </c>
      <c r="S34" s="36" t="s">
        <v>83</v>
      </c>
      <c r="T34" s="36" t="s">
        <v>84</v>
      </c>
      <c r="U34" s="37" t="s">
        <v>111</v>
      </c>
      <c r="V34" s="37" t="s">
        <v>112</v>
      </c>
      <c r="W34" s="37" t="s">
        <v>113</v>
      </c>
      <c r="X34" s="13" t="s">
        <v>132</v>
      </c>
      <c r="Y34" s="13" t="s">
        <v>133</v>
      </c>
      <c r="Z34" s="27"/>
      <c r="AA34" s="85" t="s">
        <v>189</v>
      </c>
      <c r="AB34" s="85" t="s">
        <v>80</v>
      </c>
      <c r="AC34" s="85" t="s">
        <v>193</v>
      </c>
      <c r="AD34" s="85" t="s">
        <v>83</v>
      </c>
      <c r="AE34" s="85" t="s">
        <v>193</v>
      </c>
      <c r="AF34" s="85" t="s">
        <v>84</v>
      </c>
      <c r="AG34" s="85" t="s">
        <v>193</v>
      </c>
      <c r="AH34" s="27"/>
      <c r="AJ34" s="212"/>
    </row>
    <row r="35" spans="1:38" ht="14.4" customHeight="1" x14ac:dyDescent="0.3">
      <c r="A35" s="218" t="str">
        <f>IF(COUNT(D22,D21,D17)&lt;3,"",IF(VLOOKUP($C$7,$O$79:$T$83,6,FALSE)=0,"","**CHECK MAXIMUM INTERFERENCE AGAINST MAXIMUM ALLOWABLE**"))</f>
        <v/>
      </c>
      <c r="B35" s="219"/>
      <c r="C35" s="219"/>
      <c r="D35" s="219"/>
      <c r="E35" s="220"/>
      <c r="F35" s="27"/>
      <c r="G35" s="238" t="s">
        <v>128</v>
      </c>
      <c r="H35" s="238"/>
      <c r="I35" s="238"/>
      <c r="J35" s="238"/>
      <c r="K35" s="238"/>
      <c r="L35" s="67"/>
      <c r="M35" s="1" t="str">
        <f>IF(C$7=$O$33,IF(D$22=75,C$7,""),"")</f>
        <v/>
      </c>
      <c r="N35" s="1" t="str">
        <f>IF(C$7=$O$33,C$7,"")</f>
        <v/>
      </c>
      <c r="O35" s="13">
        <v>75</v>
      </c>
      <c r="P35" s="13">
        <v>18000000</v>
      </c>
      <c r="Q35" s="4">
        <v>197000</v>
      </c>
      <c r="R35" s="18">
        <v>-1.9300000000000002E-6</v>
      </c>
      <c r="S35" s="18">
        <v>1.68E-6</v>
      </c>
      <c r="T35" s="18">
        <v>2.5999999999999998E-5</v>
      </c>
      <c r="U35" s="24" t="str">
        <f t="shared" ref="U35:U41" si="34">IF(M35=O$33,IF(D$22&gt;525,"Check Temperature",J$14+J$36-J$28),"")</f>
        <v/>
      </c>
      <c r="V35" s="24" t="str">
        <f t="shared" ref="V35:V41" si="35">IF(M35=O$33,IF(D$22&gt;525,"Check Temp Range",D$13+J$37+J$9+J$28-J$21-J$15),"")</f>
        <v/>
      </c>
      <c r="W35" s="102" t="str">
        <f>IF(M35=O$33,IF(D$22&gt;525,"Check Temp Range",IF(D$22&gt;300,D$20-$AG$42,D$20)),"")</f>
        <v/>
      </c>
      <c r="X35" s="20" t="str">
        <f>IF(U35="","",IF(U35&lt;3,0.002,IF(U35&lt;6,0.003,IF(U35&lt;12,0.004,"Check"))))</f>
        <v/>
      </c>
      <c r="Y35" s="20" t="str">
        <f>IF(V35="","",IF(V35&lt;3,0.002,IF(V35&lt;6,0.003,IF(V35&lt;12,0.004,"Check"))))</f>
        <v/>
      </c>
      <c r="Z35" s="27"/>
      <c r="AA35" s="85">
        <v>75</v>
      </c>
      <c r="AB35" s="18">
        <v>-1.9300000000000002E-6</v>
      </c>
      <c r="AC35" s="147">
        <f>IF(AA35&gt;D$22,0,IF(D$22&gt;AA36,(AA36-AA35)*D$13*AB36,(D$22-AA35)*AB36*D$13))</f>
        <v>0</v>
      </c>
      <c r="AD35" s="18">
        <v>1.68E-6</v>
      </c>
      <c r="AE35" s="5">
        <f>IF(AA35&gt;D$22,0,IF(D$22&gt;AA36,(AA36-AA35)*D$17*AD36,(D$22-AA35)*AD36*D$17))</f>
        <v>0</v>
      </c>
      <c r="AF35" s="18">
        <v>2.5999999999999998E-5</v>
      </c>
      <c r="AG35" s="147">
        <f>IF(AA35&gt;D$22,0,IF(D$22&gt;AA36,(AA36-AA35)*D$20*AF36,(D$22-AA35)*AF36*D$20))</f>
        <v>0</v>
      </c>
      <c r="AH35" s="27"/>
      <c r="AJ35" s="212"/>
      <c r="AK35" s="92"/>
    </row>
    <row r="36" spans="1:38" ht="14.4" customHeight="1" x14ac:dyDescent="0.3">
      <c r="A36" s="218" t="str">
        <f>IF(COUNT(D22,D21,D17)&lt;3,"",IF(VLOOKUP($C$7,$O$79:$U$83,7,FALSE)=0,"","**CHECK MINIMUM INTERFERENCE AGAINST MINIMUM ALLOWABLE**"))</f>
        <v/>
      </c>
      <c r="B36" s="219"/>
      <c r="C36" s="219"/>
      <c r="D36" s="219"/>
      <c r="E36" s="220"/>
      <c r="F36" s="27"/>
      <c r="G36" s="228" t="s">
        <v>4</v>
      </c>
      <c r="H36" s="228"/>
      <c r="I36" s="12" t="s">
        <v>18</v>
      </c>
      <c r="J36" s="19" t="str">
        <f>IF(C$7="","",VLOOKUP(C$7,O$79:S$84,2,FALSE))</f>
        <v/>
      </c>
      <c r="K36" s="5" t="s">
        <v>23</v>
      </c>
      <c r="L36" s="67"/>
      <c r="M36" s="1" t="str">
        <f t="shared" ref="M36:M41" si="36">IF(C$7=$O$33,IF($O35&lt;D$22,IF(D$22&lt;=$O36,C$7,""),""),"")</f>
        <v/>
      </c>
      <c r="O36" s="13">
        <v>200</v>
      </c>
      <c r="P36" s="13">
        <v>18000000</v>
      </c>
      <c r="Q36" s="4">
        <v>179438.68501529054</v>
      </c>
      <c r="R36" s="18">
        <v>-1.9300000000000002E-6</v>
      </c>
      <c r="S36" s="18">
        <v>1.68E-6</v>
      </c>
      <c r="T36" s="18">
        <v>2.5999999999999998E-5</v>
      </c>
      <c r="U36" s="24" t="str">
        <f t="shared" si="34"/>
        <v/>
      </c>
      <c r="V36" s="24" t="str">
        <f t="shared" si="35"/>
        <v/>
      </c>
      <c r="W36" s="102" t="str">
        <f t="shared" ref="W36:W41" si="37">IF(M36=O$33,IF(D$22&gt;525,"Check Temp Range",IF(D$22&gt;300,D$20-$AG$42,D$20)),"")</f>
        <v/>
      </c>
      <c r="X36" s="20" t="str">
        <f t="shared" ref="X36:X41" si="38">IF(U36="","",IF(U36&lt;3,0.002,IF(U36&lt;6,0.003,IF(U36&lt;12,0.004,"Check"))))</f>
        <v/>
      </c>
      <c r="Y36" s="20" t="str">
        <f t="shared" ref="Y36:Y41" si="39">IF(V36="","",IF(V36&lt;3,0.002,IF(V36&lt;6,0.003,IF(V36&lt;12,0.004,"Check"))))</f>
        <v/>
      </c>
      <c r="Z36" s="27"/>
      <c r="AA36" s="90">
        <v>289</v>
      </c>
      <c r="AB36" s="18">
        <v>-1.9300000000000002E-6</v>
      </c>
      <c r="AC36" s="154">
        <f>IF(AA36&gt;D$22,0,IF(D$22&gt;AA37,(AA37-AA36)*D$13*AB37,(D$22-AA36)*AB37*D$13))</f>
        <v>0</v>
      </c>
      <c r="AD36" s="18">
        <v>1.68E-6</v>
      </c>
      <c r="AE36" s="5">
        <f t="shared" ref="AE36" si="40">IF(AA36&gt;D$22,0,IF(D$22&gt;AA37,(AA37-AA36)*D$17*AD37,(D$22-AA36)*AD37*D$17))</f>
        <v>0</v>
      </c>
      <c r="AF36" s="18">
        <v>2.5999999999999998E-5</v>
      </c>
      <c r="AG36" s="147">
        <f t="shared" ref="AG36:AG37" si="41">IF(AA36&gt;D$22,0,IF(D$22&gt;AA37,(AA37-AA36)*D$20*AF37,(D$22-AA36)*AF37*D$20))</f>
        <v>0</v>
      </c>
      <c r="AH36" s="27"/>
      <c r="AJ36" s="212"/>
      <c r="AK36" s="92"/>
      <c r="AL36" s="92"/>
    </row>
    <row r="37" spans="1:38" ht="14.4" customHeight="1" x14ac:dyDescent="0.3">
      <c r="A37" s="242" t="str">
        <f>IF(COUNT(D22,D21,D17)&lt;3,"","If Estimating ID After Installation (No Finish Machining)")</f>
        <v/>
      </c>
      <c r="B37" s="242"/>
      <c r="C37" s="242"/>
      <c r="D37" s="22" t="str">
        <f>IF(COUNT(D22,D21,D17)&lt;3,"",(D25+VLOOKUP(C$7,M5:Y61,12,FALSE)-D16+D26))</f>
        <v/>
      </c>
      <c r="E37" s="5" t="str">
        <f>IF(COUNT(D22,D21,D17)&lt;3,"",E26)</f>
        <v/>
      </c>
      <c r="F37" s="27"/>
      <c r="G37" s="228" t="s">
        <v>5</v>
      </c>
      <c r="H37" s="228"/>
      <c r="I37" s="12" t="s">
        <v>45</v>
      </c>
      <c r="J37" s="25" t="str">
        <f>IF($C$7="","",IF(C10=R78,T88,HLOOKUP(C6,O87:R90,VLOOKUP(C5,O88:S90,5,FALSE),FALSE)))</f>
        <v/>
      </c>
      <c r="K37" s="5" t="s">
        <v>23</v>
      </c>
      <c r="L37" s="67"/>
      <c r="M37" s="1" t="str">
        <f t="shared" si="36"/>
        <v/>
      </c>
      <c r="O37" s="13">
        <v>250</v>
      </c>
      <c r="P37" s="13">
        <v>18000000</v>
      </c>
      <c r="Q37" s="4">
        <v>175311.92660550459</v>
      </c>
      <c r="R37" s="18">
        <v>-1.9300000000000002E-6</v>
      </c>
      <c r="S37" s="18">
        <v>1.68E-6</v>
      </c>
      <c r="T37" s="18">
        <v>2.5999999999999998E-5</v>
      </c>
      <c r="U37" s="24" t="str">
        <f t="shared" si="34"/>
        <v/>
      </c>
      <c r="V37" s="24" t="str">
        <f t="shared" si="35"/>
        <v/>
      </c>
      <c r="W37" s="102" t="str">
        <f t="shared" si="37"/>
        <v/>
      </c>
      <c r="X37" s="20" t="str">
        <f t="shared" si="38"/>
        <v/>
      </c>
      <c r="Y37" s="20" t="str">
        <f t="shared" si="39"/>
        <v/>
      </c>
      <c r="Z37" s="27"/>
      <c r="AA37" s="90">
        <v>550</v>
      </c>
      <c r="AB37" s="18">
        <v>-2.5299999999999999E-6</v>
      </c>
      <c r="AC37" s="154">
        <f>IF(AA37&gt;D$22,0,IF(D$22&gt;AA38,(AA38-AA37)*D$13*AB38,(D$22-AA37)*AB38*D$13))</f>
        <v>0</v>
      </c>
      <c r="AD37" s="18">
        <v>2.5000000000000002E-6</v>
      </c>
      <c r="AE37" s="5">
        <f>IF(AA37&gt;D$22,0,IF(D$22&gt;AA38,(AA38-AA37)*D$17*AD37,(D$22-AA37)*AD37*D$17))</f>
        <v>0</v>
      </c>
      <c r="AF37" s="18">
        <v>7.4999999999999993E-5</v>
      </c>
      <c r="AG37" s="147">
        <f t="shared" si="41"/>
        <v>0</v>
      </c>
      <c r="AH37" s="27"/>
      <c r="AJ37" s="212"/>
      <c r="AK37" s="92"/>
      <c r="AL37" s="92"/>
    </row>
    <row r="38" spans="1:38" ht="14.4" customHeight="1" x14ac:dyDescent="0.3">
      <c r="A38" s="218" t="str">
        <f>IF(ISNA(O98),"",IF(O99="YES","For Thermal Fitting, Heat Carrier to a Minimum","Thermal Fitting Temperature Exceeds Composite Temperature Limit"))</f>
        <v/>
      </c>
      <c r="B38" s="219"/>
      <c r="C38" s="220"/>
      <c r="D38" s="10" t="str">
        <f>IF(ISNA(O98),"",(TRUNC(O97)))</f>
        <v/>
      </c>
      <c r="E38" s="13" t="str">
        <f>IF(ISNA(O98),"","°F")</f>
        <v/>
      </c>
      <c r="F38" s="27"/>
      <c r="L38" s="27"/>
      <c r="M38" s="1" t="str">
        <f t="shared" si="36"/>
        <v/>
      </c>
      <c r="O38" s="13">
        <v>300</v>
      </c>
      <c r="P38" s="13">
        <v>18000000</v>
      </c>
      <c r="Q38" s="4">
        <v>136454.12844036697</v>
      </c>
      <c r="R38" s="18">
        <v>-2.5299999999999999E-6</v>
      </c>
      <c r="S38" s="18">
        <v>2.5000000000000002E-6</v>
      </c>
      <c r="T38" s="18">
        <v>7.4999999999999993E-5</v>
      </c>
      <c r="U38" s="24" t="str">
        <f t="shared" si="34"/>
        <v/>
      </c>
      <c r="V38" s="24" t="str">
        <f t="shared" si="35"/>
        <v/>
      </c>
      <c r="W38" s="102" t="str">
        <f t="shared" si="37"/>
        <v/>
      </c>
      <c r="X38" s="20" t="str">
        <f t="shared" si="38"/>
        <v/>
      </c>
      <c r="Y38" s="20" t="str">
        <f t="shared" si="39"/>
        <v/>
      </c>
      <c r="Z38" s="27"/>
      <c r="AA38" s="85">
        <v>600</v>
      </c>
      <c r="AB38" s="18"/>
      <c r="AC38" s="5"/>
      <c r="AD38" s="18"/>
      <c r="AE38" s="5"/>
      <c r="AF38" s="18"/>
      <c r="AG38" s="5"/>
      <c r="AH38" s="27"/>
      <c r="AJ38" s="212"/>
      <c r="AK38" s="92"/>
      <c r="AL38" s="92"/>
    </row>
    <row r="39" spans="1:38" ht="14.4" customHeight="1" x14ac:dyDescent="0.3">
      <c r="A39" s="227" t="s">
        <v>148</v>
      </c>
      <c r="B39" s="227"/>
      <c r="C39" s="227"/>
      <c r="D39" s="227"/>
      <c r="E39" s="227"/>
      <c r="F39" s="27"/>
      <c r="G39" s="41" t="s">
        <v>138</v>
      </c>
      <c r="H39" s="13" t="s">
        <v>60</v>
      </c>
      <c r="L39" s="27"/>
      <c r="M39" s="1" t="str">
        <f t="shared" si="36"/>
        <v/>
      </c>
      <c r="O39" s="13">
        <v>350</v>
      </c>
      <c r="P39" s="13">
        <v>18000000</v>
      </c>
      <c r="Q39" s="4">
        <v>26387.15596330275</v>
      </c>
      <c r="R39" s="18">
        <v>-2.5299999999999999E-6</v>
      </c>
      <c r="S39" s="18">
        <v>2.5000000000000002E-6</v>
      </c>
      <c r="T39" s="18">
        <v>7.4999999999999993E-5</v>
      </c>
      <c r="U39" s="24" t="str">
        <f t="shared" si="34"/>
        <v/>
      </c>
      <c r="V39" s="24" t="str">
        <f t="shared" si="35"/>
        <v/>
      </c>
      <c r="W39" s="102" t="str">
        <f t="shared" si="37"/>
        <v/>
      </c>
      <c r="X39" s="20" t="str">
        <f t="shared" si="38"/>
        <v/>
      </c>
      <c r="Y39" s="20" t="str">
        <f t="shared" si="39"/>
        <v/>
      </c>
      <c r="Z39" s="27"/>
      <c r="AA39" s="85"/>
      <c r="AB39" s="18"/>
      <c r="AC39" s="5"/>
      <c r="AD39" s="18"/>
      <c r="AE39" s="5"/>
      <c r="AF39" s="18"/>
      <c r="AG39" s="5"/>
      <c r="AH39" s="27"/>
      <c r="AJ39" s="212"/>
      <c r="AK39" s="92"/>
      <c r="AL39" s="92"/>
    </row>
    <row r="40" spans="1:38" ht="14.4" customHeight="1" x14ac:dyDescent="0.25">
      <c r="A40" s="224"/>
      <c r="B40" s="225"/>
      <c r="C40" s="225"/>
      <c r="D40" s="225"/>
      <c r="E40" s="226"/>
      <c r="F40" s="27"/>
      <c r="G40" s="3" t="s">
        <v>6</v>
      </c>
      <c r="H40" s="40" t="str">
        <f>$J14</f>
        <v/>
      </c>
      <c r="I40" s="194" t="s">
        <v>23</v>
      </c>
      <c r="J40" s="43"/>
      <c r="L40" s="27"/>
      <c r="M40" s="1" t="str">
        <f t="shared" si="36"/>
        <v/>
      </c>
      <c r="O40" s="13">
        <v>400</v>
      </c>
      <c r="P40" s="13">
        <v>18000000</v>
      </c>
      <c r="Q40" s="4">
        <v>22892.96636085627</v>
      </c>
      <c r="R40" s="18">
        <v>-2.5299999999999999E-6</v>
      </c>
      <c r="S40" s="18">
        <v>2.5000000000000002E-6</v>
      </c>
      <c r="T40" s="18">
        <v>7.4999999999999993E-5</v>
      </c>
      <c r="U40" s="24" t="str">
        <f t="shared" si="34"/>
        <v/>
      </c>
      <c r="V40" s="24" t="str">
        <f t="shared" si="35"/>
        <v/>
      </c>
      <c r="W40" s="102" t="str">
        <f t="shared" si="37"/>
        <v/>
      </c>
      <c r="X40" s="20" t="str">
        <f t="shared" si="38"/>
        <v/>
      </c>
      <c r="Y40" s="20" t="str">
        <f t="shared" si="39"/>
        <v/>
      </c>
      <c r="Z40" s="27"/>
      <c r="AA40" s="85"/>
      <c r="AB40" s="18"/>
      <c r="AC40" s="5"/>
      <c r="AD40" s="18"/>
      <c r="AE40" s="5"/>
      <c r="AF40" s="18"/>
      <c r="AG40" s="5"/>
      <c r="AH40" s="27"/>
      <c r="AJ40" s="212"/>
      <c r="AK40" s="92"/>
      <c r="AL40" s="92"/>
    </row>
    <row r="41" spans="1:38" x14ac:dyDescent="0.25">
      <c r="A41" s="214"/>
      <c r="B41" s="215"/>
      <c r="C41" s="215"/>
      <c r="D41" s="215"/>
      <c r="E41" s="216"/>
      <c r="F41" s="27"/>
      <c r="G41" s="3" t="s">
        <v>7</v>
      </c>
      <c r="H41" s="40" t="str">
        <f>$J8</f>
        <v/>
      </c>
      <c r="I41" s="194" t="s">
        <v>23</v>
      </c>
      <c r="L41" s="27"/>
      <c r="M41" s="1" t="str">
        <f t="shared" si="36"/>
        <v/>
      </c>
      <c r="O41" s="13">
        <v>500</v>
      </c>
      <c r="P41" s="13">
        <v>17000000</v>
      </c>
      <c r="Q41" s="4">
        <v>15151.529051987767</v>
      </c>
      <c r="R41" s="18">
        <v>-2.5299999999999999E-6</v>
      </c>
      <c r="S41" s="18">
        <v>2.5000000000000002E-6</v>
      </c>
      <c r="T41" s="18">
        <v>7.4999999999999993E-5</v>
      </c>
      <c r="U41" s="24" t="str">
        <f t="shared" si="34"/>
        <v/>
      </c>
      <c r="V41" s="24" t="str">
        <f t="shared" si="35"/>
        <v/>
      </c>
      <c r="W41" s="102" t="str">
        <f t="shared" si="37"/>
        <v/>
      </c>
      <c r="X41" s="20" t="str">
        <f t="shared" si="38"/>
        <v/>
      </c>
      <c r="Y41" s="20" t="str">
        <f t="shared" si="39"/>
        <v/>
      </c>
      <c r="Z41" s="27"/>
      <c r="AA41" s="85"/>
      <c r="AB41" s="18"/>
      <c r="AC41" s="5"/>
      <c r="AD41" s="18"/>
      <c r="AE41" s="5"/>
      <c r="AF41" s="18"/>
      <c r="AG41" s="5"/>
      <c r="AH41" s="27"/>
      <c r="AJ41" s="212"/>
      <c r="AK41" s="92"/>
      <c r="AL41" s="92"/>
    </row>
    <row r="42" spans="1:38" x14ac:dyDescent="0.25">
      <c r="A42" s="214"/>
      <c r="B42" s="215"/>
      <c r="C42" s="215"/>
      <c r="D42" s="215"/>
      <c r="E42" s="216"/>
      <c r="F42" s="27"/>
      <c r="G42" s="3" t="s">
        <v>8</v>
      </c>
      <c r="H42" s="2" t="e">
        <f>VLOOKUP($C$18,O$67:R$76,3,FALSE)</f>
        <v>#N/A</v>
      </c>
      <c r="I42" s="127" t="s">
        <v>226</v>
      </c>
      <c r="L42" s="27"/>
      <c r="Z42" s="27"/>
      <c r="AC42" s="1">
        <f>SUM(AC35:AC41)</f>
        <v>0</v>
      </c>
      <c r="AE42" s="1">
        <f>SUM(AE35:AE41)</f>
        <v>0</v>
      </c>
      <c r="AG42" s="1">
        <f>SUM(AG35:AG41)</f>
        <v>0</v>
      </c>
      <c r="AH42" s="27"/>
      <c r="AJ42" s="212"/>
      <c r="AK42" s="92"/>
      <c r="AL42" s="92"/>
    </row>
    <row r="43" spans="1:38" x14ac:dyDescent="0.25">
      <c r="A43" s="214"/>
      <c r="B43" s="215"/>
      <c r="C43" s="215"/>
      <c r="D43" s="215"/>
      <c r="E43" s="216"/>
      <c r="F43" s="27"/>
      <c r="G43" s="3" t="s">
        <v>9</v>
      </c>
      <c r="H43" s="44" t="e">
        <f>VLOOKUP($C$7,M$4:T$61,4,FALSE)</f>
        <v>#N/A</v>
      </c>
      <c r="I43" s="127" t="s">
        <v>226</v>
      </c>
      <c r="L43" s="27"/>
      <c r="O43" s="5" t="s">
        <v>3</v>
      </c>
      <c r="P43" s="208" t="s">
        <v>190</v>
      </c>
      <c r="Q43" s="210"/>
      <c r="R43" s="208" t="s">
        <v>191</v>
      </c>
      <c r="S43" s="209"/>
      <c r="T43" s="210"/>
      <c r="U43" s="208" t="s">
        <v>236</v>
      </c>
      <c r="V43" s="209"/>
      <c r="W43" s="209"/>
      <c r="X43" s="209"/>
      <c r="Y43" s="210"/>
      <c r="Z43" s="27"/>
      <c r="AA43" s="1" t="s">
        <v>194</v>
      </c>
      <c r="AC43" s="1">
        <f>AC52</f>
        <v>0</v>
      </c>
      <c r="AE43" s="1">
        <f t="shared" ref="AE43:AG43" si="42">AE52</f>
        <v>0</v>
      </c>
      <c r="AG43" s="1">
        <f t="shared" si="42"/>
        <v>0</v>
      </c>
      <c r="AH43" s="27"/>
      <c r="AJ43" s="212"/>
      <c r="AK43" s="92"/>
      <c r="AL43" s="92"/>
    </row>
    <row r="44" spans="1:38" x14ac:dyDescent="0.25">
      <c r="A44" s="214"/>
      <c r="B44" s="215"/>
      <c r="C44" s="215"/>
      <c r="D44" s="215"/>
      <c r="E44" s="216"/>
      <c r="F44" s="27"/>
      <c r="G44" s="3"/>
      <c r="H44" s="2"/>
      <c r="I44" s="114"/>
      <c r="L44" s="27"/>
      <c r="O44" s="36" t="s">
        <v>17</v>
      </c>
      <c r="P44" s="36" t="s">
        <v>81</v>
      </c>
      <c r="Q44" s="36" t="s">
        <v>82</v>
      </c>
      <c r="R44" s="36" t="s">
        <v>80</v>
      </c>
      <c r="S44" s="36" t="s">
        <v>83</v>
      </c>
      <c r="T44" s="36" t="s">
        <v>84</v>
      </c>
      <c r="U44" s="37" t="s">
        <v>111</v>
      </c>
      <c r="V44" s="37" t="s">
        <v>112</v>
      </c>
      <c r="W44" s="37" t="s">
        <v>113</v>
      </c>
      <c r="X44" s="13" t="s">
        <v>132</v>
      </c>
      <c r="Y44" s="13" t="s">
        <v>133</v>
      </c>
      <c r="Z44" s="27"/>
      <c r="AA44" s="85" t="s">
        <v>189</v>
      </c>
      <c r="AB44" s="85" t="s">
        <v>80</v>
      </c>
      <c r="AC44" s="85" t="s">
        <v>193</v>
      </c>
      <c r="AD44" s="85" t="s">
        <v>83</v>
      </c>
      <c r="AE44" s="85" t="s">
        <v>193</v>
      </c>
      <c r="AF44" s="85" t="s">
        <v>84</v>
      </c>
      <c r="AG44" s="85" t="s">
        <v>193</v>
      </c>
      <c r="AH44" s="27"/>
      <c r="AJ44" s="212"/>
      <c r="AK44" s="92"/>
    </row>
    <row r="45" spans="1:38" ht="16.2" x14ac:dyDescent="0.25">
      <c r="A45" s="214"/>
      <c r="B45" s="215"/>
      <c r="C45" s="215"/>
      <c r="D45" s="215"/>
      <c r="E45" s="216"/>
      <c r="F45" s="27"/>
      <c r="G45" s="3" t="s">
        <v>16</v>
      </c>
      <c r="H45" s="2" t="e">
        <f>(H40/2)^2</f>
        <v>#VALUE!</v>
      </c>
      <c r="I45" s="114" t="s">
        <v>227</v>
      </c>
      <c r="L45" s="27"/>
      <c r="M45" s="1" t="str">
        <f>IF(C$7=$O$43,IF(D$22=75,C$7,""),"")</f>
        <v/>
      </c>
      <c r="N45" s="1" t="str">
        <f>IF(C$7=$O$43,C$7,"")</f>
        <v/>
      </c>
      <c r="O45" s="13">
        <v>75</v>
      </c>
      <c r="P45" s="13">
        <v>2655000</v>
      </c>
      <c r="Q45" s="13">
        <v>6500</v>
      </c>
      <c r="R45" s="18">
        <v>3.9999999999999998E-6</v>
      </c>
      <c r="S45" s="18">
        <v>5.4999999999999999E-6</v>
      </c>
      <c r="T45" s="18">
        <v>4.6E-5</v>
      </c>
      <c r="U45" s="24" t="str">
        <f t="shared" ref="U45:U51" si="43">IF(M45=O$43,IF(D$22&gt;500,"Check Temperature",J$14+J$36-J$28),"")</f>
        <v/>
      </c>
      <c r="V45" s="24" t="str">
        <f t="shared" ref="V45:V51" si="44">IF(M45=O$43,IF(D$22&gt;500,"Check Temp Range",D$13+J$37+J$9+J$28-J$21-J$15),"")</f>
        <v/>
      </c>
      <c r="W45" s="102" t="str">
        <f>IF(M45=O$43,IF(D$22&gt;500,"Check Temp Range",IF(D$22&gt;300,D$20-$AG$52,D$20)),"")</f>
        <v/>
      </c>
      <c r="X45" s="20" t="str">
        <f>IF(U45="","",IF(U45&lt;3,0.002,IF(U45&lt;6,0.003,IF(U45&lt;12,0.004,"Check"))))</f>
        <v/>
      </c>
      <c r="Y45" s="20" t="str">
        <f>IF(V45="","",IF(V45&lt;3,0.002,IF(V45&lt;6,0.003,IF(V45&lt;12,0.004,"Check"))))</f>
        <v/>
      </c>
      <c r="Z45" s="27"/>
      <c r="AA45" s="85">
        <v>75</v>
      </c>
      <c r="AB45" s="18">
        <v>3.9999999999999998E-6</v>
      </c>
      <c r="AC45" s="154">
        <f>IF(AA45&gt;D$22,0,IF(D$22&gt;AA46,(AA46-AA45)*D$13*AB46,(D$22-AA45)*AB46*D$13))</f>
        <v>0</v>
      </c>
      <c r="AD45" s="18">
        <v>5.4999999999999999E-6</v>
      </c>
      <c r="AE45" s="5">
        <f>IF(AA45&gt;D$22,0,IF(D$22&gt;AA46,(AA46-AA45)*D$17*AD46,(D$22-AA45)*AD46*D$17))</f>
        <v>0</v>
      </c>
      <c r="AF45" s="18">
        <v>4.6E-5</v>
      </c>
      <c r="AG45" s="154">
        <f>IF(AA45&gt;D$22,0,IF(D$22&gt;AA46,(AA46-AA45)*D$20*AF46,(D$22-AA45)*AF46*D$20))</f>
        <v>0</v>
      </c>
      <c r="AH45" s="27"/>
      <c r="AJ45" s="212"/>
      <c r="AK45" s="92"/>
    </row>
    <row r="46" spans="1:38" x14ac:dyDescent="0.25">
      <c r="A46" s="214"/>
      <c r="B46" s="215"/>
      <c r="C46" s="215"/>
      <c r="D46" s="215"/>
      <c r="E46" s="216"/>
      <c r="F46" s="27"/>
      <c r="G46" s="3" t="s">
        <v>158</v>
      </c>
      <c r="H46" s="44" t="e">
        <f>H42*(H40-H41)/2</f>
        <v>#N/A</v>
      </c>
      <c r="I46" s="114" t="s">
        <v>228</v>
      </c>
      <c r="L46" s="27"/>
      <c r="M46" s="1" t="str">
        <f t="shared" ref="M46:M50" si="45">IF(C$7=$O$43,IF($O45&lt;D$22,IF(D$22&lt;=$O46,C$7,""),""),"")</f>
        <v/>
      </c>
      <c r="O46" s="13">
        <v>200</v>
      </c>
      <c r="P46" s="13">
        <v>2418000</v>
      </c>
      <c r="Q46" s="13">
        <v>5921</v>
      </c>
      <c r="R46" s="18">
        <v>3.9999999999999998E-6</v>
      </c>
      <c r="S46" s="18">
        <v>5.4999999999999999E-6</v>
      </c>
      <c r="T46" s="18">
        <v>4.6E-5</v>
      </c>
      <c r="U46" s="24" t="str">
        <f t="shared" si="43"/>
        <v/>
      </c>
      <c r="V46" s="24" t="str">
        <f t="shared" si="44"/>
        <v/>
      </c>
      <c r="W46" s="102" t="str">
        <f t="shared" ref="W46:W51" si="46">IF(M46=O$43,IF(D$22&gt;500,"Check Temp Range",IF(D$22&gt;300,D$20-$AG$52,D$20)),"")</f>
        <v/>
      </c>
      <c r="X46" s="20" t="str">
        <f t="shared" ref="X46:X51" si="47">IF(U46="","",IF(U46&lt;3,0.002,IF(U46&lt;6,0.003,IF(U46&lt;12,0.004,"Check"))))</f>
        <v/>
      </c>
      <c r="Y46" s="20" t="str">
        <f t="shared" ref="Y46:Y51" si="48">IF(V46="","",IF(V46&lt;3,0.002,IF(V46&lt;6,0.003,IF(V46&lt;12,0.004,"Check"))))</f>
        <v/>
      </c>
      <c r="Z46" s="27"/>
      <c r="AA46" s="91">
        <v>200</v>
      </c>
      <c r="AB46" s="59">
        <v>3.9999999999999998E-6</v>
      </c>
      <c r="AC46" s="154">
        <f t="shared" ref="AC46:AC50" si="49">IF(AA46&gt;D$22,0,IF(D$22&gt;AA47,(AA47-AA46)*D$13*AB47,(D$22-AA46)*AB47*D$13))</f>
        <v>0</v>
      </c>
      <c r="AD46" s="18">
        <v>5.4999999999999999E-6</v>
      </c>
      <c r="AE46" s="5">
        <f t="shared" ref="AE46:AE50" si="50">IF(AA46&gt;D$22,0,IF(D$22&gt;AA47,(AA47-AA46)*D$17*AD47,(D$22-AA46)*AD47*D$17))</f>
        <v>0</v>
      </c>
      <c r="AF46" s="59">
        <v>4.6E-5</v>
      </c>
      <c r="AG46" s="154">
        <f t="shared" ref="AG46:AG50" si="51">IF(AA46&gt;D$22,0,IF(D$22&gt;AA47,(AA47-AA46)*D$20*AF47,(D$22-AA46)*AF47*D$20))</f>
        <v>0</v>
      </c>
      <c r="AH46" s="27"/>
      <c r="AJ46" s="212"/>
      <c r="AK46" s="92"/>
      <c r="AL46" s="92"/>
    </row>
    <row r="47" spans="1:38" x14ac:dyDescent="0.25">
      <c r="A47" s="214"/>
      <c r="B47" s="215"/>
      <c r="C47" s="215"/>
      <c r="D47" s="215"/>
      <c r="E47" s="216"/>
      <c r="F47" s="27"/>
      <c r="G47" s="3" t="s">
        <v>159</v>
      </c>
      <c r="H47" s="44" t="e">
        <f>H43*(H40-H41)/2</f>
        <v>#N/A</v>
      </c>
      <c r="I47" s="114" t="s">
        <v>228</v>
      </c>
      <c r="L47" s="27"/>
      <c r="M47" s="1" t="str">
        <f t="shared" si="45"/>
        <v/>
      </c>
      <c r="O47" s="13">
        <v>250</v>
      </c>
      <c r="P47" s="13">
        <v>2362000</v>
      </c>
      <c r="Q47" s="13">
        <v>5921</v>
      </c>
      <c r="R47" s="18">
        <v>3.9999999999999998E-6</v>
      </c>
      <c r="S47" s="18">
        <v>6.7000000000000002E-6</v>
      </c>
      <c r="T47" s="18">
        <v>7.4999999999999993E-5</v>
      </c>
      <c r="U47" s="24" t="str">
        <f t="shared" si="43"/>
        <v/>
      </c>
      <c r="V47" s="24" t="str">
        <f t="shared" si="44"/>
        <v/>
      </c>
      <c r="W47" s="102" t="str">
        <f t="shared" si="46"/>
        <v/>
      </c>
      <c r="X47" s="20" t="str">
        <f t="shared" si="47"/>
        <v/>
      </c>
      <c r="Y47" s="20" t="str">
        <f t="shared" si="48"/>
        <v/>
      </c>
      <c r="Z47" s="27"/>
      <c r="AA47" s="85">
        <v>250</v>
      </c>
      <c r="AB47" s="18">
        <v>5.4999999999999999E-6</v>
      </c>
      <c r="AC47" s="154">
        <f t="shared" si="49"/>
        <v>0</v>
      </c>
      <c r="AD47" s="18">
        <v>6.7000000000000002E-6</v>
      </c>
      <c r="AE47" s="5">
        <f t="shared" si="50"/>
        <v>0</v>
      </c>
      <c r="AF47" s="18">
        <v>7.4999999999999993E-5</v>
      </c>
      <c r="AG47" s="154">
        <f t="shared" si="51"/>
        <v>0</v>
      </c>
      <c r="AH47" s="27"/>
      <c r="AJ47" s="212"/>
      <c r="AK47" s="92"/>
      <c r="AL47" s="92"/>
    </row>
    <row r="48" spans="1:38" ht="16.2" x14ac:dyDescent="0.25">
      <c r="A48" s="214"/>
      <c r="B48" s="215"/>
      <c r="C48" s="215"/>
      <c r="D48" s="215"/>
      <c r="E48" s="216"/>
      <c r="F48" s="27"/>
      <c r="G48" s="3" t="s">
        <v>160</v>
      </c>
      <c r="H48" s="48" t="e">
        <f>H45/H46</f>
        <v>#VALUE!</v>
      </c>
      <c r="I48" s="114" t="s">
        <v>229</v>
      </c>
      <c r="L48" s="27"/>
      <c r="M48" s="1" t="str">
        <f t="shared" si="45"/>
        <v/>
      </c>
      <c r="O48" s="13">
        <v>300</v>
      </c>
      <c r="P48" s="13">
        <v>1327000</v>
      </c>
      <c r="Q48" s="13">
        <v>3250</v>
      </c>
      <c r="R48" s="18">
        <v>5.4999999999999999E-6</v>
      </c>
      <c r="S48" s="18">
        <v>6.7000000000000002E-6</v>
      </c>
      <c r="T48" s="18">
        <v>1E-4</v>
      </c>
      <c r="U48" s="24" t="str">
        <f t="shared" si="43"/>
        <v/>
      </c>
      <c r="V48" s="24" t="str">
        <f t="shared" si="44"/>
        <v/>
      </c>
      <c r="W48" s="102" t="str">
        <f t="shared" si="46"/>
        <v/>
      </c>
      <c r="X48" s="20" t="str">
        <f t="shared" si="47"/>
        <v/>
      </c>
      <c r="Y48" s="20" t="str">
        <f t="shared" si="48"/>
        <v/>
      </c>
      <c r="Z48" s="27"/>
      <c r="AA48" s="85">
        <v>300</v>
      </c>
      <c r="AB48" s="18">
        <v>5.4999999999999999E-6</v>
      </c>
      <c r="AC48" s="154">
        <f t="shared" si="49"/>
        <v>0</v>
      </c>
      <c r="AD48" s="18">
        <v>6.7000000000000002E-6</v>
      </c>
      <c r="AE48" s="5">
        <f t="shared" si="50"/>
        <v>0</v>
      </c>
      <c r="AF48" s="18">
        <v>1E-4</v>
      </c>
      <c r="AG48" s="154">
        <f t="shared" si="51"/>
        <v>0</v>
      </c>
      <c r="AH48" s="27"/>
      <c r="AJ48" s="212"/>
      <c r="AK48" s="92"/>
      <c r="AL48" s="92"/>
    </row>
    <row r="49" spans="1:38" ht="16.2" x14ac:dyDescent="0.25">
      <c r="A49" s="214"/>
      <c r="B49" s="215"/>
      <c r="C49" s="215"/>
      <c r="D49" s="215"/>
      <c r="E49" s="216"/>
      <c r="F49" s="27"/>
      <c r="G49" s="3" t="s">
        <v>157</v>
      </c>
      <c r="H49" s="48" t="e">
        <f>H45/H47</f>
        <v>#VALUE!</v>
      </c>
      <c r="I49" s="114" t="s">
        <v>229</v>
      </c>
      <c r="L49" s="27"/>
      <c r="M49" s="1" t="str">
        <f t="shared" si="45"/>
        <v/>
      </c>
      <c r="O49" s="13">
        <v>350</v>
      </c>
      <c r="P49" s="13">
        <v>1062000</v>
      </c>
      <c r="Q49" s="13">
        <v>2600</v>
      </c>
      <c r="R49" s="18">
        <v>5.4999999999999999E-6</v>
      </c>
      <c r="S49" s="18">
        <v>7.9999999999999996E-6</v>
      </c>
      <c r="T49" s="18">
        <v>1.2E-4</v>
      </c>
      <c r="U49" s="24" t="str">
        <f t="shared" si="43"/>
        <v/>
      </c>
      <c r="V49" s="24" t="str">
        <f t="shared" si="44"/>
        <v/>
      </c>
      <c r="W49" s="102" t="str">
        <f t="shared" si="46"/>
        <v/>
      </c>
      <c r="X49" s="20" t="str">
        <f t="shared" si="47"/>
        <v/>
      </c>
      <c r="Y49" s="20" t="str">
        <f t="shared" si="48"/>
        <v/>
      </c>
      <c r="Z49" s="27"/>
      <c r="AA49" s="85">
        <v>350</v>
      </c>
      <c r="AB49" s="18">
        <v>6.9999999999999999E-6</v>
      </c>
      <c r="AC49" s="154">
        <f t="shared" si="49"/>
        <v>0</v>
      </c>
      <c r="AD49" s="18">
        <v>7.9999999999999996E-6</v>
      </c>
      <c r="AE49" s="5">
        <f t="shared" si="50"/>
        <v>0</v>
      </c>
      <c r="AF49" s="18">
        <v>1.2999999999999999E-4</v>
      </c>
      <c r="AG49" s="154">
        <f t="shared" si="51"/>
        <v>0</v>
      </c>
      <c r="AH49" s="27"/>
      <c r="AJ49" s="212"/>
      <c r="AK49" s="92"/>
      <c r="AL49" s="92"/>
    </row>
    <row r="50" spans="1:38" x14ac:dyDescent="0.3">
      <c r="A50" s="214"/>
      <c r="B50" s="215"/>
      <c r="C50" s="215"/>
      <c r="D50" s="215"/>
      <c r="E50" s="216"/>
      <c r="F50" s="27"/>
      <c r="G50" s="6" t="s">
        <v>11</v>
      </c>
      <c r="H50" s="42" t="e">
        <f>(D25+J28-J14)/2</f>
        <v>#VALUE!</v>
      </c>
      <c r="I50" s="114" t="s">
        <v>23</v>
      </c>
      <c r="L50" s="27"/>
      <c r="M50" s="1" t="str">
        <f t="shared" si="45"/>
        <v/>
      </c>
      <c r="O50" s="13">
        <v>400</v>
      </c>
      <c r="P50" s="13">
        <v>796000</v>
      </c>
      <c r="Q50" s="13">
        <v>1950</v>
      </c>
      <c r="R50" s="18">
        <v>6.9999999999999999E-6</v>
      </c>
      <c r="S50" s="18">
        <v>7.9999999999999996E-6</v>
      </c>
      <c r="T50" s="18">
        <v>1.2999999999999999E-4</v>
      </c>
      <c r="U50" s="24" t="str">
        <f t="shared" si="43"/>
        <v/>
      </c>
      <c r="V50" s="24" t="str">
        <f t="shared" si="44"/>
        <v/>
      </c>
      <c r="W50" s="102" t="str">
        <f t="shared" si="46"/>
        <v/>
      </c>
      <c r="X50" s="20" t="str">
        <f t="shared" si="47"/>
        <v/>
      </c>
      <c r="Y50" s="20" t="str">
        <f t="shared" si="48"/>
        <v/>
      </c>
      <c r="Z50" s="27"/>
      <c r="AA50" s="85">
        <v>400</v>
      </c>
      <c r="AB50" s="18">
        <v>9.0000000000000002E-6</v>
      </c>
      <c r="AC50" s="154">
        <f t="shared" si="49"/>
        <v>0</v>
      </c>
      <c r="AD50" s="18">
        <v>7.9999999999999996E-6</v>
      </c>
      <c r="AE50" s="5">
        <f t="shared" si="50"/>
        <v>0</v>
      </c>
      <c r="AF50" s="18">
        <v>1.7000000000000001E-4</v>
      </c>
      <c r="AG50" s="154">
        <f t="shared" si="51"/>
        <v>0</v>
      </c>
      <c r="AH50" s="27"/>
      <c r="AJ50" s="212"/>
      <c r="AK50" s="92"/>
      <c r="AL50" s="92"/>
    </row>
    <row r="51" spans="1:38" x14ac:dyDescent="0.3">
      <c r="A51" s="214"/>
      <c r="B51" s="215"/>
      <c r="C51" s="215"/>
      <c r="D51" s="215"/>
      <c r="E51" s="216"/>
      <c r="F51" s="27"/>
      <c r="G51" s="6" t="s">
        <v>14</v>
      </c>
      <c r="H51" s="42" t="e">
        <f>$J$37/2</f>
        <v>#VALUE!</v>
      </c>
      <c r="I51" s="114" t="s">
        <v>23</v>
      </c>
      <c r="L51" s="27"/>
      <c r="M51" s="1" t="str">
        <f>IF(C$7=$O$43,IF($O50&lt;D$22,IF(D$22&lt;=$O51,C$7,""),""),"")</f>
        <v/>
      </c>
      <c r="O51" s="13">
        <v>500</v>
      </c>
      <c r="P51" s="13">
        <v>667000</v>
      </c>
      <c r="Q51" s="13">
        <v>1665</v>
      </c>
      <c r="R51" s="18">
        <v>9.0000000000000002E-6</v>
      </c>
      <c r="S51" s="18">
        <v>1.0200000000000001E-5</v>
      </c>
      <c r="T51" s="18">
        <v>1.7000000000000001E-4</v>
      </c>
      <c r="U51" s="24" t="str">
        <f t="shared" si="43"/>
        <v/>
      </c>
      <c r="V51" s="24" t="str">
        <f t="shared" si="44"/>
        <v/>
      </c>
      <c r="W51" s="102" t="str">
        <f t="shared" si="46"/>
        <v/>
      </c>
      <c r="X51" s="20" t="str">
        <f t="shared" si="47"/>
        <v/>
      </c>
      <c r="Y51" s="20" t="str">
        <f t="shared" si="48"/>
        <v/>
      </c>
      <c r="Z51" s="27"/>
      <c r="AA51" s="85">
        <v>500</v>
      </c>
      <c r="AB51" s="18">
        <v>9.0000000000000002E-6</v>
      </c>
      <c r="AC51" s="154">
        <f>IF(AA51&gt;D$22,0,IF(D$22&gt;AA52,(AA52-AA51)*D$13*AB51,(D$22-AA51)*AB51*D$13))</f>
        <v>0</v>
      </c>
      <c r="AD51" s="18">
        <v>1.0200000000000001E-5</v>
      </c>
      <c r="AE51" s="5">
        <f>IF(AA51&gt;D$22,0,IF(D$22&gt;AA52,(AA52-AA51)*D$17*AD51,(D$22-AA51)*AD51*D$17))</f>
        <v>0</v>
      </c>
      <c r="AF51" s="18">
        <v>1.7000000000000001E-4</v>
      </c>
      <c r="AG51" s="154">
        <f>IF(AA51&gt;D$22,0,IF(D$22&gt;AA52,(AA52-AA51)*D$20*AF51,(D$22-AA51)*AF51*D$20))</f>
        <v>0</v>
      </c>
      <c r="AH51" s="27"/>
      <c r="AJ51" s="212"/>
      <c r="AK51" s="92"/>
      <c r="AL51" s="92"/>
    </row>
    <row r="52" spans="1:38" x14ac:dyDescent="0.25">
      <c r="A52" s="214"/>
      <c r="B52" s="215"/>
      <c r="C52" s="215"/>
      <c r="D52" s="215"/>
      <c r="E52" s="216"/>
      <c r="F52" s="27"/>
      <c r="G52" s="3" t="s">
        <v>12</v>
      </c>
      <c r="H52" s="39" t="e">
        <f>H50/(H48+H49)</f>
        <v>#VALUE!</v>
      </c>
      <c r="I52" s="127" t="s">
        <v>226</v>
      </c>
      <c r="J52" s="35"/>
      <c r="K52" s="35"/>
      <c r="L52" s="26"/>
      <c r="Z52" s="27"/>
      <c r="AA52" s="1">
        <v>550</v>
      </c>
      <c r="AC52" s="1">
        <f>SUM(AC45:AC51)</f>
        <v>0</v>
      </c>
      <c r="AE52" s="1">
        <f>SUM(AE45:AE50)</f>
        <v>0</v>
      </c>
      <c r="AG52" s="1">
        <f>SUM(AG45:AG51)</f>
        <v>0</v>
      </c>
      <c r="AH52" s="27"/>
      <c r="AJ52" s="212"/>
      <c r="AK52" s="92"/>
      <c r="AL52" s="92"/>
    </row>
    <row r="53" spans="1:38" x14ac:dyDescent="0.25">
      <c r="A53" s="214"/>
      <c r="B53" s="215"/>
      <c r="C53" s="215"/>
      <c r="D53" s="215"/>
      <c r="E53" s="216"/>
      <c r="F53" s="27"/>
      <c r="G53" s="3" t="s">
        <v>13</v>
      </c>
      <c r="H53" s="39" t="e">
        <f>H51/(H40^2/(H40^2-H41^2))*(H43/H41)</f>
        <v>#VALUE!</v>
      </c>
      <c r="I53" s="127" t="s">
        <v>226</v>
      </c>
      <c r="L53" s="27"/>
      <c r="O53" s="5" t="s">
        <v>199</v>
      </c>
      <c r="P53" s="208" t="s">
        <v>190</v>
      </c>
      <c r="Q53" s="210"/>
      <c r="R53" s="208" t="s">
        <v>191</v>
      </c>
      <c r="S53" s="209"/>
      <c r="T53" s="210"/>
      <c r="U53" s="208" t="s">
        <v>236</v>
      </c>
      <c r="V53" s="209"/>
      <c r="W53" s="209"/>
      <c r="X53" s="209"/>
      <c r="Y53" s="210"/>
      <c r="Z53" s="27"/>
      <c r="AA53" s="1" t="s">
        <v>200</v>
      </c>
      <c r="AC53" s="1">
        <f>AC62</f>
        <v>0</v>
      </c>
      <c r="AE53" s="1">
        <f t="shared" ref="AE53:AG53" si="52">AE62</f>
        <v>0</v>
      </c>
      <c r="AG53" s="1">
        <f t="shared" si="52"/>
        <v>0</v>
      </c>
      <c r="AH53" s="27"/>
      <c r="AJ53" s="212"/>
      <c r="AK53" s="92"/>
      <c r="AL53" s="92"/>
    </row>
    <row r="54" spans="1:38" x14ac:dyDescent="0.25">
      <c r="A54" s="214"/>
      <c r="B54" s="215"/>
      <c r="C54" s="215"/>
      <c r="D54" s="215"/>
      <c r="E54" s="216"/>
      <c r="F54" s="27"/>
      <c r="G54" s="6" t="s">
        <v>10</v>
      </c>
      <c r="H54" s="39" t="e">
        <f>(H41)/(H40-H41)</f>
        <v>#VALUE!</v>
      </c>
      <c r="I54" s="114" t="s">
        <v>225</v>
      </c>
      <c r="L54" s="27"/>
      <c r="O54" s="96" t="s">
        <v>17</v>
      </c>
      <c r="P54" s="96" t="s">
        <v>81</v>
      </c>
      <c r="Q54" s="96" t="s">
        <v>82</v>
      </c>
      <c r="R54" s="96" t="s">
        <v>80</v>
      </c>
      <c r="S54" s="96" t="s">
        <v>83</v>
      </c>
      <c r="T54" s="96" t="s">
        <v>84</v>
      </c>
      <c r="U54" s="37" t="s">
        <v>111</v>
      </c>
      <c r="V54" s="37" t="s">
        <v>112</v>
      </c>
      <c r="W54" s="37" t="s">
        <v>113</v>
      </c>
      <c r="X54" s="95" t="s">
        <v>132</v>
      </c>
      <c r="Y54" s="95" t="s">
        <v>133</v>
      </c>
      <c r="Z54" s="27"/>
      <c r="AA54" s="95" t="s">
        <v>189</v>
      </c>
      <c r="AB54" s="95" t="s">
        <v>80</v>
      </c>
      <c r="AC54" s="95" t="s">
        <v>193</v>
      </c>
      <c r="AD54" s="95" t="s">
        <v>83</v>
      </c>
      <c r="AE54" s="95" t="s">
        <v>193</v>
      </c>
      <c r="AF54" s="95" t="s">
        <v>84</v>
      </c>
      <c r="AG54" s="95" t="s">
        <v>193</v>
      </c>
      <c r="AH54" s="1" t="s">
        <v>201</v>
      </c>
      <c r="AI54" s="101" t="s">
        <v>193</v>
      </c>
      <c r="AJ54" s="212"/>
      <c r="AK54" s="92"/>
    </row>
    <row r="55" spans="1:38" x14ac:dyDescent="0.3">
      <c r="A55" s="214"/>
      <c r="B55" s="215"/>
      <c r="C55" s="215"/>
      <c r="D55" s="215"/>
      <c r="E55" s="216"/>
      <c r="F55" s="26"/>
      <c r="G55" s="6" t="s">
        <v>15</v>
      </c>
      <c r="H55" s="9" t="e">
        <f>H52+H53</f>
        <v>#VALUE!</v>
      </c>
      <c r="I55" s="127" t="s">
        <v>226</v>
      </c>
      <c r="L55" s="27"/>
      <c r="M55" s="1" t="str">
        <f>IF(C$7=$O$53,IF(D$22=75,C$7,""),"")</f>
        <v/>
      </c>
      <c r="N55" s="1" t="str">
        <f>IF(C$7=$O$53,C$7,"")</f>
        <v/>
      </c>
      <c r="O55" s="95">
        <v>75</v>
      </c>
      <c r="P55" s="95">
        <v>1710000</v>
      </c>
      <c r="Q55" s="7">
        <f>-23.375*O55+11953.125</f>
        <v>10200</v>
      </c>
      <c r="R55" s="121"/>
      <c r="S55" s="18">
        <v>3.8835343603109317E-6</v>
      </c>
      <c r="T55" s="18">
        <v>9.8552851085962489E-5</v>
      </c>
      <c r="U55" s="141" t="str">
        <f>IF(M55=O$53,IF(D$22&gt;500,"Check Temperature",J$14+J$36-J$28),"")</f>
        <v/>
      </c>
      <c r="V55" s="24" t="str">
        <f>IF(M55=O$53,IF(D$22&gt;500,"Check Temp Range",D$13+J$37+J$9+J$28-J$21-J$15),"")</f>
        <v/>
      </c>
      <c r="W55" s="143" t="str">
        <f>IF(M55=O$53,IF(D$22&gt;500,"Check Temp Range",IF(D$22&gt;150,D$20-$AG$62,D$20)),"")</f>
        <v/>
      </c>
      <c r="X55" s="20" t="str">
        <f>IF(U55="","",IF(U55&lt;3,0.002,IF(U55&lt;6,0.003,IF(U55&lt;12,0.004,"Check"))))</f>
        <v/>
      </c>
      <c r="Y55" s="20" t="str">
        <f>IF(V55="","",IF(V55&lt;3,0.002,IF(V55&lt;6,0.003,IF(V55&lt;12,0.004,"Check"))))</f>
        <v/>
      </c>
      <c r="Z55" s="27"/>
      <c r="AA55" s="95">
        <v>75</v>
      </c>
      <c r="AB55" s="111"/>
      <c r="AC55" s="112">
        <f>AE55-2*AI55</f>
        <v>0</v>
      </c>
      <c r="AD55" s="18">
        <v>3.8835343603109317E-6</v>
      </c>
      <c r="AE55" s="5">
        <f>IF(AA55&gt;D$22,0,IF(D$22&gt;AA56,(AA56-AA55)*D$17*AD56,(D$22-AA55)*AD56*D$17))</f>
        <v>0</v>
      </c>
      <c r="AF55" s="18">
        <v>9.8552851085962489E-5</v>
      </c>
      <c r="AG55" s="155">
        <f>IF(AA55&gt;D$22,0,IF(D$22&gt;AA56,(AA56-AA55)*D$20*AF56,(D$22-AA55)*AF56*D$20))</f>
        <v>0</v>
      </c>
      <c r="AH55" s="114">
        <v>2.3484546993598512E-5</v>
      </c>
      <c r="AI55" s="197">
        <f>IF(AA55&gt;D$22,0,IF(D$22&gt;AA56,(AA56-AA55)*(D$17-D$13)/2*AH56,(D$22-AA55)*AH56*(D$17-D$13)/2))</f>
        <v>0</v>
      </c>
      <c r="AJ55" s="212"/>
    </row>
    <row r="56" spans="1:38" x14ac:dyDescent="0.3">
      <c r="A56" s="214"/>
      <c r="B56" s="215"/>
      <c r="C56" s="215"/>
      <c r="D56" s="215"/>
      <c r="E56" s="216"/>
      <c r="F56" s="27"/>
      <c r="G56" s="27"/>
      <c r="H56" s="27"/>
      <c r="I56" s="27"/>
      <c r="J56" s="27"/>
      <c r="K56" s="27"/>
      <c r="L56" s="27"/>
      <c r="M56" s="1" t="str">
        <f>IF(C$7=$O$53,IF($O55&lt;D$22,IF(D$22&lt;=$O56,C$7,""),""),"")</f>
        <v/>
      </c>
      <c r="O56" s="95">
        <v>200</v>
      </c>
      <c r="P56" s="95">
        <v>1319227.5</v>
      </c>
      <c r="Q56" s="7">
        <f t="shared" ref="Q56:Q61" si="53">-23.375*O56+11953.125</f>
        <v>7278.125</v>
      </c>
      <c r="R56" s="121"/>
      <c r="S56" s="18">
        <v>3.0600452656607222E-6</v>
      </c>
      <c r="T56" s="18">
        <v>1.2141773277320519E-4</v>
      </c>
      <c r="U56" s="141" t="str">
        <f t="shared" ref="U56:U60" si="54">IF(M56=O$53,IF(D$22&gt;500,"Check Temperature",J$14+J$36-J$28),"")</f>
        <v/>
      </c>
      <c r="V56" s="24" t="str">
        <f t="shared" ref="V56:V61" si="55">IF(M56=O$53,IF(D$22&gt;500,"Check Temp Range",D$13+J$37+J$9+J$28-J$21-J$15),"")</f>
        <v/>
      </c>
      <c r="W56" s="143" t="str">
        <f t="shared" ref="W56:W61" si="56">IF(M56=O$53,IF(D$22&gt;500,"Check Temp Range",IF(D$22&gt;150,D$20-$AG$62,D$20)),"")</f>
        <v/>
      </c>
      <c r="X56" s="20" t="str">
        <f t="shared" ref="X56:X60" si="57">IF(U56="","",IF(U56&lt;3,0.002,IF(U56&lt;6,0.003,IF(U56&lt;12,0.004,"Check"))))</f>
        <v/>
      </c>
      <c r="Y56" s="20" t="str">
        <f t="shared" ref="Y56:Y60" si="58">IF(V56="","",IF(V56&lt;3,0.002,IF(V56&lt;6,0.003,IF(V56&lt;12,0.004,"Check"))))</f>
        <v/>
      </c>
      <c r="Z56" s="27"/>
      <c r="AA56" s="97">
        <v>200</v>
      </c>
      <c r="AB56" s="111"/>
      <c r="AC56" s="112">
        <f t="shared" ref="AC56:AC61" si="59">AE56-2*AI56</f>
        <v>0</v>
      </c>
      <c r="AD56" s="18">
        <v>3.0600452656607222E-6</v>
      </c>
      <c r="AE56" s="5">
        <f t="shared" ref="AE56:AE59" si="60">IF(AA56&gt;D$22,0,IF(D$22&gt;AA57,(AA57-AA56)*D$17*AD57,(D$22-AA56)*AD57*D$17))</f>
        <v>0</v>
      </c>
      <c r="AF56" s="18">
        <v>1.2141773277320519E-4</v>
      </c>
      <c r="AG56" s="155">
        <f t="shared" ref="AG56:AG60" si="61">IF(AA56&gt;D$22,0,IF(D$22&gt;AA57,(AA57-AA56)*D$20*AF57,(D$22-AA56)*AF57*D$20))</f>
        <v>0</v>
      </c>
      <c r="AH56" s="114">
        <v>1.9266650903063553E-5</v>
      </c>
      <c r="AI56" s="197">
        <f t="shared" ref="AI56:AI61" si="62">IF(AA56&gt;D$22,0,IF(D$22&gt;AA57,(AA57-AA56)*(D$17-D$13)/2*AH57,(D$22-AA56)*AH57*(D$17-D$13)/2))</f>
        <v>0</v>
      </c>
      <c r="AJ56" s="212"/>
    </row>
    <row r="57" spans="1:38" x14ac:dyDescent="0.3">
      <c r="A57" s="214"/>
      <c r="B57" s="215"/>
      <c r="C57" s="215"/>
      <c r="D57" s="215"/>
      <c r="E57" s="216"/>
      <c r="F57" s="34"/>
      <c r="L57" s="27"/>
      <c r="M57" s="1" t="str">
        <f t="shared" ref="M57:M61" si="63">IF(C$7=$O$53,IF($O56&lt;D$22,IF(D$22&lt;=$O57,C$7,""),""),"")</f>
        <v/>
      </c>
      <c r="O57" s="95">
        <v>250</v>
      </c>
      <c r="P57" s="95">
        <v>1162918.5</v>
      </c>
      <c r="Q57" s="7">
        <f t="shared" si="53"/>
        <v>6109.375</v>
      </c>
      <c r="R57" s="121"/>
      <c r="S57" s="18">
        <v>3.1091192025605829E-6</v>
      </c>
      <c r="T57" s="18">
        <v>1.3474838006401446E-4</v>
      </c>
      <c r="U57" s="141" t="str">
        <f t="shared" si="54"/>
        <v/>
      </c>
      <c r="V57" s="24" t="str">
        <f t="shared" si="55"/>
        <v/>
      </c>
      <c r="W57" s="143" t="str">
        <f t="shared" si="56"/>
        <v/>
      </c>
      <c r="X57" s="20" t="str">
        <f t="shared" si="57"/>
        <v/>
      </c>
      <c r="Y57" s="20" t="str">
        <f t="shared" si="58"/>
        <v/>
      </c>
      <c r="Z57" s="27"/>
      <c r="AA57" s="95">
        <v>250</v>
      </c>
      <c r="AB57" s="111"/>
      <c r="AC57" s="112">
        <f t="shared" si="59"/>
        <v>0</v>
      </c>
      <c r="AD57" s="18">
        <v>3.1091192025605829E-6</v>
      </c>
      <c r="AE57" s="5">
        <f t="shared" si="60"/>
        <v>0</v>
      </c>
      <c r="AF57" s="18">
        <v>1.3474838006401446E-4</v>
      </c>
      <c r="AG57" s="155">
        <f t="shared" si="61"/>
        <v>0</v>
      </c>
      <c r="AH57" s="114">
        <v>2.0177289620484754E-5</v>
      </c>
      <c r="AI57" s="197">
        <f t="shared" si="62"/>
        <v>0</v>
      </c>
      <c r="AJ57" s="212"/>
    </row>
    <row r="58" spans="1:38" x14ac:dyDescent="0.3">
      <c r="A58" s="214"/>
      <c r="B58" s="215"/>
      <c r="C58" s="215"/>
      <c r="D58" s="215"/>
      <c r="E58" s="216"/>
      <c r="F58" s="34"/>
      <c r="L58" s="27"/>
      <c r="M58" s="1" t="str">
        <f t="shared" si="63"/>
        <v/>
      </c>
      <c r="O58" s="95">
        <v>300</v>
      </c>
      <c r="P58" s="95">
        <v>1006609.5</v>
      </c>
      <c r="Q58" s="7">
        <f t="shared" si="53"/>
        <v>4940.625</v>
      </c>
      <c r="R58" s="121"/>
      <c r="S58" s="18">
        <v>3.3747089144947325E-6</v>
      </c>
      <c r="T58" s="18">
        <v>1.5047301740969324E-4</v>
      </c>
      <c r="U58" s="141" t="str">
        <f t="shared" si="54"/>
        <v/>
      </c>
      <c r="V58" s="24" t="str">
        <f t="shared" si="55"/>
        <v/>
      </c>
      <c r="W58" s="143" t="str">
        <f t="shared" si="56"/>
        <v/>
      </c>
      <c r="X58" s="20" t="str">
        <f t="shared" si="57"/>
        <v/>
      </c>
      <c r="Y58" s="20" t="str">
        <f t="shared" si="58"/>
        <v/>
      </c>
      <c r="Z58" s="27"/>
      <c r="AA58" s="95">
        <v>300</v>
      </c>
      <c r="AB58" s="111"/>
      <c r="AC58" s="112">
        <f t="shared" si="59"/>
        <v>0</v>
      </c>
      <c r="AD58" s="18">
        <v>3.3747089144947325E-6</v>
      </c>
      <c r="AE58" s="5">
        <f t="shared" si="60"/>
        <v>0</v>
      </c>
      <c r="AF58" s="18">
        <v>1.5047301740969324E-4</v>
      </c>
      <c r="AG58" s="155">
        <f t="shared" si="61"/>
        <v>0</v>
      </c>
      <c r="AH58" s="114">
        <v>2.2574082315957813E-5</v>
      </c>
      <c r="AI58" s="197">
        <f t="shared" si="62"/>
        <v>0</v>
      </c>
      <c r="AJ58" s="212"/>
    </row>
    <row r="59" spans="1:38" x14ac:dyDescent="0.3">
      <c r="A59" s="260"/>
      <c r="B59" s="261"/>
      <c r="C59" s="261"/>
      <c r="D59" s="261"/>
      <c r="E59" s="262"/>
      <c r="F59" s="34"/>
      <c r="L59" s="27"/>
      <c r="M59" s="1" t="str">
        <f t="shared" si="63"/>
        <v/>
      </c>
      <c r="O59" s="95">
        <v>350</v>
      </c>
      <c r="P59" s="95">
        <v>850300.5</v>
      </c>
      <c r="Q59" s="7">
        <f t="shared" si="53"/>
        <v>3771.875</v>
      </c>
      <c r="R59" s="121"/>
      <c r="S59" s="18">
        <v>3.8568144014631814E-6</v>
      </c>
      <c r="T59" s="18">
        <v>1.5047301740969324E-4</v>
      </c>
      <c r="U59" s="141" t="str">
        <f t="shared" si="54"/>
        <v/>
      </c>
      <c r="V59" s="24" t="str">
        <f t="shared" si="55"/>
        <v/>
      </c>
      <c r="W59" s="143" t="str">
        <f t="shared" si="56"/>
        <v/>
      </c>
      <c r="X59" s="20" t="str">
        <f t="shared" si="57"/>
        <v/>
      </c>
      <c r="Y59" s="20" t="str">
        <f t="shared" si="58"/>
        <v/>
      </c>
      <c r="Z59" s="27"/>
      <c r="AA59" s="95">
        <v>350</v>
      </c>
      <c r="AB59" s="111"/>
      <c r="AC59" s="112">
        <f t="shared" si="59"/>
        <v>0</v>
      </c>
      <c r="AD59" s="18">
        <v>3.8568144014631814E-6</v>
      </c>
      <c r="AE59" s="5">
        <f t="shared" si="60"/>
        <v>0</v>
      </c>
      <c r="AF59" s="18">
        <v>1.5047301740969324E-4</v>
      </c>
      <c r="AG59" s="155">
        <f t="shared" si="61"/>
        <v>0</v>
      </c>
      <c r="AH59" s="114">
        <v>2.6457028989483253E-5</v>
      </c>
      <c r="AI59" s="197">
        <f t="shared" si="62"/>
        <v>0</v>
      </c>
      <c r="AJ59" s="212"/>
    </row>
    <row r="60" spans="1:38" x14ac:dyDescent="0.3">
      <c r="F60" s="34"/>
      <c r="L60" s="27"/>
      <c r="M60" s="1" t="str">
        <f t="shared" si="63"/>
        <v/>
      </c>
      <c r="O60" s="95">
        <v>400</v>
      </c>
      <c r="P60" s="95">
        <v>693991.5</v>
      </c>
      <c r="Q60" s="7">
        <f t="shared" si="53"/>
        <v>2603.125</v>
      </c>
      <c r="R60" s="121"/>
      <c r="S60" s="18">
        <v>4.5554356634659366E-6</v>
      </c>
      <c r="T60" s="18">
        <v>1.5047301740969324E-4</v>
      </c>
      <c r="U60" s="141" t="str">
        <f t="shared" si="54"/>
        <v/>
      </c>
      <c r="V60" s="24" t="str">
        <f t="shared" si="55"/>
        <v/>
      </c>
      <c r="W60" s="143" t="str">
        <f t="shared" si="56"/>
        <v/>
      </c>
      <c r="X60" s="20" t="str">
        <f t="shared" si="57"/>
        <v/>
      </c>
      <c r="Y60" s="20" t="str">
        <f t="shared" si="58"/>
        <v/>
      </c>
      <c r="Z60" s="27"/>
      <c r="AA60" s="95">
        <v>400</v>
      </c>
      <c r="AB60" s="111"/>
      <c r="AC60" s="112">
        <f t="shared" si="59"/>
        <v>0</v>
      </c>
      <c r="AD60" s="18">
        <v>4.5554356634659366E-6</v>
      </c>
      <c r="AE60" s="5">
        <f>IF(AA60&gt;D$22,0,IF(D$22&gt;AA61,(AA61-AA60)*D$17*AD61,(D$22-AA60)*AD61*D$17))</f>
        <v>0</v>
      </c>
      <c r="AF60" s="18">
        <v>1.5047301740969324E-4</v>
      </c>
      <c r="AG60" s="155">
        <f t="shared" si="61"/>
        <v>0</v>
      </c>
      <c r="AH60" s="114">
        <v>3.1826129641060809E-5</v>
      </c>
      <c r="AI60" s="197">
        <f t="shared" si="62"/>
        <v>0</v>
      </c>
      <c r="AJ60" s="212"/>
    </row>
    <row r="61" spans="1:38" ht="15" thickBot="1" x14ac:dyDescent="0.35">
      <c r="F61" s="34"/>
      <c r="L61" s="27"/>
      <c r="M61" s="1" t="str">
        <f t="shared" si="63"/>
        <v/>
      </c>
      <c r="O61" s="95">
        <v>500</v>
      </c>
      <c r="P61" s="104">
        <v>537682.5</v>
      </c>
      <c r="Q61" s="131">
        <f t="shared" si="53"/>
        <v>265.625</v>
      </c>
      <c r="R61" s="121"/>
      <c r="S61" s="121">
        <v>6.6022299999999996E-6</v>
      </c>
      <c r="T61" s="121">
        <v>2.3731146734110655E-4</v>
      </c>
      <c r="U61" s="141" t="str">
        <f>IF(M61=O$53,IF(D$22&gt;500,"Check Temperature",J$14+J$36-J$28),"")</f>
        <v/>
      </c>
      <c r="V61" s="24" t="str">
        <f t="shared" si="55"/>
        <v/>
      </c>
      <c r="W61" s="143" t="str">
        <f t="shared" si="56"/>
        <v/>
      </c>
      <c r="X61" s="20" t="str">
        <f t="shared" ref="X61" si="64">IF(U61="","",IF(U61&lt;3,0.002,IF(U61&lt;6,0.003,IF(U61&lt;12,0.004,"Check"))))</f>
        <v/>
      </c>
      <c r="Y61" s="20" t="str">
        <f t="shared" ref="Y61" si="65">IF(V61="","",IF(V61&lt;3,0.002,IF(V61&lt;6,0.003,IF(V61&lt;12,0.004,"Check"))))</f>
        <v/>
      </c>
      <c r="Z61" s="27"/>
      <c r="AA61" s="95">
        <v>500</v>
      </c>
      <c r="AB61" s="114"/>
      <c r="AC61" s="112">
        <f t="shared" si="59"/>
        <v>0</v>
      </c>
      <c r="AD61" s="18">
        <v>6.6022299999999996E-6</v>
      </c>
      <c r="AE61" s="5">
        <f>IF(AA61&gt;D$22,0,IF(D$22&gt;AA62,(AA62-AA61)*D$17*AD61,(D$22-AA61)*AD61*D$17))</f>
        <v>0</v>
      </c>
      <c r="AF61" s="18">
        <v>2.3731146734110655E-4</v>
      </c>
      <c r="AG61" s="155">
        <f>IF(AA61&gt;D$22,0,IF(D$22&gt;AA62,(AA62-AA61)*D$20*AF61,(D$22-AA61)*AF61*D$20))</f>
        <v>0</v>
      </c>
      <c r="AH61" s="127">
        <v>4.7022792878372283E-5</v>
      </c>
      <c r="AI61" s="197">
        <f t="shared" si="62"/>
        <v>0</v>
      </c>
      <c r="AJ61" s="213"/>
    </row>
    <row r="62" spans="1:38" x14ac:dyDescent="0.3">
      <c r="F62" s="34"/>
      <c r="L62" s="27"/>
      <c r="O62" s="94"/>
      <c r="P62" s="94"/>
      <c r="Q62" s="94"/>
      <c r="R62" s="94"/>
      <c r="S62" s="94"/>
      <c r="T62" s="94"/>
      <c r="Z62" s="27"/>
      <c r="AA62" s="1">
        <v>550</v>
      </c>
      <c r="AC62" s="1">
        <f>SUM(AC55:AC61)</f>
        <v>0</v>
      </c>
      <c r="AE62" s="1">
        <f>SUM(AE55:AE60)</f>
        <v>0</v>
      </c>
      <c r="AG62" s="1">
        <f>SUM(AG55:AG61)</f>
        <v>0</v>
      </c>
    </row>
    <row r="63" spans="1:38" x14ac:dyDescent="0.3">
      <c r="F63" s="34"/>
      <c r="L63" s="27"/>
      <c r="Z63" s="27"/>
    </row>
    <row r="64" spans="1:38" x14ac:dyDescent="0.3">
      <c r="F64" s="34"/>
      <c r="L64" s="27"/>
      <c r="Z64" s="27"/>
    </row>
    <row r="65" spans="4:37" x14ac:dyDescent="0.3">
      <c r="F65" s="34"/>
      <c r="L65" s="27"/>
      <c r="R65" s="11" t="s">
        <v>145</v>
      </c>
      <c r="S65" s="11" t="s">
        <v>146</v>
      </c>
      <c r="Z65" s="27"/>
      <c r="AA65" s="16"/>
      <c r="AK65" s="1"/>
    </row>
    <row r="66" spans="4:37" x14ac:dyDescent="0.3">
      <c r="F66" s="34"/>
      <c r="L66" s="27"/>
      <c r="O66" s="21" t="s">
        <v>89</v>
      </c>
      <c r="P66" s="21" t="s">
        <v>90</v>
      </c>
      <c r="Q66" s="21" t="s">
        <v>91</v>
      </c>
      <c r="R66" s="21" t="s">
        <v>92</v>
      </c>
      <c r="S66" s="21" t="s">
        <v>92</v>
      </c>
      <c r="Z66" s="27"/>
    </row>
    <row r="67" spans="4:37" x14ac:dyDescent="0.3">
      <c r="F67" s="34"/>
      <c r="L67" s="27"/>
      <c r="O67" s="21" t="s">
        <v>129</v>
      </c>
      <c r="P67" s="21">
        <f>P68</f>
        <v>0.28999999999999998</v>
      </c>
      <c r="Q67" s="21">
        <f>Q68</f>
        <v>28000000</v>
      </c>
      <c r="R67" s="31" t="str">
        <f>C15</f>
        <v/>
      </c>
      <c r="S67" s="31" t="str">
        <f>C19</f>
        <v/>
      </c>
      <c r="Z67" s="27"/>
    </row>
    <row r="68" spans="4:37" x14ac:dyDescent="0.3">
      <c r="F68" s="34"/>
      <c r="L68" s="27"/>
      <c r="O68" s="21" t="s">
        <v>93</v>
      </c>
      <c r="P68" s="21">
        <v>0.28999999999999998</v>
      </c>
      <c r="Q68" s="21">
        <v>28000000</v>
      </c>
      <c r="R68" s="31">
        <v>9.0000000000000002E-6</v>
      </c>
      <c r="S68" s="31">
        <v>9.0000000000000002E-6</v>
      </c>
      <c r="Z68" s="27"/>
    </row>
    <row r="69" spans="4:37" x14ac:dyDescent="0.3">
      <c r="F69" s="34"/>
      <c r="L69" s="27"/>
      <c r="O69" s="21" t="s">
        <v>94</v>
      </c>
      <c r="P69" s="21">
        <v>0.3</v>
      </c>
      <c r="Q69" s="21">
        <v>29000000</v>
      </c>
      <c r="R69" s="32">
        <v>6.0000000000000002E-6</v>
      </c>
      <c r="S69" s="32">
        <v>6.0000000000000002E-6</v>
      </c>
      <c r="Z69" s="27"/>
    </row>
    <row r="70" spans="4:37" x14ac:dyDescent="0.3">
      <c r="F70" s="34"/>
      <c r="L70" s="27"/>
      <c r="O70" s="21" t="s">
        <v>95</v>
      </c>
      <c r="P70" s="21">
        <v>0.28999999999999998</v>
      </c>
      <c r="Q70" s="21">
        <v>29700000</v>
      </c>
      <c r="R70" s="31">
        <v>5.8000000000000004E-6</v>
      </c>
      <c r="S70" s="31">
        <v>5.8000000000000004E-6</v>
      </c>
      <c r="Z70" s="27"/>
    </row>
    <row r="71" spans="4:37" x14ac:dyDescent="0.3">
      <c r="D71" s="166"/>
      <c r="F71" s="34"/>
      <c r="L71" s="27"/>
      <c r="O71" s="21" t="s">
        <v>209</v>
      </c>
      <c r="P71" s="21">
        <v>0.28999999999999998</v>
      </c>
      <c r="Q71" s="21">
        <v>28572434</v>
      </c>
      <c r="R71" s="31">
        <v>7.6109999999999996E-6</v>
      </c>
      <c r="S71" s="31">
        <v>7.6109999999999996E-6</v>
      </c>
      <c r="T71" s="166"/>
      <c r="Z71" s="27"/>
    </row>
    <row r="72" spans="4:37" x14ac:dyDescent="0.3">
      <c r="F72" s="34"/>
      <c r="L72" s="27"/>
      <c r="O72" s="21" t="s">
        <v>96</v>
      </c>
      <c r="P72" s="21">
        <v>0.28999999999999998</v>
      </c>
      <c r="Q72" s="21">
        <v>29400000</v>
      </c>
      <c r="R72" s="31">
        <v>6.4999999999999996E-6</v>
      </c>
      <c r="S72" s="31">
        <v>6.4999999999999996E-6</v>
      </c>
      <c r="W72" s="16"/>
      <c r="Z72" s="27"/>
    </row>
    <row r="73" spans="4:37" x14ac:dyDescent="0.3">
      <c r="F73" s="34"/>
      <c r="L73" s="27"/>
      <c r="O73" s="21" t="s">
        <v>97</v>
      </c>
      <c r="P73" s="21">
        <v>0.3</v>
      </c>
      <c r="Q73" s="21">
        <v>28000000</v>
      </c>
      <c r="R73" s="31">
        <v>8.3999999999999992E-6</v>
      </c>
      <c r="S73" s="31">
        <v>8.3999999999999992E-6</v>
      </c>
      <c r="Z73" s="27"/>
    </row>
    <row r="74" spans="4:37" x14ac:dyDescent="0.3">
      <c r="F74" s="34"/>
      <c r="L74" s="27"/>
      <c r="O74" s="21" t="s">
        <v>98</v>
      </c>
      <c r="P74" s="21">
        <v>0.3</v>
      </c>
      <c r="Q74" s="21">
        <v>28000000</v>
      </c>
      <c r="R74" s="31">
        <v>8.6000000000000007E-6</v>
      </c>
      <c r="S74" s="31">
        <v>8.6000000000000007E-6</v>
      </c>
      <c r="Z74" s="27"/>
    </row>
    <row r="75" spans="4:37" x14ac:dyDescent="0.3">
      <c r="L75" s="27"/>
      <c r="O75" s="21" t="s">
        <v>99</v>
      </c>
      <c r="P75" s="21">
        <v>0.28999999999999998</v>
      </c>
      <c r="Q75" s="21">
        <v>16800000</v>
      </c>
      <c r="R75" s="31">
        <v>5.8000000000000004E-6</v>
      </c>
      <c r="S75" s="31">
        <v>5.8000000000000004E-6</v>
      </c>
      <c r="Z75" s="27"/>
    </row>
    <row r="76" spans="4:37" x14ac:dyDescent="0.3">
      <c r="L76" s="27"/>
      <c r="O76" s="21" t="s">
        <v>100</v>
      </c>
      <c r="P76" s="21">
        <v>0.3</v>
      </c>
      <c r="Q76" s="21">
        <v>14500000</v>
      </c>
      <c r="R76" s="31">
        <v>1.0000000000000001E-5</v>
      </c>
      <c r="S76" s="31">
        <v>1.0000000000000001E-5</v>
      </c>
      <c r="Z76" s="27"/>
    </row>
    <row r="77" spans="4:37" x14ac:dyDescent="0.3">
      <c r="L77" s="27"/>
      <c r="Z77" s="27"/>
    </row>
    <row r="78" spans="4:37" x14ac:dyDescent="0.3">
      <c r="L78" s="27"/>
      <c r="O78" s="15" t="s">
        <v>18</v>
      </c>
      <c r="P78" s="15" t="s">
        <v>230</v>
      </c>
      <c r="Q78" s="15" t="s">
        <v>142</v>
      </c>
      <c r="R78" s="195" t="s">
        <v>129</v>
      </c>
      <c r="S78" s="15" t="s">
        <v>231</v>
      </c>
      <c r="T78" s="47" t="s">
        <v>144</v>
      </c>
      <c r="U78" s="47" t="s">
        <v>179</v>
      </c>
      <c r="V78" s="82" t="s">
        <v>232</v>
      </c>
      <c r="Z78" s="27"/>
    </row>
    <row r="79" spans="4:37" x14ac:dyDescent="0.3">
      <c r="L79" s="34"/>
      <c r="M79" s="34"/>
      <c r="N79" s="34"/>
      <c r="O79" s="36" t="s">
        <v>78</v>
      </c>
      <c r="P79" s="45" t="str">
        <f t="shared" ref="P79:P84" si="66">IF($C$8=$Q$78,Q79,R79)</f>
        <v/>
      </c>
      <c r="Q79" s="187">
        <f>IF(D$17*0.002&gt;V79,D$17*0.002,V79)</f>
        <v>4.0000000000000001E-3</v>
      </c>
      <c r="R79" s="15" t="str">
        <f>IF(AND(O79=O3,$C$8=$R$78),$C$9,"")</f>
        <v/>
      </c>
      <c r="S79" s="20">
        <f>0.006*$D$17</f>
        <v>0</v>
      </c>
      <c r="T79" s="46">
        <f t="shared" ref="T79:T84" si="67">IF(P79&gt;S79,1,0)</f>
        <v>1</v>
      </c>
      <c r="U79" s="46">
        <f t="shared" ref="U79:U84" si="68">IF(P79&lt;V79,1,0)</f>
        <v>0</v>
      </c>
      <c r="V79" s="53">
        <v>4.0000000000000001E-3</v>
      </c>
      <c r="Z79" s="34"/>
      <c r="AA79" s="34"/>
      <c r="AB79" s="34"/>
    </row>
    <row r="80" spans="4:37" x14ac:dyDescent="0.3">
      <c r="O80" s="13" t="s">
        <v>1</v>
      </c>
      <c r="P80" s="45" t="str">
        <f t="shared" si="66"/>
        <v/>
      </c>
      <c r="Q80" s="187">
        <f>IF(D$17*0.0015&gt;V80,D$17*0.0015,V80)</f>
        <v>3.0000000000000001E-3</v>
      </c>
      <c r="R80" s="15" t="str">
        <f>IF(AND(O80=O13,$C$8=$R$78),$C$9,"")</f>
        <v/>
      </c>
      <c r="S80" s="20">
        <f t="shared" ref="S80:S81" si="69">0.006*$D$17</f>
        <v>0</v>
      </c>
      <c r="T80" s="46">
        <f t="shared" si="67"/>
        <v>1</v>
      </c>
      <c r="U80" s="46">
        <f t="shared" si="68"/>
        <v>0</v>
      </c>
      <c r="V80" s="53">
        <v>3.0000000000000001E-3</v>
      </c>
      <c r="Z80" s="34"/>
    </row>
    <row r="81" spans="4:26" x14ac:dyDescent="0.3">
      <c r="O81" s="13" t="s">
        <v>79</v>
      </c>
      <c r="P81" s="45" t="str">
        <f t="shared" si="66"/>
        <v/>
      </c>
      <c r="Q81" s="187">
        <f>IF(D$17*0.0015&gt;V81,D$17*0.0015,V81)</f>
        <v>3.0000000000000001E-3</v>
      </c>
      <c r="R81" s="15" t="str">
        <f>IF(AND(O81=O23,$C$8=$R$78),$C$9,"")</f>
        <v/>
      </c>
      <c r="S81" s="20">
        <f t="shared" si="69"/>
        <v>0</v>
      </c>
      <c r="T81" s="46">
        <f t="shared" si="67"/>
        <v>1</v>
      </c>
      <c r="U81" s="46">
        <f t="shared" si="68"/>
        <v>0</v>
      </c>
      <c r="V81" s="53">
        <v>3.0000000000000001E-3</v>
      </c>
      <c r="Z81" s="34"/>
    </row>
    <row r="82" spans="4:26" x14ac:dyDescent="0.3">
      <c r="O82" s="13" t="s">
        <v>2</v>
      </c>
      <c r="P82" s="45" t="str">
        <f t="shared" si="66"/>
        <v/>
      </c>
      <c r="Q82" s="187">
        <f>IF(D$17*0.0005&gt;V82,D$17*0.0005,V82)</f>
        <v>2E-3</v>
      </c>
      <c r="R82" s="15" t="str">
        <f>IF(AND(O82=O33,$C$8=$R$78),$C$9,"")</f>
        <v/>
      </c>
      <c r="S82" s="20">
        <f>0.002*$D$17</f>
        <v>0</v>
      </c>
      <c r="T82" s="46">
        <f t="shared" si="67"/>
        <v>1</v>
      </c>
      <c r="U82" s="46">
        <f t="shared" si="68"/>
        <v>0</v>
      </c>
      <c r="V82" s="53">
        <v>2E-3</v>
      </c>
    </row>
    <row r="83" spans="4:26" x14ac:dyDescent="0.3">
      <c r="O83" s="134" t="s">
        <v>199</v>
      </c>
      <c r="P83" s="135" t="str">
        <f t="shared" si="66"/>
        <v/>
      </c>
      <c r="Q83" s="187">
        <f>IF(D$17*0.0015&gt;V83,D$17*0.0015,V83)</f>
        <v>4.0000000000000001E-3</v>
      </c>
      <c r="R83" s="134" t="str">
        <f>IF(AND(O83=O53,$C$8=$R$78),$C$9,"")</f>
        <v/>
      </c>
      <c r="S83" s="136">
        <f>0.006*$D$17</f>
        <v>0</v>
      </c>
      <c r="T83" s="137">
        <f>IF(P83&gt;S83,1,0)</f>
        <v>1</v>
      </c>
      <c r="U83" s="137">
        <f t="shared" si="68"/>
        <v>0</v>
      </c>
      <c r="V83" s="136">
        <v>4.0000000000000001E-3</v>
      </c>
    </row>
    <row r="84" spans="4:26" x14ac:dyDescent="0.3">
      <c r="D84" s="94"/>
      <c r="O84" s="100" t="s">
        <v>3</v>
      </c>
      <c r="P84" s="103" t="str">
        <f t="shared" si="66"/>
        <v/>
      </c>
      <c r="Q84" s="187">
        <f>IF(D$17*0.0015&gt;V84,D$17*0.0015,V84)</f>
        <v>3.0000000000000001E-3</v>
      </c>
      <c r="R84" s="100" t="str">
        <f>IF(AND(O84=O43,$C$8=$R$78),$C$9,"")</f>
        <v/>
      </c>
      <c r="S84" s="102">
        <f>0.006*$D$17</f>
        <v>0</v>
      </c>
      <c r="T84" s="62">
        <f t="shared" si="67"/>
        <v>1</v>
      </c>
      <c r="U84" s="62">
        <f t="shared" si="68"/>
        <v>0</v>
      </c>
      <c r="V84" s="53">
        <v>3.0000000000000001E-3</v>
      </c>
    </row>
    <row r="86" spans="4:26" x14ac:dyDescent="0.3">
      <c r="O86" s="238" t="s">
        <v>240</v>
      </c>
      <c r="P86" s="238"/>
      <c r="Q86" s="238"/>
      <c r="R86" s="238"/>
    </row>
    <row r="87" spans="4:26" x14ac:dyDescent="0.3">
      <c r="O87" s="13" t="s">
        <v>103</v>
      </c>
      <c r="P87" s="13" t="s">
        <v>107</v>
      </c>
      <c r="Q87" s="13" t="s">
        <v>108</v>
      </c>
      <c r="R87" s="195" t="s">
        <v>109</v>
      </c>
      <c r="T87" s="64" t="s">
        <v>129</v>
      </c>
    </row>
    <row r="88" spans="4:26" x14ac:dyDescent="0.3">
      <c r="O88" s="13" t="s">
        <v>104</v>
      </c>
      <c r="P88" s="20">
        <f>IF(D$13&lt;2,0.005,IF(D$13&lt;5,0.003+(D$13*0.001),0.008+((D$13-5)*0.0005)))</f>
        <v>5.0000000000000001E-3</v>
      </c>
      <c r="Q88" s="20">
        <f>R88</f>
        <v>7.0000000000000001E-3</v>
      </c>
      <c r="R88" s="20">
        <f>IF(D$13&lt;2.1,0.007,IF(D$13&lt;5,0.004+(D$13*0.0015),0.012+((D$13-5)*0.001)))</f>
        <v>7.0000000000000001E-3</v>
      </c>
      <c r="S88" s="11">
        <v>2</v>
      </c>
      <c r="T88" s="64" t="str">
        <f>IF(C10=R78,C11,"")</f>
        <v/>
      </c>
    </row>
    <row r="89" spans="4:26" x14ac:dyDescent="0.3">
      <c r="O89" s="13" t="s">
        <v>105</v>
      </c>
      <c r="P89" s="20">
        <f>IF(D$13&lt;2,0.005,IF(D$13&lt;5,0.003+(D$13*0.001),0.008+((D$13-5)*0.0005)))</f>
        <v>5.0000000000000001E-3</v>
      </c>
      <c r="Q89" s="20">
        <f t="shared" ref="Q89:Q90" si="70">R89</f>
        <v>7.0000000000000001E-3</v>
      </c>
      <c r="R89" s="20">
        <f>IF(D$13&lt;2.1,0.007,IF(D$13&lt;5,0.004+(D$13*0.0015),0.012+((D$13-5)*0.001)))</f>
        <v>7.0000000000000001E-3</v>
      </c>
      <c r="S89" s="11">
        <v>3</v>
      </c>
    </row>
    <row r="90" spans="4:26" x14ac:dyDescent="0.3">
      <c r="O90" s="13" t="s">
        <v>106</v>
      </c>
      <c r="P90" s="20">
        <f>IF(D$13&lt;2,0.007,IF(D$13&lt;5,0.004+(D$13*0.0015),0.012+((D$13-5)*0.001)))+0.002</f>
        <v>9.0000000000000011E-3</v>
      </c>
      <c r="Q90" s="20">
        <f t="shared" si="70"/>
        <v>7.0000000000000001E-3</v>
      </c>
      <c r="R90" s="20">
        <f>IF(D$13&lt;2.1,0.007,IF(D$13&lt;5,0.004+(D$13*0.0015),0.012+((D$13-5)*0.001)))</f>
        <v>7.0000000000000001E-3</v>
      </c>
      <c r="S90" s="11">
        <v>4</v>
      </c>
    </row>
    <row r="92" spans="4:26" x14ac:dyDescent="0.3">
      <c r="O92" s="13"/>
      <c r="P92" s="191" t="s">
        <v>107</v>
      </c>
      <c r="Q92" s="191" t="s">
        <v>108</v>
      </c>
      <c r="R92" s="195" t="s">
        <v>109</v>
      </c>
    </row>
    <row r="93" spans="4:26" x14ac:dyDescent="0.3">
      <c r="O93" s="13" t="s">
        <v>104</v>
      </c>
      <c r="P93" s="63" t="str">
        <f>""</f>
        <v/>
      </c>
      <c r="Q93" s="38" t="s">
        <v>165</v>
      </c>
      <c r="R93" s="38" t="s">
        <v>166</v>
      </c>
      <c r="S93" s="11">
        <v>2</v>
      </c>
    </row>
    <row r="94" spans="4:26" x14ac:dyDescent="0.3">
      <c r="O94" s="13" t="s">
        <v>105</v>
      </c>
      <c r="P94" s="63" t="str">
        <f>""</f>
        <v/>
      </c>
      <c r="Q94" s="38" t="s">
        <v>165</v>
      </c>
      <c r="R94" s="38" t="s">
        <v>166</v>
      </c>
      <c r="S94" s="11">
        <v>3</v>
      </c>
    </row>
    <row r="95" spans="4:26" x14ac:dyDescent="0.3">
      <c r="O95" s="13" t="s">
        <v>106</v>
      </c>
      <c r="P95" s="38" t="s">
        <v>186</v>
      </c>
      <c r="Q95" s="38" t="s">
        <v>165</v>
      </c>
      <c r="R95" s="38" t="s">
        <v>166</v>
      </c>
      <c r="S95" s="11">
        <v>4</v>
      </c>
    </row>
    <row r="97" spans="15:19" ht="27.6" x14ac:dyDescent="0.3">
      <c r="O97" s="185" t="e">
        <f>75+(($D$25+0.002+(VLOOKUP($C$7,$M$5:$Y$61,12,FALSE)))-$D$16)/($J$13*$D$17)</f>
        <v>#VALUE!</v>
      </c>
      <c r="P97" s="46" t="s">
        <v>213</v>
      </c>
      <c r="R97" s="165"/>
      <c r="S97" s="14" t="s">
        <v>212</v>
      </c>
    </row>
    <row r="98" spans="15:19" x14ac:dyDescent="0.3">
      <c r="O98" s="167" t="e">
        <f>VLOOKUP(C7,R98:S100,2,FALSE)</f>
        <v>#N/A</v>
      </c>
      <c r="P98" s="167" t="s">
        <v>214</v>
      </c>
      <c r="R98" s="167" t="s">
        <v>2</v>
      </c>
      <c r="S98" s="167">
        <v>525</v>
      </c>
    </row>
    <row r="99" spans="15:19" x14ac:dyDescent="0.3">
      <c r="O99" s="167" t="e">
        <f>IF(O98&gt;O97,"YES","NO")</f>
        <v>#N/A</v>
      </c>
      <c r="P99" s="167" t="s">
        <v>215</v>
      </c>
      <c r="R99" s="184" t="s">
        <v>199</v>
      </c>
      <c r="S99" s="167">
        <v>500</v>
      </c>
    </row>
    <row r="100" spans="15:19" x14ac:dyDescent="0.3">
      <c r="R100" s="167" t="s">
        <v>3</v>
      </c>
      <c r="S100" s="167">
        <v>500</v>
      </c>
    </row>
  </sheetData>
  <sheetProtection sheet="1" selectLockedCells="1"/>
  <sortState xmlns:xlrd2="http://schemas.microsoft.com/office/spreadsheetml/2017/richdata2" ref="G13:I37">
    <sortCondition ref="I23:I47"/>
  </sortState>
  <mergeCells count="120">
    <mergeCell ref="A59:E59"/>
    <mergeCell ref="A52:E52"/>
    <mergeCell ref="A58:E58"/>
    <mergeCell ref="A57:E57"/>
    <mergeCell ref="A56:E56"/>
    <mergeCell ref="A55:E55"/>
    <mergeCell ref="A54:E54"/>
    <mergeCell ref="A53:E53"/>
    <mergeCell ref="A44:E44"/>
    <mergeCell ref="A45:E45"/>
    <mergeCell ref="A46:E46"/>
    <mergeCell ref="A47:E47"/>
    <mergeCell ref="A51:E51"/>
    <mergeCell ref="A50:E50"/>
    <mergeCell ref="A49:E49"/>
    <mergeCell ref="A48:E48"/>
    <mergeCell ref="O86:R86"/>
    <mergeCell ref="M3:N3"/>
    <mergeCell ref="A4:E4"/>
    <mergeCell ref="A12:A13"/>
    <mergeCell ref="A16:A17"/>
    <mergeCell ref="A21:A22"/>
    <mergeCell ref="A18:B18"/>
    <mergeCell ref="C8:E8"/>
    <mergeCell ref="A8:B8"/>
    <mergeCell ref="A9:B9"/>
    <mergeCell ref="C9:E9"/>
    <mergeCell ref="G14:H14"/>
    <mergeCell ref="G12:K12"/>
    <mergeCell ref="G6:K6"/>
    <mergeCell ref="G4:H4"/>
    <mergeCell ref="G28:H28"/>
    <mergeCell ref="G16:H16"/>
    <mergeCell ref="G17:H17"/>
    <mergeCell ref="G19:H19"/>
    <mergeCell ref="G20:H20"/>
    <mergeCell ref="G21:H21"/>
    <mergeCell ref="G18:K18"/>
    <mergeCell ref="A7:B7"/>
    <mergeCell ref="A14:B14"/>
    <mergeCell ref="A10:B10"/>
    <mergeCell ref="C10:E10"/>
    <mergeCell ref="A11:B11"/>
    <mergeCell ref="B3:D3"/>
    <mergeCell ref="G3:K3"/>
    <mergeCell ref="A1:E1"/>
    <mergeCell ref="C5:E5"/>
    <mergeCell ref="C6:E6"/>
    <mergeCell ref="A5:B5"/>
    <mergeCell ref="A6:B6"/>
    <mergeCell ref="A2:E2"/>
    <mergeCell ref="C15:E15"/>
    <mergeCell ref="G5:H5"/>
    <mergeCell ref="G7:H7"/>
    <mergeCell ref="G8:H8"/>
    <mergeCell ref="G9:H9"/>
    <mergeCell ref="G10:H10"/>
    <mergeCell ref="G11:H11"/>
    <mergeCell ref="G13:H13"/>
    <mergeCell ref="C11:E11"/>
    <mergeCell ref="C7:E7"/>
    <mergeCell ref="C14:E14"/>
    <mergeCell ref="G15:H15"/>
    <mergeCell ref="A27:C27"/>
    <mergeCell ref="C19:E19"/>
    <mergeCell ref="G37:H37"/>
    <mergeCell ref="A23:E23"/>
    <mergeCell ref="A34:E34"/>
    <mergeCell ref="G29:H29"/>
    <mergeCell ref="G30:H30"/>
    <mergeCell ref="G31:H31"/>
    <mergeCell ref="G27:H27"/>
    <mergeCell ref="G34:H34"/>
    <mergeCell ref="G36:H36"/>
    <mergeCell ref="G35:K35"/>
    <mergeCell ref="G32:K32"/>
    <mergeCell ref="A36:E36"/>
    <mergeCell ref="G33:H33"/>
    <mergeCell ref="G25:K25"/>
    <mergeCell ref="A33:C33"/>
    <mergeCell ref="A37:C37"/>
    <mergeCell ref="A30:C30"/>
    <mergeCell ref="A29:E29"/>
    <mergeCell ref="P53:Q53"/>
    <mergeCell ref="P3:Q3"/>
    <mergeCell ref="P13:Q13"/>
    <mergeCell ref="P23:Q23"/>
    <mergeCell ref="P33:Q33"/>
    <mergeCell ref="P43:Q43"/>
    <mergeCell ref="A42:E42"/>
    <mergeCell ref="A43:E43"/>
    <mergeCell ref="A28:E28"/>
    <mergeCell ref="A41:E41"/>
    <mergeCell ref="A38:C38"/>
    <mergeCell ref="A31:C31"/>
    <mergeCell ref="A32:C32"/>
    <mergeCell ref="A40:E40"/>
    <mergeCell ref="A35:E35"/>
    <mergeCell ref="A39:E39"/>
    <mergeCell ref="G22:H22"/>
    <mergeCell ref="G23:H23"/>
    <mergeCell ref="G24:H24"/>
    <mergeCell ref="G26:H26"/>
    <mergeCell ref="A24:C24"/>
    <mergeCell ref="A25:C25"/>
    <mergeCell ref="A26:C26"/>
    <mergeCell ref="C18:E18"/>
    <mergeCell ref="U3:Y3"/>
    <mergeCell ref="U13:Y13"/>
    <mergeCell ref="U23:Y23"/>
    <mergeCell ref="U33:Y33"/>
    <mergeCell ref="U43:Y43"/>
    <mergeCell ref="U53:Y53"/>
    <mergeCell ref="AJ2:AJ61"/>
    <mergeCell ref="R3:T3"/>
    <mergeCell ref="R13:T13"/>
    <mergeCell ref="R23:T23"/>
    <mergeCell ref="R33:T33"/>
    <mergeCell ref="R43:T43"/>
    <mergeCell ref="R53:T53"/>
  </mergeCells>
  <conditionalFormatting sqref="C5:E8 C10:E10 D12:D13 C14:E14 D16:D17 C18:E18 D20:D22">
    <cfRule type="cellIs" dxfId="33" priority="10" operator="equal">
      <formula>""</formula>
    </cfRule>
  </conditionalFormatting>
  <conditionalFormatting sqref="A11:B11 A9:B9">
    <cfRule type="cellIs" dxfId="32" priority="9" operator="equal">
      <formula>"Enter Custom Value"</formula>
    </cfRule>
  </conditionalFormatting>
  <conditionalFormatting sqref="E3">
    <cfRule type="cellIs" dxfId="31" priority="6" operator="equal">
      <formula>""</formula>
    </cfRule>
  </conditionalFormatting>
  <conditionalFormatting sqref="C9:E9 C11:E11">
    <cfRule type="cellIs" dxfId="30" priority="4" operator="equal">
      <formula>"Enter Custom Value"</formula>
    </cfRule>
  </conditionalFormatting>
  <conditionalFormatting sqref="C15:E15">
    <cfRule type="cellIs" dxfId="29" priority="3" operator="equal">
      <formula>"Enter Custom Value"</formula>
    </cfRule>
  </conditionalFormatting>
  <conditionalFormatting sqref="C19:E19">
    <cfRule type="cellIs" dxfId="28" priority="2" operator="equal">
      <formula>"Enter Custom Value"</formula>
    </cfRule>
  </conditionalFormatting>
  <conditionalFormatting sqref="A38:E38">
    <cfRule type="containsText" dxfId="27" priority="1" operator="containsText" text="Exceed">
      <formula>NOT(ISERROR(SEARCH("Exceed",A38)))</formula>
    </cfRule>
  </conditionalFormatting>
  <dataValidations count="9">
    <dataValidation type="whole" operator="lessThanOrEqual" allowBlank="1" showInputMessage="1" showErrorMessage="1" errorTitle="Minimum Temperature" error="Must be 75°F or less" sqref="D21" xr:uid="{00000000-0002-0000-0000-000003000000}">
      <formula1>75</formula1>
    </dataValidation>
    <dataValidation type="whole" operator="greaterThanOrEqual" allowBlank="1" showInputMessage="1" showErrorMessage="1" errorTitle="Maximum" error="Must be 75°F or more" sqref="D22" xr:uid="{00000000-0002-0000-0000-000004000000}">
      <formula1>75</formula1>
    </dataValidation>
    <dataValidation type="decimal" allowBlank="1" showInputMessage="1" showErrorMessage="1" error="Value should be equal to minimum rotating element OD or up to .005&quot; over." sqref="D13" xr:uid="{00000000-0002-0000-0000-000007000000}">
      <formula1>D12</formula1>
      <formula2>D12+0.005</formula2>
    </dataValidation>
    <dataValidation type="decimal" allowBlank="1" showInputMessage="1" showErrorMessage="1" error="Value should be equal to minimum stationary bore ID or up to .005&quot; over." sqref="D17" xr:uid="{00000000-0002-0000-0000-000008000000}">
      <formula1>D16</formula1>
      <formula2>D16+0.005</formula2>
    </dataValidation>
    <dataValidation type="list" allowBlank="1" showInputMessage="1" showErrorMessage="1" sqref="C7:E7" xr:uid="{00000000-0002-0000-0000-000000000000}">
      <formula1>$O$79:$O$84</formula1>
    </dataValidation>
    <dataValidation type="list" allowBlank="1" showInputMessage="1" showErrorMessage="1" sqref="C5" xr:uid="{00000000-0002-0000-0000-000001000000}">
      <formula1>$O$88:$O$90</formula1>
    </dataValidation>
    <dataValidation type="list" allowBlank="1" showInputMessage="1" showErrorMessage="1" sqref="C6" xr:uid="{00000000-0002-0000-0000-000002000000}">
      <formula1>$P$87:$R$87</formula1>
    </dataValidation>
    <dataValidation type="list" allowBlank="1" showInputMessage="1" showErrorMessage="1" sqref="C8:E8 C10:E10" xr:uid="{00000000-0002-0000-0000-000005000000}">
      <formula1>$Q$78:$R$78</formula1>
    </dataValidation>
    <dataValidation type="list" allowBlank="1" showInputMessage="1" showErrorMessage="1" sqref="C18:E18 C14:E14" xr:uid="{00000000-0002-0000-0000-000006000000}">
      <formula1>$O$67:$O$76</formula1>
    </dataValidation>
  </dataValidations>
  <printOptions horizontalCentered="1"/>
  <pageMargins left="0.7" right="0.7" top="0.75" bottom="0.75" header="0.3" footer="0.3"/>
  <pageSetup orientation="portrait" r:id="rId1"/>
  <headerFooter>
    <oddFooter>&amp;C&amp;Z&amp;F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5A7B-E6BA-41E6-A27B-2ACB6B960C4D}">
  <dimension ref="A1:AK100"/>
  <sheetViews>
    <sheetView zoomScaleNormal="100" zoomScaleSheetLayoutView="100" workbookViewId="0">
      <selection activeCell="C9" sqref="C9:E9"/>
    </sheetView>
  </sheetViews>
  <sheetFormatPr defaultColWidth="8.88671875" defaultRowHeight="14.4" x14ac:dyDescent="0.3"/>
  <cols>
    <col min="1" max="1" width="54.6640625" style="1" customWidth="1"/>
    <col min="2" max="2" width="5.6640625" style="1" customWidth="1"/>
    <col min="3" max="3" width="7.44140625" style="16" customWidth="1"/>
    <col min="4" max="4" width="13.33203125" style="161" customWidth="1"/>
    <col min="5" max="5" width="7.44140625" style="1" customWidth="1"/>
    <col min="6" max="6" width="8.88671875" style="1" customWidth="1"/>
    <col min="7" max="7" width="36.33203125" style="1" customWidth="1"/>
    <col min="8" max="8" width="11.44140625" style="1" customWidth="1"/>
    <col min="9" max="11" width="10.6640625" style="1" customWidth="1"/>
    <col min="12" max="12" width="8.88671875" style="1" customWidth="1"/>
    <col min="13" max="14" width="9.109375" style="1" customWidth="1"/>
    <col min="15" max="15" width="10" style="161" customWidth="1"/>
    <col min="16" max="16" width="20.88671875" style="161" customWidth="1"/>
    <col min="17" max="17" width="17.6640625" style="161" customWidth="1"/>
    <col min="18" max="20" width="9.6640625" style="161" customWidth="1"/>
    <col min="21" max="25" width="9.6640625" style="1" customWidth="1"/>
    <col min="26" max="32" width="8.88671875" style="1" customWidth="1"/>
    <col min="33" max="33" width="11.6640625" style="1" customWidth="1"/>
    <col min="34" max="34" width="8.88671875" style="1" customWidth="1"/>
    <col min="35" max="36" width="8.88671875" style="1"/>
    <col min="37" max="16384" width="8.88671875" style="16"/>
  </cols>
  <sheetData>
    <row r="1" spans="1:33" ht="60" customHeight="1" x14ac:dyDescent="0.3">
      <c r="A1" s="235"/>
      <c r="B1" s="235"/>
      <c r="C1" s="235"/>
      <c r="D1" s="235"/>
      <c r="E1" s="235"/>
    </row>
    <row r="2" spans="1:33" ht="21" x14ac:dyDescent="0.3">
      <c r="A2" s="264" t="s">
        <v>172</v>
      </c>
      <c r="B2" s="264"/>
      <c r="C2" s="264"/>
      <c r="D2" s="264"/>
      <c r="E2" s="264"/>
      <c r="F2" s="26"/>
      <c r="G2" s="26"/>
      <c r="H2" s="26"/>
      <c r="I2" s="26"/>
      <c r="J2" s="26"/>
      <c r="K2" s="26"/>
      <c r="L2" s="26"/>
      <c r="M2" s="27"/>
      <c r="N2" s="27"/>
      <c r="O2" s="26"/>
      <c r="P2" s="26"/>
      <c r="Q2" s="26"/>
      <c r="R2" s="26"/>
      <c r="S2" s="26"/>
      <c r="T2" s="26"/>
      <c r="U2" s="27"/>
      <c r="V2" s="27"/>
      <c r="W2" s="27"/>
      <c r="X2" s="27"/>
      <c r="Y2" s="27"/>
      <c r="Z2" s="27"/>
      <c r="AC2" s="113" t="s">
        <v>202</v>
      </c>
      <c r="AE2" s="113" t="s">
        <v>203</v>
      </c>
      <c r="AG2" s="113" t="s">
        <v>219</v>
      </c>
    </row>
    <row r="3" spans="1:33" ht="14.4" customHeight="1" x14ac:dyDescent="0.3">
      <c r="A3" s="161"/>
      <c r="B3" s="235" t="s">
        <v>171</v>
      </c>
      <c r="C3" s="235"/>
      <c r="D3" s="235"/>
      <c r="E3" s="161"/>
      <c r="F3" s="27"/>
      <c r="G3" s="238" t="s">
        <v>86</v>
      </c>
      <c r="H3" s="238"/>
      <c r="I3" s="238"/>
      <c r="J3" s="238"/>
      <c r="K3" s="238"/>
      <c r="L3" s="27"/>
      <c r="M3" s="235" t="s">
        <v>114</v>
      </c>
      <c r="N3" s="256"/>
      <c r="O3" s="5" t="s">
        <v>78</v>
      </c>
      <c r="P3" s="208" t="s">
        <v>190</v>
      </c>
      <c r="Q3" s="210"/>
      <c r="R3" s="208" t="s">
        <v>191</v>
      </c>
      <c r="S3" s="209"/>
      <c r="T3" s="210"/>
      <c r="U3" s="208" t="s">
        <v>238</v>
      </c>
      <c r="V3" s="209"/>
      <c r="W3" s="209"/>
      <c r="X3" s="209"/>
      <c r="Y3" s="210"/>
      <c r="Z3" s="27"/>
      <c r="AC3" s="116" t="e">
        <f>J5*D13*R5</f>
        <v>#VALUE!</v>
      </c>
      <c r="AE3" s="116" t="e">
        <f>J5*D17*S5</f>
        <v>#VALUE!</v>
      </c>
      <c r="AG3" s="193" t="e">
        <f>D20*J5*J33</f>
        <v>#VALUE!</v>
      </c>
    </row>
    <row r="4" spans="1:33" ht="14.4" customHeight="1" x14ac:dyDescent="0.3">
      <c r="A4" s="265" t="s">
        <v>169</v>
      </c>
      <c r="B4" s="266"/>
      <c r="C4" s="266"/>
      <c r="D4" s="266"/>
      <c r="E4" s="267"/>
      <c r="F4" s="27"/>
      <c r="G4" s="228" t="s">
        <v>29</v>
      </c>
      <c r="H4" s="228"/>
      <c r="I4" s="28" t="s">
        <v>35</v>
      </c>
      <c r="J4" s="4" t="str">
        <f>IF(D21="","",D21-24)</f>
        <v/>
      </c>
      <c r="K4" s="162" t="s">
        <v>149</v>
      </c>
      <c r="L4" s="27"/>
      <c r="M4" s="161" t="s">
        <v>60</v>
      </c>
      <c r="N4" s="161" t="s">
        <v>59</v>
      </c>
      <c r="O4" s="163" t="s">
        <v>151</v>
      </c>
      <c r="P4" s="163" t="s">
        <v>81</v>
      </c>
      <c r="Q4" s="163" t="s">
        <v>82</v>
      </c>
      <c r="R4" s="163" t="s">
        <v>80</v>
      </c>
      <c r="S4" s="163" t="s">
        <v>83</v>
      </c>
      <c r="T4" s="163" t="s">
        <v>84</v>
      </c>
      <c r="U4" s="37" t="s">
        <v>111</v>
      </c>
      <c r="V4" s="37" t="s">
        <v>112</v>
      </c>
      <c r="W4" s="37" t="s">
        <v>113</v>
      </c>
      <c r="X4" s="162" t="s">
        <v>132</v>
      </c>
      <c r="Y4" s="162" t="s">
        <v>133</v>
      </c>
      <c r="Z4" s="27"/>
      <c r="AB4" s="161"/>
      <c r="AC4" s="161"/>
      <c r="AD4" s="161"/>
    </row>
    <row r="5" spans="1:33" ht="14.4" customHeight="1" x14ac:dyDescent="0.3">
      <c r="A5" s="218" t="s">
        <v>101</v>
      </c>
      <c r="B5" s="220"/>
      <c r="C5" s="251"/>
      <c r="D5" s="251"/>
      <c r="E5" s="251"/>
      <c r="F5" s="27"/>
      <c r="G5" s="228" t="s">
        <v>30</v>
      </c>
      <c r="H5" s="228"/>
      <c r="I5" s="28" t="s">
        <v>36</v>
      </c>
      <c r="J5" s="4" t="str">
        <f>IF(D22="","",D22-24)</f>
        <v/>
      </c>
      <c r="K5" s="162" t="s">
        <v>149</v>
      </c>
      <c r="L5" s="27"/>
      <c r="M5" s="1" t="str">
        <f>IF(C$7=$O$3,IF(D$22=24,C$7,""),"")</f>
        <v/>
      </c>
      <c r="N5" s="1" t="str">
        <f>IF(C$7=$O$3,C$7,"")</f>
        <v/>
      </c>
      <c r="O5" s="162">
        <v>24</v>
      </c>
      <c r="P5" s="4">
        <v>1080</v>
      </c>
      <c r="Q5" s="7">
        <v>18.615844691554575</v>
      </c>
      <c r="R5" s="18">
        <v>1.206E-4</v>
      </c>
      <c r="S5" s="18">
        <f>R5</f>
        <v>1.206E-4</v>
      </c>
      <c r="T5" s="18">
        <f>S5</f>
        <v>1.206E-4</v>
      </c>
      <c r="U5" s="58" t="str">
        <f t="shared" ref="U5:U11" si="0">IF(M5=O$3,IF(D$22&gt;49,"Check Temperature",J$30-J$31),"")</f>
        <v/>
      </c>
      <c r="V5" s="58" t="str">
        <f t="shared" ref="V5:V11" si="1">IF(M5=O$3,IF(D$22&gt;49,"Check Temp Range",D$13+J$37+J$9+J$28-J$21-J$15),"")</f>
        <v/>
      </c>
      <c r="W5" s="168" t="str">
        <f>IF(M5=O$3,IF(D$22&gt;49,"Check Temp Range",D$20),"")</f>
        <v/>
      </c>
      <c r="X5" s="56" t="str">
        <f>IF(U5="","",IF(U5&lt;75,0.08,IF(U5&lt;152.4,0.1,IF(U5&lt;304.8,0.13,"Check"))))</f>
        <v/>
      </c>
      <c r="Y5" s="56" t="str">
        <f>IF(V5="","",IF(V5&lt;75,0.08,IF(V5&lt;152.4,0.1,IF(V5&lt;304.8,0.13,"Check"))))</f>
        <v/>
      </c>
      <c r="Z5" s="27"/>
    </row>
    <row r="6" spans="1:33" ht="14.4" customHeight="1" x14ac:dyDescent="0.3">
      <c r="A6" s="228" t="s">
        <v>102</v>
      </c>
      <c r="B6" s="228"/>
      <c r="C6" s="252"/>
      <c r="D6" s="253"/>
      <c r="E6" s="254"/>
      <c r="F6" s="27"/>
      <c r="G6" s="238" t="s">
        <v>123</v>
      </c>
      <c r="H6" s="238"/>
      <c r="I6" s="238"/>
      <c r="J6" s="238"/>
      <c r="K6" s="238"/>
      <c r="L6" s="27"/>
      <c r="M6" s="1" t="str">
        <f t="shared" ref="M6:M11" si="2">IF(C$7=$O$3,IF($O5&lt;D$22,IF(D$22&lt;=$O6,C$7,""),""),"")</f>
        <v/>
      </c>
      <c r="O6" s="162">
        <v>93</v>
      </c>
      <c r="P6" s="4">
        <v>875</v>
      </c>
      <c r="Q6" s="7">
        <v>15.093928128287494</v>
      </c>
      <c r="R6" s="18">
        <v>1.206E-4</v>
      </c>
      <c r="S6" s="18">
        <f t="shared" ref="S6:T10" si="3">R6</f>
        <v>1.206E-4</v>
      </c>
      <c r="T6" s="18">
        <f t="shared" si="3"/>
        <v>1.206E-4</v>
      </c>
      <c r="U6" s="58" t="str">
        <f t="shared" si="0"/>
        <v/>
      </c>
      <c r="V6" s="58" t="str">
        <f t="shared" si="1"/>
        <v/>
      </c>
      <c r="W6" s="168" t="str">
        <f t="shared" ref="W6:W11" si="4">IF(M6=O$3,IF(D$22&gt;49,"Check Temp Range",D$20),"")</f>
        <v/>
      </c>
      <c r="X6" s="56" t="str">
        <f t="shared" ref="X6:Y11" si="5">IF(U6="","",IF(U6&lt;75,0.08,IF(U6&lt;152.4,0.1,IF(U6&lt;304.8,0.13,"Check"))))</f>
        <v/>
      </c>
      <c r="Y6" s="56" t="str">
        <f t="shared" si="5"/>
        <v/>
      </c>
      <c r="Z6" s="27"/>
    </row>
    <row r="7" spans="1:33" ht="14.4" customHeight="1" x14ac:dyDescent="0.3">
      <c r="A7" s="228" t="s">
        <v>52</v>
      </c>
      <c r="B7" s="228"/>
      <c r="C7" s="247"/>
      <c r="D7" s="248"/>
      <c r="E7" s="249"/>
      <c r="F7" s="27"/>
      <c r="G7" s="228" t="s">
        <v>74</v>
      </c>
      <c r="H7" s="228"/>
      <c r="I7" s="29" t="s">
        <v>32</v>
      </c>
      <c r="J7" s="30" t="str">
        <f>IF(C$14="","",VLOOKUP(C$14,O$67:R$76,4,FALSE))</f>
        <v/>
      </c>
      <c r="K7" s="160" t="s">
        <v>150</v>
      </c>
      <c r="L7" s="27"/>
      <c r="M7" s="1" t="str">
        <f t="shared" si="2"/>
        <v/>
      </c>
      <c r="O7" s="162">
        <v>121</v>
      </c>
      <c r="P7" s="4">
        <v>700</v>
      </c>
      <c r="Q7" s="7">
        <v>12.075142502629998</v>
      </c>
      <c r="R7" s="18">
        <v>1.206E-4</v>
      </c>
      <c r="S7" s="18">
        <f t="shared" si="3"/>
        <v>1.206E-4</v>
      </c>
      <c r="T7" s="18">
        <f t="shared" si="3"/>
        <v>1.206E-4</v>
      </c>
      <c r="U7" s="58" t="str">
        <f t="shared" si="0"/>
        <v/>
      </c>
      <c r="V7" s="58" t="str">
        <f t="shared" si="1"/>
        <v/>
      </c>
      <c r="W7" s="168" t="str">
        <f t="shared" si="4"/>
        <v/>
      </c>
      <c r="X7" s="56" t="str">
        <f t="shared" si="5"/>
        <v/>
      </c>
      <c r="Y7" s="56" t="str">
        <f t="shared" si="5"/>
        <v/>
      </c>
      <c r="Z7" s="27"/>
      <c r="AA7" s="89"/>
    </row>
    <row r="8" spans="1:33" ht="14.4" customHeight="1" x14ac:dyDescent="0.3">
      <c r="A8" s="218" t="s">
        <v>143</v>
      </c>
      <c r="B8" s="220"/>
      <c r="C8" s="247"/>
      <c r="D8" s="248"/>
      <c r="E8" s="249"/>
      <c r="F8" s="66"/>
      <c r="G8" s="228" t="s">
        <v>56</v>
      </c>
      <c r="H8" s="228"/>
      <c r="I8" s="14" t="s">
        <v>65</v>
      </c>
      <c r="J8" s="20" t="str">
        <f>IF(D22="","",J9+D13)</f>
        <v/>
      </c>
      <c r="K8" s="160" t="s">
        <v>0</v>
      </c>
      <c r="L8" s="27"/>
      <c r="M8" s="1" t="str">
        <f t="shared" si="2"/>
        <v/>
      </c>
      <c r="O8" s="162">
        <v>149</v>
      </c>
      <c r="P8" s="4">
        <v>630</v>
      </c>
      <c r="Q8" s="7">
        <v>10.817315158606036</v>
      </c>
      <c r="R8" s="18">
        <v>1.206E-4</v>
      </c>
      <c r="S8" s="18">
        <f t="shared" si="3"/>
        <v>1.206E-4</v>
      </c>
      <c r="T8" s="18">
        <f t="shared" si="3"/>
        <v>1.206E-4</v>
      </c>
      <c r="U8" s="58" t="str">
        <f t="shared" si="0"/>
        <v/>
      </c>
      <c r="V8" s="58" t="str">
        <f t="shared" si="1"/>
        <v/>
      </c>
      <c r="W8" s="168" t="str">
        <f t="shared" si="4"/>
        <v/>
      </c>
      <c r="X8" s="56" t="str">
        <f t="shared" si="5"/>
        <v/>
      </c>
      <c r="Y8" s="56" t="str">
        <f t="shared" si="5"/>
        <v/>
      </c>
      <c r="Z8" s="27"/>
    </row>
    <row r="9" spans="1:33" ht="14.4" customHeight="1" x14ac:dyDescent="0.3">
      <c r="A9" s="221" t="str">
        <f>IF(C8="","",IF(C8=R78,"Custom Interference",CONCATENATE("Standard Interference = ",FIXED(J36,2))))</f>
        <v/>
      </c>
      <c r="B9" s="223"/>
      <c r="C9" s="244"/>
      <c r="D9" s="245"/>
      <c r="E9" s="246"/>
      <c r="F9" s="66"/>
      <c r="G9" s="228" t="s">
        <v>69</v>
      </c>
      <c r="H9" s="228"/>
      <c r="I9" s="14" t="s">
        <v>37</v>
      </c>
      <c r="J9" s="20" t="str">
        <f>IF(D22="","",D13*J5*J7)</f>
        <v/>
      </c>
      <c r="K9" s="160" t="s">
        <v>0</v>
      </c>
      <c r="L9" s="27"/>
      <c r="M9" s="1" t="str">
        <f t="shared" si="2"/>
        <v/>
      </c>
      <c r="O9" s="162">
        <v>177</v>
      </c>
      <c r="P9" s="4">
        <v>615</v>
      </c>
      <c r="Q9" s="7">
        <v>10.565749689801246</v>
      </c>
      <c r="R9" s="18">
        <v>1.8000000000000001E-4</v>
      </c>
      <c r="S9" s="18">
        <f t="shared" si="3"/>
        <v>1.8000000000000001E-4</v>
      </c>
      <c r="T9" s="18">
        <f t="shared" si="3"/>
        <v>1.8000000000000001E-4</v>
      </c>
      <c r="U9" s="58" t="str">
        <f t="shared" si="0"/>
        <v/>
      </c>
      <c r="V9" s="58" t="str">
        <f t="shared" si="1"/>
        <v/>
      </c>
      <c r="W9" s="168" t="str">
        <f t="shared" si="4"/>
        <v/>
      </c>
      <c r="X9" s="56" t="str">
        <f t="shared" si="5"/>
        <v/>
      </c>
      <c r="Y9" s="56" t="str">
        <f t="shared" si="5"/>
        <v/>
      </c>
      <c r="Z9" s="27"/>
    </row>
    <row r="10" spans="1:33" ht="14.4" customHeight="1" x14ac:dyDescent="0.3">
      <c r="A10" s="218" t="s">
        <v>163</v>
      </c>
      <c r="B10" s="220"/>
      <c r="C10" s="247"/>
      <c r="D10" s="248"/>
      <c r="E10" s="249"/>
      <c r="F10" s="66"/>
      <c r="G10" s="228" t="s">
        <v>53</v>
      </c>
      <c r="H10" s="228"/>
      <c r="I10" s="14" t="s">
        <v>61</v>
      </c>
      <c r="J10" s="20" t="str">
        <f>IF(D21="","",D13+J11)</f>
        <v/>
      </c>
      <c r="K10" s="160" t="s">
        <v>0</v>
      </c>
      <c r="L10" s="27"/>
      <c r="M10" s="1" t="str">
        <f t="shared" si="2"/>
        <v/>
      </c>
      <c r="O10" s="162">
        <v>204</v>
      </c>
      <c r="P10" s="4">
        <v>550</v>
      </c>
      <c r="Q10" s="7">
        <v>9.559487814582079</v>
      </c>
      <c r="R10" s="18">
        <v>1.8000000000000001E-4</v>
      </c>
      <c r="S10" s="18">
        <f t="shared" si="3"/>
        <v>1.8000000000000001E-4</v>
      </c>
      <c r="T10" s="18">
        <f t="shared" si="3"/>
        <v>1.8000000000000001E-4</v>
      </c>
      <c r="U10" s="58" t="str">
        <f t="shared" si="0"/>
        <v/>
      </c>
      <c r="V10" s="58" t="str">
        <f t="shared" si="1"/>
        <v/>
      </c>
      <c r="W10" s="168" t="str">
        <f t="shared" si="4"/>
        <v/>
      </c>
      <c r="X10" s="56" t="str">
        <f t="shared" si="5"/>
        <v/>
      </c>
      <c r="Y10" s="56" t="str">
        <f t="shared" si="5"/>
        <v/>
      </c>
      <c r="Z10" s="27"/>
    </row>
    <row r="11" spans="1:33" ht="14.4" customHeight="1" x14ac:dyDescent="0.3">
      <c r="A11" s="221" t="str">
        <f>IF(C10="","",IF(C10=T87,"Custom Clearance",CONCATENATE("Standard Clearance = ",FIXED(J37,2))))</f>
        <v/>
      </c>
      <c r="B11" s="223"/>
      <c r="C11" s="244"/>
      <c r="D11" s="245"/>
      <c r="E11" s="246"/>
      <c r="F11" s="66"/>
      <c r="G11" s="228" t="s">
        <v>70</v>
      </c>
      <c r="H11" s="228"/>
      <c r="I11" s="14" t="s">
        <v>38</v>
      </c>
      <c r="J11" s="20" t="str">
        <f>IF(D21="","",D13*J4*J7)</f>
        <v/>
      </c>
      <c r="K11" s="160" t="s">
        <v>0</v>
      </c>
      <c r="L11" s="27"/>
      <c r="M11" s="1" t="str">
        <f t="shared" si="2"/>
        <v/>
      </c>
      <c r="O11" s="162">
        <v>260</v>
      </c>
      <c r="P11" s="162" t="s">
        <v>85</v>
      </c>
      <c r="Q11" s="162" t="s">
        <v>85</v>
      </c>
      <c r="R11" s="162" t="s">
        <v>85</v>
      </c>
      <c r="S11" s="162" t="s">
        <v>85</v>
      </c>
      <c r="T11" s="162" t="s">
        <v>85</v>
      </c>
      <c r="U11" s="58" t="str">
        <f t="shared" si="0"/>
        <v/>
      </c>
      <c r="V11" s="58" t="str">
        <f t="shared" si="1"/>
        <v/>
      </c>
      <c r="W11" s="168" t="str">
        <f t="shared" si="4"/>
        <v/>
      </c>
      <c r="X11" s="56" t="str">
        <f t="shared" si="5"/>
        <v/>
      </c>
      <c r="Y11" s="56" t="str">
        <f t="shared" si="5"/>
        <v/>
      </c>
      <c r="Z11" s="27"/>
    </row>
    <row r="12" spans="1:33" ht="14.4" customHeight="1" x14ac:dyDescent="0.3">
      <c r="A12" s="228" t="s">
        <v>25</v>
      </c>
      <c r="B12" s="5" t="s">
        <v>21</v>
      </c>
      <c r="C12" s="169" t="s">
        <v>130</v>
      </c>
      <c r="D12" s="68"/>
      <c r="E12" s="162" t="s">
        <v>0</v>
      </c>
      <c r="F12" s="27"/>
      <c r="G12" s="238" t="s">
        <v>124</v>
      </c>
      <c r="H12" s="238"/>
      <c r="I12" s="238"/>
      <c r="J12" s="238"/>
      <c r="K12" s="238"/>
      <c r="L12" s="27"/>
      <c r="Z12" s="27"/>
      <c r="AC12" s="113" t="s">
        <v>202</v>
      </c>
      <c r="AE12" s="113" t="s">
        <v>203</v>
      </c>
      <c r="AG12" s="113" t="s">
        <v>219</v>
      </c>
    </row>
    <row r="13" spans="1:33" ht="14.4" customHeight="1" x14ac:dyDescent="0.3">
      <c r="A13" s="228"/>
      <c r="B13" s="5" t="s">
        <v>22</v>
      </c>
      <c r="C13" s="14" t="s">
        <v>31</v>
      </c>
      <c r="D13" s="68"/>
      <c r="E13" s="162" t="s">
        <v>0</v>
      </c>
      <c r="F13" s="27"/>
      <c r="G13" s="228" t="s">
        <v>75</v>
      </c>
      <c r="H13" s="228"/>
      <c r="I13" s="29" t="s">
        <v>34</v>
      </c>
      <c r="J13" s="30" t="str">
        <f>IF(C$18="","",VLOOKUP(C$18,O$67:S$76,5,FALSE))</f>
        <v/>
      </c>
      <c r="K13" s="160" t="s">
        <v>150</v>
      </c>
      <c r="L13" s="27"/>
      <c r="O13" s="5" t="s">
        <v>1</v>
      </c>
      <c r="P13" s="208" t="s">
        <v>190</v>
      </c>
      <c r="Q13" s="210"/>
      <c r="R13" s="208" t="s">
        <v>191</v>
      </c>
      <c r="S13" s="209"/>
      <c r="T13" s="210"/>
      <c r="U13" s="208" t="s">
        <v>238</v>
      </c>
      <c r="V13" s="209"/>
      <c r="W13" s="209"/>
      <c r="X13" s="209"/>
      <c r="Y13" s="210"/>
      <c r="Z13" s="27"/>
      <c r="AC13" s="116" t="e">
        <f>J5*D13*R15</f>
        <v>#VALUE!</v>
      </c>
      <c r="AE13" s="116" t="e">
        <f>J5*D17*S15</f>
        <v>#VALUE!</v>
      </c>
      <c r="AG13" s="193" t="e">
        <f>D20*J5*J33</f>
        <v>#VALUE!</v>
      </c>
    </row>
    <row r="14" spans="1:33" ht="14.4" customHeight="1" x14ac:dyDescent="0.3">
      <c r="A14" s="228" t="s">
        <v>27</v>
      </c>
      <c r="B14" s="228"/>
      <c r="C14" s="252"/>
      <c r="D14" s="253"/>
      <c r="E14" s="254"/>
      <c r="F14" s="66"/>
      <c r="G14" s="228" t="s">
        <v>57</v>
      </c>
      <c r="H14" s="228"/>
      <c r="I14" s="14" t="s">
        <v>66</v>
      </c>
      <c r="J14" s="20" t="str">
        <f>IF(D22="","",J15+D17)</f>
        <v/>
      </c>
      <c r="K14" s="160" t="s">
        <v>0</v>
      </c>
      <c r="L14" s="27"/>
      <c r="O14" s="163" t="s">
        <v>151</v>
      </c>
      <c r="P14" s="163" t="s">
        <v>81</v>
      </c>
      <c r="Q14" s="163" t="s">
        <v>82</v>
      </c>
      <c r="R14" s="163" t="s">
        <v>80</v>
      </c>
      <c r="S14" s="163" t="s">
        <v>83</v>
      </c>
      <c r="T14" s="163" t="s">
        <v>84</v>
      </c>
      <c r="U14" s="37" t="s">
        <v>111</v>
      </c>
      <c r="V14" s="37" t="s">
        <v>112</v>
      </c>
      <c r="W14" s="37" t="s">
        <v>113</v>
      </c>
      <c r="X14" s="162" t="s">
        <v>132</v>
      </c>
      <c r="Y14" s="162" t="s">
        <v>133</v>
      </c>
      <c r="Z14" s="27"/>
    </row>
    <row r="15" spans="1:33" ht="14.4" customHeight="1" x14ac:dyDescent="0.3">
      <c r="A15" s="159" t="str">
        <f>IF(C14="","",IF(C14=O67,"Custom Rotor CTE",CONCATENATE("Rotor CTE = ",(J7*1000000)," X 10")))</f>
        <v/>
      </c>
      <c r="B15" s="170" t="str">
        <f>IF(C14="","",IF(C14=O67,"","-6"))</f>
        <v/>
      </c>
      <c r="C15" s="232" t="str">
        <f>IF(C14="Custom","Enter Custom Value","")</f>
        <v/>
      </c>
      <c r="D15" s="233"/>
      <c r="E15" s="234"/>
      <c r="F15" s="66"/>
      <c r="G15" s="228" t="s">
        <v>71</v>
      </c>
      <c r="H15" s="228"/>
      <c r="I15" s="14" t="s">
        <v>39</v>
      </c>
      <c r="J15" s="20" t="str">
        <f>IF(D22="","",D17*J5*J13)</f>
        <v/>
      </c>
      <c r="K15" s="160" t="s">
        <v>0</v>
      </c>
      <c r="L15" s="27"/>
      <c r="M15" s="1" t="str">
        <f>IF(C$7=$O$13,IF(D$22=24,C$7,""),"")</f>
        <v/>
      </c>
      <c r="N15" s="1" t="str">
        <f>IF(C$7=$O$13,C$7,"")</f>
        <v/>
      </c>
      <c r="O15" s="162">
        <f>O5</f>
        <v>24</v>
      </c>
      <c r="P15" s="4">
        <v>1380</v>
      </c>
      <c r="Q15" s="7">
        <v>49.6</v>
      </c>
      <c r="R15" s="18">
        <v>2.8799999999999999E-5</v>
      </c>
      <c r="S15" s="18">
        <f>R15</f>
        <v>2.8799999999999999E-5</v>
      </c>
      <c r="T15" s="18">
        <f>S15</f>
        <v>2.8799999999999999E-5</v>
      </c>
      <c r="U15" s="58" t="str">
        <f t="shared" ref="U15:U21" si="6">IF(M15=O$13,IF(D$22&gt;121,"Check Temperature",J$30-J$31),"")</f>
        <v/>
      </c>
      <c r="V15" s="58" t="str">
        <f t="shared" ref="V15:V21" si="7">IF(M15=O$13,IF(D$22&gt;121,"Check Temp Range",D$13+J$37+J$9+J$28-J$21-J$15),"")</f>
        <v/>
      </c>
      <c r="W15" s="168" t="str">
        <f>IF(M15=O$13,IF(D$22&gt;121,"Check Temp Range",D$20),"")</f>
        <v/>
      </c>
      <c r="X15" s="56" t="str">
        <f>IF(U15="","",IF(U15&lt;75,0.08,IF(U15&lt;152.4,0.1,IF(U15&lt;304.8,0.13,"Check"))))</f>
        <v/>
      </c>
      <c r="Y15" s="56" t="str">
        <f>IF(V15="","",IF(V15&lt;75,0.08,IF(V15&lt;152.4,0.1,IF(V15&lt;304.8,0.13,"Check"))))</f>
        <v/>
      </c>
      <c r="Z15" s="27"/>
    </row>
    <row r="16" spans="1:33" ht="14.4" customHeight="1" x14ac:dyDescent="0.3">
      <c r="A16" s="228" t="s">
        <v>24</v>
      </c>
      <c r="B16" s="5" t="s">
        <v>21</v>
      </c>
      <c r="C16" s="169" t="s">
        <v>130</v>
      </c>
      <c r="D16" s="68"/>
      <c r="E16" s="162" t="s">
        <v>0</v>
      </c>
      <c r="F16" s="66"/>
      <c r="G16" s="228" t="s">
        <v>54</v>
      </c>
      <c r="H16" s="228"/>
      <c r="I16" s="14" t="s">
        <v>62</v>
      </c>
      <c r="J16" s="20" t="str">
        <f>IF(D21="","",D17+J17)</f>
        <v/>
      </c>
      <c r="K16" s="160" t="s">
        <v>0</v>
      </c>
      <c r="L16" s="26"/>
      <c r="M16" s="1" t="str">
        <f t="shared" ref="M16:M21" si="8">IF(C$7=$O$13,IF($O15&lt;D$22,IF(D$22&lt;=$O16,C$7,""),""),"")</f>
        <v/>
      </c>
      <c r="O16" s="162">
        <f t="shared" ref="O16:O21" si="9">O6</f>
        <v>93</v>
      </c>
      <c r="P16" s="4">
        <v>1250</v>
      </c>
      <c r="Q16" s="7">
        <v>45</v>
      </c>
      <c r="R16" s="18">
        <v>2.8799999999999999E-5</v>
      </c>
      <c r="S16" s="18">
        <f t="shared" ref="S16:T20" si="10">R16</f>
        <v>2.8799999999999999E-5</v>
      </c>
      <c r="T16" s="18">
        <f t="shared" si="10"/>
        <v>2.8799999999999999E-5</v>
      </c>
      <c r="U16" s="58" t="str">
        <f t="shared" si="6"/>
        <v/>
      </c>
      <c r="V16" s="58" t="str">
        <f t="shared" si="7"/>
        <v/>
      </c>
      <c r="W16" s="168" t="str">
        <f t="shared" ref="W16:W21" si="11">IF(M16=O$13,IF(D$22&gt;121,"Check Temp Range",D$20),"")</f>
        <v/>
      </c>
      <c r="X16" s="56" t="str">
        <f t="shared" ref="X16:Y21" si="12">IF(U16="","",IF(U16&lt;75,0.08,IF(U16&lt;152.4,0.1,IF(U16&lt;304.8,0.13,"Check"))))</f>
        <v/>
      </c>
      <c r="Y16" s="56" t="str">
        <f t="shared" si="12"/>
        <v/>
      </c>
      <c r="Z16" s="27"/>
    </row>
    <row r="17" spans="1:34" ht="14.4" customHeight="1" x14ac:dyDescent="0.3">
      <c r="A17" s="228"/>
      <c r="B17" s="5" t="s">
        <v>22</v>
      </c>
      <c r="C17" s="14" t="s">
        <v>33</v>
      </c>
      <c r="D17" s="68"/>
      <c r="E17" s="162" t="s">
        <v>0</v>
      </c>
      <c r="F17" s="66"/>
      <c r="G17" s="228" t="s">
        <v>72</v>
      </c>
      <c r="H17" s="228"/>
      <c r="I17" s="14" t="s">
        <v>40</v>
      </c>
      <c r="J17" s="20" t="str">
        <f>IF(D21="","",J4*D17*J13)</f>
        <v/>
      </c>
      <c r="K17" s="160" t="s">
        <v>0</v>
      </c>
      <c r="L17" s="27"/>
      <c r="M17" s="1" t="str">
        <f t="shared" si="8"/>
        <v/>
      </c>
      <c r="O17" s="162">
        <f t="shared" si="9"/>
        <v>121</v>
      </c>
      <c r="P17" s="4">
        <v>1200</v>
      </c>
      <c r="Q17" s="7">
        <v>44</v>
      </c>
      <c r="R17" s="18">
        <v>2.8799999999999999E-5</v>
      </c>
      <c r="S17" s="18">
        <f t="shared" si="10"/>
        <v>2.8799999999999999E-5</v>
      </c>
      <c r="T17" s="18">
        <f t="shared" si="10"/>
        <v>2.8799999999999999E-5</v>
      </c>
      <c r="U17" s="58" t="str">
        <f t="shared" si="6"/>
        <v/>
      </c>
      <c r="V17" s="58" t="str">
        <f t="shared" si="7"/>
        <v/>
      </c>
      <c r="W17" s="168" t="str">
        <f t="shared" si="11"/>
        <v/>
      </c>
      <c r="X17" s="56" t="str">
        <f t="shared" si="12"/>
        <v/>
      </c>
      <c r="Y17" s="56" t="str">
        <f t="shared" si="12"/>
        <v/>
      </c>
      <c r="Z17" s="27"/>
    </row>
    <row r="18" spans="1:34" ht="14.4" customHeight="1" x14ac:dyDescent="0.3">
      <c r="A18" s="228" t="s">
        <v>28</v>
      </c>
      <c r="B18" s="228"/>
      <c r="C18" s="252"/>
      <c r="D18" s="253"/>
      <c r="E18" s="254"/>
      <c r="F18" s="27"/>
      <c r="G18" s="238" t="s">
        <v>125</v>
      </c>
      <c r="H18" s="238"/>
      <c r="I18" s="238"/>
      <c r="J18" s="238"/>
      <c r="K18" s="238"/>
      <c r="L18" s="27"/>
      <c r="M18" s="1" t="str">
        <f t="shared" si="8"/>
        <v/>
      </c>
      <c r="O18" s="162">
        <f t="shared" si="9"/>
        <v>149</v>
      </c>
      <c r="P18" s="4">
        <v>950</v>
      </c>
      <c r="Q18" s="7">
        <v>34</v>
      </c>
      <c r="R18" s="18">
        <v>8.3076923076923074E-5</v>
      </c>
      <c r="S18" s="18">
        <f t="shared" si="10"/>
        <v>8.3076923076923074E-5</v>
      </c>
      <c r="T18" s="18">
        <f t="shared" si="10"/>
        <v>8.3076923076923074E-5</v>
      </c>
      <c r="U18" s="58" t="str">
        <f t="shared" si="6"/>
        <v/>
      </c>
      <c r="V18" s="58" t="str">
        <f t="shared" si="7"/>
        <v/>
      </c>
      <c r="W18" s="168" t="str">
        <f t="shared" si="11"/>
        <v/>
      </c>
      <c r="X18" s="56" t="str">
        <f t="shared" si="12"/>
        <v/>
      </c>
      <c r="Y18" s="56" t="str">
        <f t="shared" si="12"/>
        <v/>
      </c>
      <c r="Z18" s="27"/>
    </row>
    <row r="19" spans="1:34" ht="14.4" customHeight="1" x14ac:dyDescent="0.3">
      <c r="A19" s="159" t="str">
        <f>IF(C18="","",IF(C18=O67,"Custom Stator CTE",CONCATENATE("Stator CTE = ",(J13*1000000)," X 10")))</f>
        <v/>
      </c>
      <c r="B19" s="170" t="str">
        <f>IF(A19="","",IF(C18=O67,"","-6"))</f>
        <v/>
      </c>
      <c r="C19" s="232" t="str">
        <f>IF(C18="Custom","Enter Custom Value","")</f>
        <v/>
      </c>
      <c r="D19" s="233"/>
      <c r="E19" s="234"/>
      <c r="F19" s="26"/>
      <c r="G19" s="228" t="s">
        <v>115</v>
      </c>
      <c r="H19" s="228"/>
      <c r="I19" s="29" t="s">
        <v>117</v>
      </c>
      <c r="J19" s="30" t="str">
        <f>IF(D22="","",IF(C$7="","",VLOOKUP(C$7,M$4:T$61,6,FALSE)))</f>
        <v/>
      </c>
      <c r="K19" s="160" t="s">
        <v>150</v>
      </c>
      <c r="L19" s="27"/>
      <c r="M19" s="1" t="str">
        <f t="shared" si="8"/>
        <v/>
      </c>
      <c r="O19" s="162">
        <f t="shared" si="9"/>
        <v>177</v>
      </c>
      <c r="P19" s="4">
        <v>185</v>
      </c>
      <c r="Q19" s="7">
        <v>6.6</v>
      </c>
      <c r="R19" s="18">
        <v>8.3076923076923074E-5</v>
      </c>
      <c r="S19" s="18">
        <f t="shared" si="10"/>
        <v>8.3076923076923074E-5</v>
      </c>
      <c r="T19" s="18">
        <f t="shared" si="10"/>
        <v>8.3076923076923074E-5</v>
      </c>
      <c r="U19" s="58" t="str">
        <f t="shared" si="6"/>
        <v/>
      </c>
      <c r="V19" s="58" t="str">
        <f t="shared" si="7"/>
        <v/>
      </c>
      <c r="W19" s="168" t="str">
        <f t="shared" si="11"/>
        <v/>
      </c>
      <c r="X19" s="56" t="str">
        <f t="shared" si="12"/>
        <v/>
      </c>
      <c r="Y19" s="56" t="str">
        <f t="shared" si="12"/>
        <v/>
      </c>
      <c r="Z19" s="27"/>
    </row>
    <row r="20" spans="1:34" ht="14.4" customHeight="1" x14ac:dyDescent="0.3">
      <c r="A20" s="5" t="s">
        <v>88</v>
      </c>
      <c r="B20" s="5" t="s">
        <v>21</v>
      </c>
      <c r="C20" s="162" t="s">
        <v>46</v>
      </c>
      <c r="D20" s="81"/>
      <c r="E20" s="162" t="s">
        <v>0</v>
      </c>
      <c r="F20" s="66"/>
      <c r="G20" s="228" t="s">
        <v>58</v>
      </c>
      <c r="H20" s="228"/>
      <c r="I20" s="14" t="s">
        <v>68</v>
      </c>
      <c r="J20" s="20" t="str">
        <f>IF(D22="","",J21+D13)</f>
        <v/>
      </c>
      <c r="K20" s="160" t="s">
        <v>0</v>
      </c>
      <c r="L20" s="27"/>
      <c r="M20" s="1" t="str">
        <f t="shared" si="8"/>
        <v/>
      </c>
      <c r="O20" s="162">
        <f t="shared" si="9"/>
        <v>204</v>
      </c>
      <c r="P20" s="4">
        <v>160</v>
      </c>
      <c r="Q20" s="7">
        <v>5.8</v>
      </c>
      <c r="R20" s="18">
        <v>8.3076923076923074E-5</v>
      </c>
      <c r="S20" s="18">
        <f t="shared" si="10"/>
        <v>8.3076923076923074E-5</v>
      </c>
      <c r="T20" s="18">
        <f t="shared" si="10"/>
        <v>8.3076923076923074E-5</v>
      </c>
      <c r="U20" s="58" t="str">
        <f t="shared" si="6"/>
        <v/>
      </c>
      <c r="V20" s="58" t="str">
        <f t="shared" si="7"/>
        <v/>
      </c>
      <c r="W20" s="168" t="str">
        <f t="shared" si="11"/>
        <v/>
      </c>
      <c r="X20" s="56" t="str">
        <f t="shared" si="12"/>
        <v/>
      </c>
      <c r="Y20" s="56" t="str">
        <f t="shared" si="12"/>
        <v/>
      </c>
      <c r="Z20" s="27"/>
    </row>
    <row r="21" spans="1:34" ht="14.4" customHeight="1" x14ac:dyDescent="0.3">
      <c r="A21" s="228" t="s">
        <v>154</v>
      </c>
      <c r="B21" s="5" t="s">
        <v>21</v>
      </c>
      <c r="C21" s="162" t="s">
        <v>59</v>
      </c>
      <c r="D21" s="70"/>
      <c r="E21" s="162" t="s">
        <v>149</v>
      </c>
      <c r="F21" s="66"/>
      <c r="G21" s="228" t="s">
        <v>50</v>
      </c>
      <c r="H21" s="228"/>
      <c r="I21" s="14" t="s">
        <v>43</v>
      </c>
      <c r="J21" s="115" t="str">
        <f>IF(D22="","",VLOOKUP(C7,O3:AG61,15,FALSE))</f>
        <v/>
      </c>
      <c r="K21" s="160" t="s">
        <v>0</v>
      </c>
      <c r="L21" s="27"/>
      <c r="M21" s="1" t="str">
        <f t="shared" si="8"/>
        <v/>
      </c>
      <c r="O21" s="162">
        <f t="shared" si="9"/>
        <v>260</v>
      </c>
      <c r="P21" s="4">
        <v>106</v>
      </c>
      <c r="Q21" s="7">
        <v>3.8</v>
      </c>
      <c r="R21" s="18">
        <v>8.3076923076923074E-5</v>
      </c>
      <c r="S21" s="18">
        <f>R21</f>
        <v>8.3076923076923074E-5</v>
      </c>
      <c r="T21" s="18">
        <f>S21</f>
        <v>8.3076923076923074E-5</v>
      </c>
      <c r="U21" s="58" t="str">
        <f t="shared" si="6"/>
        <v/>
      </c>
      <c r="V21" s="58" t="str">
        <f t="shared" si="7"/>
        <v/>
      </c>
      <c r="W21" s="168" t="str">
        <f t="shared" si="11"/>
        <v/>
      </c>
      <c r="X21" s="56" t="str">
        <f t="shared" si="12"/>
        <v/>
      </c>
      <c r="Y21" s="56" t="str">
        <f t="shared" si="12"/>
        <v/>
      </c>
      <c r="Z21" s="27"/>
    </row>
    <row r="22" spans="1:34" ht="14.4" customHeight="1" x14ac:dyDescent="0.3">
      <c r="A22" s="228"/>
      <c r="B22" s="5" t="s">
        <v>22</v>
      </c>
      <c r="C22" s="162" t="s">
        <v>60</v>
      </c>
      <c r="D22" s="70"/>
      <c r="E22" s="162" t="s">
        <v>149</v>
      </c>
      <c r="F22" s="27"/>
      <c r="G22" s="228" t="s">
        <v>116</v>
      </c>
      <c r="H22" s="228"/>
      <c r="I22" s="29" t="s">
        <v>118</v>
      </c>
      <c r="J22" s="30" t="str">
        <f>IF(C$7="","",VLOOKUP(C$7,N$4:T$61,5,FALSE))</f>
        <v/>
      </c>
      <c r="K22" s="160" t="s">
        <v>150</v>
      </c>
      <c r="L22" s="27"/>
      <c r="Z22" s="27"/>
      <c r="AC22" s="113" t="s">
        <v>202</v>
      </c>
      <c r="AE22" s="113" t="s">
        <v>203</v>
      </c>
      <c r="AG22" s="113" t="s">
        <v>219</v>
      </c>
    </row>
    <row r="23" spans="1:34" ht="14.4" customHeight="1" x14ac:dyDescent="0.3">
      <c r="A23" s="235"/>
      <c r="B23" s="235"/>
      <c r="C23" s="235"/>
      <c r="D23" s="235"/>
      <c r="E23" s="235"/>
      <c r="F23" s="66"/>
      <c r="G23" s="228" t="s">
        <v>55</v>
      </c>
      <c r="H23" s="228"/>
      <c r="I23" s="14" t="s">
        <v>64</v>
      </c>
      <c r="J23" s="20" t="str">
        <f>IF(D21="","",D13+J24)</f>
        <v/>
      </c>
      <c r="K23" s="160" t="s">
        <v>0</v>
      </c>
      <c r="L23" s="27"/>
      <c r="O23" s="5" t="s">
        <v>79</v>
      </c>
      <c r="P23" s="208" t="s">
        <v>190</v>
      </c>
      <c r="Q23" s="210"/>
      <c r="R23" s="208" t="s">
        <v>191</v>
      </c>
      <c r="S23" s="209"/>
      <c r="T23" s="210"/>
      <c r="U23" s="208" t="s">
        <v>238</v>
      </c>
      <c r="V23" s="209"/>
      <c r="W23" s="209"/>
      <c r="X23" s="209"/>
      <c r="Y23" s="210"/>
      <c r="Z23" s="27"/>
      <c r="AC23" s="116" t="e">
        <f>J5*D13*R25</f>
        <v>#VALUE!</v>
      </c>
      <c r="AE23" s="116" t="e">
        <f>J5*D17*S25</f>
        <v>#VALUE!</v>
      </c>
      <c r="AG23" s="193" t="e">
        <f>D20*J5*J33</f>
        <v>#VALUE!</v>
      </c>
    </row>
    <row r="24" spans="1:34" ht="14.4" customHeight="1" x14ac:dyDescent="0.3">
      <c r="A24" s="208" t="s">
        <v>110</v>
      </c>
      <c r="B24" s="209"/>
      <c r="C24" s="210"/>
      <c r="D24" s="162" t="s">
        <v>0</v>
      </c>
      <c r="E24" s="162" t="s">
        <v>135</v>
      </c>
      <c r="F24" s="66"/>
      <c r="G24" s="228" t="s">
        <v>51</v>
      </c>
      <c r="H24" s="228"/>
      <c r="I24" s="14" t="s">
        <v>44</v>
      </c>
      <c r="J24" s="20" t="str">
        <f>IF(D21="","",J4*D13*J22)</f>
        <v/>
      </c>
      <c r="K24" s="160" t="s">
        <v>0</v>
      </c>
      <c r="L24" s="27"/>
      <c r="O24" s="163" t="s">
        <v>151</v>
      </c>
      <c r="P24" s="162" t="s">
        <v>81</v>
      </c>
      <c r="Q24" s="162" t="s">
        <v>82</v>
      </c>
      <c r="R24" s="162" t="s">
        <v>80</v>
      </c>
      <c r="S24" s="162" t="s">
        <v>83</v>
      </c>
      <c r="T24" s="162" t="s">
        <v>84</v>
      </c>
      <c r="U24" s="5" t="s">
        <v>111</v>
      </c>
      <c r="V24" s="5" t="s">
        <v>112</v>
      </c>
      <c r="W24" s="5" t="s">
        <v>113</v>
      </c>
      <c r="X24" s="162" t="s">
        <v>132</v>
      </c>
      <c r="Y24" s="162" t="s">
        <v>133</v>
      </c>
      <c r="Z24" s="27"/>
    </row>
    <row r="25" spans="1:34" ht="14.4" customHeight="1" x14ac:dyDescent="0.3">
      <c r="A25" s="218" t="s">
        <v>131</v>
      </c>
      <c r="B25" s="219"/>
      <c r="C25" s="220"/>
      <c r="D25" s="22" t="str">
        <f>IF(J26="","",VLOOKUP(C$7,M3:W61,9,FALSE))</f>
        <v/>
      </c>
      <c r="E25" s="180" t="str">
        <f>IF(D25="","",CONCATENATE("+",FIXED(VLOOKUP(C$7,M5:Y61,12,FALSE),2)))</f>
        <v/>
      </c>
      <c r="F25" s="27"/>
      <c r="G25" s="238" t="s">
        <v>126</v>
      </c>
      <c r="H25" s="238"/>
      <c r="I25" s="238"/>
      <c r="J25" s="238"/>
      <c r="K25" s="238"/>
      <c r="L25" s="27"/>
      <c r="M25" s="1" t="str">
        <f>IF(C$7=$O$23,IF(D$22=24,C$7,""),"")</f>
        <v/>
      </c>
      <c r="N25" s="1" t="str">
        <f>IF(C$7=$O$23,C$7,"")</f>
        <v/>
      </c>
      <c r="O25" s="162">
        <f>O15</f>
        <v>24</v>
      </c>
      <c r="P25" s="4">
        <v>2750</v>
      </c>
      <c r="Q25" s="7">
        <v>162</v>
      </c>
      <c r="R25" s="18">
        <v>2.8799999999999999E-5</v>
      </c>
      <c r="S25" s="18">
        <f>R25</f>
        <v>2.8799999999999999E-5</v>
      </c>
      <c r="T25" s="18">
        <f>S25</f>
        <v>2.8799999999999999E-5</v>
      </c>
      <c r="U25" s="58" t="str">
        <f t="shared" ref="U25:U31" si="13">IF(M25=O$23,IF(D$22&gt;135,"Check Temperature",J$30-J$31),"")</f>
        <v/>
      </c>
      <c r="V25" s="58" t="str">
        <f t="shared" ref="V25:V31" si="14">IF(M25=O$23,IF(D$22&gt;135,"Check Temp Range",D$13+J$37+J$9+J$28-J$21-J$15),"")</f>
        <v/>
      </c>
      <c r="W25" s="168" t="str">
        <f>IF(M25=O$23,IF(D$22&gt;135,"Check Temp Range",D$20),"")</f>
        <v/>
      </c>
      <c r="X25" s="56" t="str">
        <f>IF(U25="","",IF(U25&lt;75,0.08,IF(U25&lt;152.4,0.13,IF(U25&lt;304.8,0.15,"Check"))))</f>
        <v/>
      </c>
      <c r="Y25" s="56" t="str">
        <f>IF(V25="","",IF(V25&lt;75,0.08,IF(V25&lt;152.4,0.13,IF(V25&lt;304.8,0.15,"Check"))))</f>
        <v/>
      </c>
      <c r="Z25" s="27"/>
    </row>
    <row r="26" spans="1:34" ht="14.4" customHeight="1" x14ac:dyDescent="0.3">
      <c r="A26" s="218" t="s">
        <v>137</v>
      </c>
      <c r="B26" s="219"/>
      <c r="C26" s="220"/>
      <c r="D26" s="22" t="str">
        <f>IF(J19="","",VLOOKUP(C$7,M3:W61,10,FALSE))</f>
        <v/>
      </c>
      <c r="E26" s="180" t="str">
        <f>IF(D26="","",CONCATENATE("+",FIXED(VLOOKUP(C$7,M5:Y61,13,FALSE),2)))</f>
        <v/>
      </c>
      <c r="F26" s="27"/>
      <c r="G26" s="228" t="s">
        <v>122</v>
      </c>
      <c r="H26" s="228"/>
      <c r="I26" s="29" t="s">
        <v>119</v>
      </c>
      <c r="J26" s="30" t="str">
        <f>IF(D22="","",IF(C$7="","",VLOOKUP(C$7,M$4:T$61,7,FALSE)))</f>
        <v/>
      </c>
      <c r="K26" s="160" t="s">
        <v>150</v>
      </c>
      <c r="L26" s="27"/>
      <c r="M26" s="1" t="str">
        <f t="shared" ref="M26:M31" si="15">IF(C$7=$O$23,IF($O25&lt;D$22,IF(D$22&lt;=$O26,C$7,""),""),"")</f>
        <v/>
      </c>
      <c r="O26" s="162">
        <f t="shared" ref="O26:O31" si="16">O16</f>
        <v>93</v>
      </c>
      <c r="P26" s="4">
        <v>2500</v>
      </c>
      <c r="Q26" s="7">
        <v>147</v>
      </c>
      <c r="R26" s="18">
        <v>2.8799999999999999E-5</v>
      </c>
      <c r="S26" s="18">
        <f t="shared" ref="S26:T30" si="17">R26</f>
        <v>2.8799999999999999E-5</v>
      </c>
      <c r="T26" s="18">
        <f t="shared" si="17"/>
        <v>2.8799999999999999E-5</v>
      </c>
      <c r="U26" s="58" t="str">
        <f t="shared" si="13"/>
        <v/>
      </c>
      <c r="V26" s="58" t="str">
        <f t="shared" si="14"/>
        <v/>
      </c>
      <c r="W26" s="168" t="str">
        <f t="shared" ref="W26:W31" si="18">IF(M26=O$23,IF(D$22&gt;135,"Check Temp Range",D$20),"")</f>
        <v/>
      </c>
      <c r="X26" s="56" t="str">
        <f t="shared" ref="X26:Y31" si="19">IF(U26="","",IF(U26&lt;75,0.08,IF(U26&lt;152.4,0.13,IF(U26&lt;304.8,0.15,"Check"))))</f>
        <v/>
      </c>
      <c r="Y26" s="56" t="str">
        <f t="shared" si="19"/>
        <v/>
      </c>
      <c r="Z26" s="27"/>
    </row>
    <row r="27" spans="1:34" ht="14.4" customHeight="1" x14ac:dyDescent="0.3">
      <c r="A27" s="218" t="s">
        <v>136</v>
      </c>
      <c r="B27" s="219"/>
      <c r="C27" s="220"/>
      <c r="D27" s="57" t="str">
        <f>IF(J33="","",VLOOKUP(C$7,M3:W61,11,FALSE))</f>
        <v/>
      </c>
      <c r="E27" s="46" t="str">
        <f>IF(D27="","","-.25")</f>
        <v/>
      </c>
      <c r="F27" s="66"/>
      <c r="G27" s="236" t="s">
        <v>217</v>
      </c>
      <c r="H27" s="236"/>
      <c r="I27" s="14" t="s">
        <v>67</v>
      </c>
      <c r="J27" s="24" t="str">
        <f>IF(D22="","",J36+J14)</f>
        <v/>
      </c>
      <c r="K27" s="160" t="s">
        <v>0</v>
      </c>
      <c r="L27" s="27"/>
      <c r="M27" s="1" t="str">
        <f t="shared" si="15"/>
        <v/>
      </c>
      <c r="O27" s="162">
        <f t="shared" si="16"/>
        <v>121</v>
      </c>
      <c r="P27" s="4">
        <v>2450</v>
      </c>
      <c r="Q27" s="7">
        <v>144</v>
      </c>
      <c r="R27" s="18">
        <v>2.8799999999999999E-5</v>
      </c>
      <c r="S27" s="18">
        <f t="shared" si="17"/>
        <v>2.8799999999999999E-5</v>
      </c>
      <c r="T27" s="18">
        <f t="shared" si="17"/>
        <v>2.8799999999999999E-5</v>
      </c>
      <c r="U27" s="58" t="str">
        <f t="shared" si="13"/>
        <v/>
      </c>
      <c r="V27" s="58" t="str">
        <f t="shared" si="14"/>
        <v/>
      </c>
      <c r="W27" s="168" t="str">
        <f t="shared" si="18"/>
        <v/>
      </c>
      <c r="X27" s="56" t="str">
        <f t="shared" si="19"/>
        <v/>
      </c>
      <c r="Y27" s="56" t="str">
        <f t="shared" si="19"/>
        <v/>
      </c>
      <c r="Z27" s="27"/>
    </row>
    <row r="28" spans="1:34" ht="14.4" customHeight="1" x14ac:dyDescent="0.3">
      <c r="A28" s="217"/>
      <c r="B28" s="217"/>
      <c r="C28" s="217"/>
      <c r="D28" s="217"/>
      <c r="E28" s="217"/>
      <c r="F28" s="66"/>
      <c r="G28" s="228" t="s">
        <v>48</v>
      </c>
      <c r="H28" s="228"/>
      <c r="I28" s="14" t="s">
        <v>41</v>
      </c>
      <c r="J28" s="151" t="str">
        <f>IF(D22="","",VLOOKUP(C7,O3:AG61,17,FALSE))</f>
        <v/>
      </c>
      <c r="K28" s="160" t="s">
        <v>0</v>
      </c>
      <c r="L28" s="27"/>
      <c r="M28" s="1" t="str">
        <f t="shared" si="15"/>
        <v/>
      </c>
      <c r="O28" s="162">
        <f t="shared" si="16"/>
        <v>149</v>
      </c>
      <c r="P28" s="4">
        <v>1900</v>
      </c>
      <c r="Q28" s="7">
        <v>110</v>
      </c>
      <c r="R28" s="18">
        <v>8.3076923076923074E-5</v>
      </c>
      <c r="S28" s="18">
        <f t="shared" si="17"/>
        <v>8.3076923076923074E-5</v>
      </c>
      <c r="T28" s="18">
        <f t="shared" si="17"/>
        <v>8.3076923076923074E-5</v>
      </c>
      <c r="U28" s="58" t="str">
        <f t="shared" si="13"/>
        <v/>
      </c>
      <c r="V28" s="58" t="str">
        <f t="shared" si="14"/>
        <v/>
      </c>
      <c r="W28" s="168" t="str">
        <f t="shared" si="18"/>
        <v/>
      </c>
      <c r="X28" s="56" t="str">
        <f t="shared" si="19"/>
        <v/>
      </c>
      <c r="Y28" s="56" t="str">
        <f t="shared" si="19"/>
        <v/>
      </c>
      <c r="Z28" s="27"/>
    </row>
    <row r="29" spans="1:34" ht="14.4" customHeight="1" x14ac:dyDescent="0.3">
      <c r="A29" s="227" t="s">
        <v>147</v>
      </c>
      <c r="B29" s="243"/>
      <c r="C29" s="243"/>
      <c r="D29" s="243"/>
      <c r="E29" s="243"/>
      <c r="F29" s="27"/>
      <c r="G29" s="228" t="s">
        <v>121</v>
      </c>
      <c r="H29" s="228"/>
      <c r="I29" s="29" t="s">
        <v>120</v>
      </c>
      <c r="J29" s="30" t="str">
        <f>IF(C$7="","",VLOOKUP(C$7,N$4:T$61,6,FALSE))</f>
        <v/>
      </c>
      <c r="K29" s="160" t="s">
        <v>150</v>
      </c>
      <c r="L29" s="27"/>
      <c r="M29" s="1" t="str">
        <f t="shared" si="15"/>
        <v/>
      </c>
      <c r="O29" s="162">
        <f t="shared" si="16"/>
        <v>177</v>
      </c>
      <c r="P29" s="4">
        <v>365</v>
      </c>
      <c r="Q29" s="7">
        <v>21.7</v>
      </c>
      <c r="R29" s="18">
        <v>8.3076923076923074E-5</v>
      </c>
      <c r="S29" s="18">
        <f t="shared" si="17"/>
        <v>8.3076923076923074E-5</v>
      </c>
      <c r="T29" s="18">
        <f t="shared" si="17"/>
        <v>8.3076923076923074E-5</v>
      </c>
      <c r="U29" s="58" t="str">
        <f t="shared" si="13"/>
        <v/>
      </c>
      <c r="V29" s="58" t="str">
        <f t="shared" si="14"/>
        <v/>
      </c>
      <c r="W29" s="168" t="str">
        <f t="shared" si="18"/>
        <v/>
      </c>
      <c r="X29" s="56" t="str">
        <f t="shared" si="19"/>
        <v/>
      </c>
      <c r="Y29" s="56" t="str">
        <f t="shared" si="19"/>
        <v/>
      </c>
      <c r="Z29" s="27"/>
    </row>
    <row r="30" spans="1:34" ht="14.4" customHeight="1" x14ac:dyDescent="0.3">
      <c r="A30" s="218" t="s">
        <v>139</v>
      </c>
      <c r="B30" s="219"/>
      <c r="C30" s="220"/>
      <c r="D30" s="10" t="s">
        <v>10</v>
      </c>
      <c r="E30" s="4" t="str">
        <f>IF(COUNT(D22,D21,D17,C8,C10)&lt;3,"",$H$54)</f>
        <v/>
      </c>
      <c r="F30" s="66"/>
      <c r="G30" s="236" t="s">
        <v>218</v>
      </c>
      <c r="H30" s="236"/>
      <c r="I30" s="14" t="s">
        <v>63</v>
      </c>
      <c r="J30" s="24" t="str">
        <f>IF(D21="","",J36+J16)</f>
        <v/>
      </c>
      <c r="K30" s="160" t="s">
        <v>0</v>
      </c>
      <c r="L30" s="27"/>
      <c r="M30" s="1" t="str">
        <f t="shared" si="15"/>
        <v/>
      </c>
      <c r="O30" s="162">
        <f t="shared" si="16"/>
        <v>204</v>
      </c>
      <c r="P30" s="4">
        <v>320</v>
      </c>
      <c r="Q30" s="7">
        <v>18.8</v>
      </c>
      <c r="R30" s="18">
        <v>8.3076923076923074E-5</v>
      </c>
      <c r="S30" s="18">
        <f t="shared" si="17"/>
        <v>8.3076923076923074E-5</v>
      </c>
      <c r="T30" s="18">
        <f t="shared" si="17"/>
        <v>8.3076923076923074E-5</v>
      </c>
      <c r="U30" s="58" t="str">
        <f t="shared" si="13"/>
        <v/>
      </c>
      <c r="V30" s="58" t="str">
        <f t="shared" si="14"/>
        <v/>
      </c>
      <c r="W30" s="168" t="str">
        <f t="shared" si="18"/>
        <v/>
      </c>
      <c r="X30" s="56" t="str">
        <f t="shared" si="19"/>
        <v/>
      </c>
      <c r="Y30" s="56" t="str">
        <f t="shared" si="19"/>
        <v/>
      </c>
      <c r="Z30" s="27"/>
    </row>
    <row r="31" spans="1:34" ht="14.4" customHeight="1" x14ac:dyDescent="0.3">
      <c r="A31" s="221" t="s">
        <v>140</v>
      </c>
      <c r="B31" s="222"/>
      <c r="C31" s="223"/>
      <c r="D31" s="10" t="str">
        <f>IF(COUNT(D22,D21,D17)&lt;3,"",$H$52)</f>
        <v/>
      </c>
      <c r="E31" s="162" t="s">
        <v>20</v>
      </c>
      <c r="F31" s="66"/>
      <c r="G31" s="228" t="s">
        <v>49</v>
      </c>
      <c r="H31" s="228"/>
      <c r="I31" s="14" t="s">
        <v>42</v>
      </c>
      <c r="J31" s="102" t="str">
        <f>IF(D21="","",J4*D17*J29)</f>
        <v/>
      </c>
      <c r="K31" s="160" t="s">
        <v>0</v>
      </c>
      <c r="L31" s="27"/>
      <c r="M31" s="1" t="str">
        <f t="shared" si="15"/>
        <v/>
      </c>
      <c r="O31" s="162">
        <f t="shared" si="16"/>
        <v>260</v>
      </c>
      <c r="P31" s="4">
        <v>200</v>
      </c>
      <c r="Q31" s="7">
        <v>12.5</v>
      </c>
      <c r="R31" s="18">
        <v>8.3076923076923074E-5</v>
      </c>
      <c r="S31" s="18">
        <f>R31</f>
        <v>8.3076923076923074E-5</v>
      </c>
      <c r="T31" s="18">
        <f>S31</f>
        <v>8.3076923076923074E-5</v>
      </c>
      <c r="U31" s="58" t="str">
        <f t="shared" si="13"/>
        <v/>
      </c>
      <c r="V31" s="58" t="str">
        <f t="shared" si="14"/>
        <v/>
      </c>
      <c r="W31" s="168" t="str">
        <f t="shared" si="18"/>
        <v/>
      </c>
      <c r="X31" s="56" t="str">
        <f t="shared" si="19"/>
        <v/>
      </c>
      <c r="Y31" s="56" t="str">
        <f t="shared" si="19"/>
        <v/>
      </c>
      <c r="Z31" s="27"/>
    </row>
    <row r="32" spans="1:34" ht="14.4" customHeight="1" x14ac:dyDescent="0.3">
      <c r="A32" s="221" t="s">
        <v>141</v>
      </c>
      <c r="B32" s="222"/>
      <c r="C32" s="223"/>
      <c r="D32" s="10" t="str">
        <f>IF(COUNT(D22,D21,D17)&lt;3,"",H55)</f>
        <v/>
      </c>
      <c r="E32" s="162" t="s">
        <v>20</v>
      </c>
      <c r="F32" s="27"/>
      <c r="G32" s="238" t="s">
        <v>127</v>
      </c>
      <c r="H32" s="238"/>
      <c r="I32" s="238"/>
      <c r="J32" s="238"/>
      <c r="K32" s="238"/>
      <c r="L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ht="14.4" customHeight="1" x14ac:dyDescent="0.3">
      <c r="A33" s="239" t="s">
        <v>210</v>
      </c>
      <c r="B33" s="240"/>
      <c r="C33" s="241"/>
      <c r="D33" s="182" t="str">
        <f>IF(D26="","",D26-D13)</f>
        <v/>
      </c>
      <c r="E33" s="183" t="s">
        <v>211</v>
      </c>
      <c r="F33" s="27"/>
      <c r="G33" s="228" t="s">
        <v>76</v>
      </c>
      <c r="H33" s="228"/>
      <c r="I33" s="29" t="s">
        <v>47</v>
      </c>
      <c r="J33" s="30" t="str">
        <f>IF(D22="","",IF(C$7="","",VLOOKUP(C$7,M$4:T$61,8,FALSE)))</f>
        <v/>
      </c>
      <c r="K33" s="160" t="s">
        <v>150</v>
      </c>
      <c r="L33" s="27"/>
      <c r="O33" s="5" t="s">
        <v>2</v>
      </c>
      <c r="P33" s="208" t="s">
        <v>190</v>
      </c>
      <c r="Q33" s="210"/>
      <c r="R33" s="208" t="s">
        <v>191</v>
      </c>
      <c r="S33" s="209"/>
      <c r="T33" s="210"/>
      <c r="U33" s="208" t="s">
        <v>238</v>
      </c>
      <c r="V33" s="209"/>
      <c r="W33" s="209"/>
      <c r="X33" s="209"/>
      <c r="Y33" s="210"/>
      <c r="Z33" s="27"/>
      <c r="AA33" s="1" t="s">
        <v>192</v>
      </c>
      <c r="AC33" s="1">
        <f>AC42</f>
        <v>0</v>
      </c>
      <c r="AE33" s="1">
        <f>AE42</f>
        <v>0</v>
      </c>
      <c r="AG33" s="1">
        <f>AG42</f>
        <v>0</v>
      </c>
      <c r="AH33" s="27"/>
    </row>
    <row r="34" spans="1:34" ht="14.4" customHeight="1" x14ac:dyDescent="0.3">
      <c r="A34" s="218" t="str">
        <f>IF($C$6="","",HLOOKUP(C6,O92:R95,VLOOKUP(C5,O93:S95,5,FALSE),FALSE))</f>
        <v/>
      </c>
      <c r="B34" s="219"/>
      <c r="C34" s="219"/>
      <c r="D34" s="219"/>
      <c r="E34" s="220"/>
      <c r="F34" s="27"/>
      <c r="G34" s="228" t="s">
        <v>73</v>
      </c>
      <c r="H34" s="228"/>
      <c r="I34" s="14" t="s">
        <v>77</v>
      </c>
      <c r="J34" s="115" t="str">
        <f>IF(J33="","",VLOOKUP(C$7,O3:AG61,19,FALSE))</f>
        <v/>
      </c>
      <c r="K34" s="160" t="s">
        <v>0</v>
      </c>
      <c r="L34" s="27"/>
      <c r="O34" s="163" t="s">
        <v>151</v>
      </c>
      <c r="P34" s="163" t="s">
        <v>81</v>
      </c>
      <c r="Q34" s="163" t="s">
        <v>82</v>
      </c>
      <c r="R34" s="163" t="s">
        <v>80</v>
      </c>
      <c r="S34" s="163" t="s">
        <v>83</v>
      </c>
      <c r="T34" s="163" t="s">
        <v>84</v>
      </c>
      <c r="U34" s="37" t="s">
        <v>111</v>
      </c>
      <c r="V34" s="37" t="s">
        <v>112</v>
      </c>
      <c r="W34" s="37" t="s">
        <v>113</v>
      </c>
      <c r="X34" s="162" t="s">
        <v>132</v>
      </c>
      <c r="Y34" s="162" t="s">
        <v>133</v>
      </c>
      <c r="Z34" s="27"/>
      <c r="AA34" s="162" t="s">
        <v>189</v>
      </c>
      <c r="AB34" s="162" t="s">
        <v>80</v>
      </c>
      <c r="AC34" s="162" t="s">
        <v>193</v>
      </c>
      <c r="AD34" s="162" t="s">
        <v>83</v>
      </c>
      <c r="AE34" s="162" t="s">
        <v>193</v>
      </c>
      <c r="AF34" s="162" t="s">
        <v>84</v>
      </c>
      <c r="AG34" s="162" t="s">
        <v>193</v>
      </c>
      <c r="AH34" s="27"/>
    </row>
    <row r="35" spans="1:34" ht="14.4" customHeight="1" x14ac:dyDescent="0.3">
      <c r="A35" s="218" t="str">
        <f>IF(COUNT(D22,D21,D17)&lt;3,"",IF(VLOOKUP($C$7,$O$79:$T$84,6,FALSE)=0,"","**CHECK MAXIMUM INTERFERENCE AGAINST MAXIMUM ALLOWABLE**"))</f>
        <v/>
      </c>
      <c r="B35" s="219"/>
      <c r="C35" s="219"/>
      <c r="D35" s="219"/>
      <c r="E35" s="220"/>
      <c r="F35" s="27"/>
      <c r="G35" s="238" t="s">
        <v>128</v>
      </c>
      <c r="H35" s="238"/>
      <c r="I35" s="238"/>
      <c r="J35" s="238"/>
      <c r="K35" s="238"/>
      <c r="L35" s="27"/>
      <c r="M35" s="1" t="str">
        <f>IF(C$7=$O$33,IF(D$22=24,C$7,""),"")</f>
        <v/>
      </c>
      <c r="N35" s="1" t="str">
        <f>IF(C$7=$O$33,C$7,"")</f>
        <v/>
      </c>
      <c r="O35" s="162">
        <f>O25</f>
        <v>24</v>
      </c>
      <c r="P35" s="4">
        <v>124105.63127703052</v>
      </c>
      <c r="Q35" s="4">
        <v>1358.2671867541674</v>
      </c>
      <c r="R35" s="18">
        <v>-3.4740000000000005E-6</v>
      </c>
      <c r="S35" s="18">
        <v>3.0240000000000002E-6</v>
      </c>
      <c r="T35" s="18">
        <v>4.6799999999999999E-5</v>
      </c>
      <c r="U35" s="58" t="str">
        <f t="shared" ref="U35:U41" si="20">IF(M35=O$33,IF(D$22&gt;274,"Check Temperature",J$14+J$36-J$28),"")</f>
        <v/>
      </c>
      <c r="V35" s="58" t="str">
        <f t="shared" ref="V35:V41" si="21">IF(M35=O$33,IF(D$22&gt;274,"Check Temp Range",D$13+J$37+J$9+J$28-J$21-J$15),"")</f>
        <v/>
      </c>
      <c r="W35" s="168" t="str">
        <f t="shared" ref="W35:W40" si="22">IF(M35=O$33,IF(D$22&gt;274,"Check Temp Range",IF(D$22&gt;149,D$20-$AG$42,D$20)),"")</f>
        <v/>
      </c>
      <c r="X35" s="56" t="str">
        <f>IF(U35="","",IF(U35&lt;75,0.05,IF(U35&lt;152.4,0.08,IF(U35&lt;304.8,0.1,"Check"))))</f>
        <v/>
      </c>
      <c r="Y35" s="56" t="str">
        <f>IF(V35="","",IF(V35&lt;75,0.05,IF(V35&lt;152.4,0.08,IF(V35&lt;304.8,0.1,"Check"))))</f>
        <v/>
      </c>
      <c r="Z35" s="27"/>
      <c r="AA35" s="4">
        <v>23.888888888888889</v>
      </c>
      <c r="AB35" s="18">
        <v>-3.4740000000000005E-6</v>
      </c>
      <c r="AC35" s="114">
        <f>IF(AA35&gt;D$22,0,IF(D$22&gt;AA36,(AA36-AA35)*D$13*AB36,(D$22-AA35)*AB36*D$13))</f>
        <v>0</v>
      </c>
      <c r="AD35" s="18">
        <v>3.0240000000000002E-6</v>
      </c>
      <c r="AE35" s="114">
        <f>IF(AA35&gt;D$22,0,IF(D$22&gt;AA36,(AA36-AA35)*D$17*AD36,(D$22-AA35)*AD36*D$17))</f>
        <v>0</v>
      </c>
      <c r="AF35" s="18">
        <v>4.6799999999999999E-5</v>
      </c>
      <c r="AG35" s="114">
        <f>IF(AA35&gt;D$22,0,IF(D$22&gt;AA36,(AA36-AA35)*D$20*AF36,(D$22-AA35)*AF36*D$20))</f>
        <v>0</v>
      </c>
      <c r="AH35" s="27"/>
    </row>
    <row r="36" spans="1:34" ht="14.4" customHeight="1" x14ac:dyDescent="0.3">
      <c r="A36" s="218" t="str">
        <f>IF(COUNT(D22,D21,D17)&lt;3,"",IF(VLOOKUP($C$7,$O$79:$U$84,7,FALSE)=0,"","**CHECK MINIMUM INTERFERENCE AGAINST MINIMUM ALLOWABLE**"))</f>
        <v/>
      </c>
      <c r="B36" s="219"/>
      <c r="C36" s="219"/>
      <c r="D36" s="219"/>
      <c r="E36" s="220"/>
      <c r="F36" s="66"/>
      <c r="G36" s="228" t="s">
        <v>4</v>
      </c>
      <c r="H36" s="228"/>
      <c r="I36" s="14" t="s">
        <v>18</v>
      </c>
      <c r="J36" s="20" t="str">
        <f>IF(C$7="","",VLOOKUP(C$7,O$79:S$84,2,FALSE))</f>
        <v/>
      </c>
      <c r="K36" s="160" t="s">
        <v>0</v>
      </c>
      <c r="L36" s="27"/>
      <c r="M36" s="1" t="str">
        <f t="shared" ref="M36:M41" si="23">IF(C$7=$O$33,IF($O35&lt;D$22,IF(D$22&lt;=$O36,C$7,""),""),"")</f>
        <v/>
      </c>
      <c r="O36" s="162">
        <f t="shared" ref="O36:O41" si="24">O26</f>
        <v>93</v>
      </c>
      <c r="P36" s="4">
        <v>124105.63127703052</v>
      </c>
      <c r="Q36" s="4">
        <v>1237.1861821857149</v>
      </c>
      <c r="R36" s="18">
        <v>-3.4740000000000005E-6</v>
      </c>
      <c r="S36" s="18">
        <v>3.0240000000000002E-6</v>
      </c>
      <c r="T36" s="18">
        <v>4.6799999999999999E-5</v>
      </c>
      <c r="U36" s="58" t="str">
        <f t="shared" si="20"/>
        <v/>
      </c>
      <c r="V36" s="58" t="str">
        <f t="shared" si="21"/>
        <v/>
      </c>
      <c r="W36" s="168" t="str">
        <f t="shared" si="22"/>
        <v/>
      </c>
      <c r="X36" s="56" t="str">
        <f>IF(U36="","",IF(U36&lt;75,0.05,IF(U36&lt;152.4,0.08,IF(U36&lt;304.8,0.1,"Check"))))</f>
        <v/>
      </c>
      <c r="Y36" s="56" t="str">
        <f>IF(V36="","",IF(V36&lt;75,0.05,IF(V36&lt;152.4,0.08,IF(V36&lt;304.8,0.1,"Check"))))</f>
        <v/>
      </c>
      <c r="Z36" s="27"/>
      <c r="AA36" s="4">
        <v>142.77777777777777</v>
      </c>
      <c r="AB36" s="18">
        <v>-3.4740000000000005E-6</v>
      </c>
      <c r="AC36" s="114">
        <f>IF(AA36&gt;D$22,0,IF(D$22&gt;AA37,(AA37-AA36)*D$13*AB37,(D$22-AA36)*AB37*D$13))</f>
        <v>0</v>
      </c>
      <c r="AD36" s="18">
        <v>3.0240000000000002E-6</v>
      </c>
      <c r="AE36" s="114">
        <f>IF(AA36&gt;D$22,0,IF(D$22&gt;AA37,(AA37-AA36)*D$17*AD37,(D$22-AA36)*AD37*D$17))</f>
        <v>0</v>
      </c>
      <c r="AF36" s="18">
        <v>4.6799999999999999E-5</v>
      </c>
      <c r="AG36" s="114">
        <f t="shared" ref="AG36" si="25">IF(AA36&gt;D$22,0,IF(D$22&gt;AA37,(AA37-AA36)*D$20*AF37,(D$22-AA36)*AF37*D$20))</f>
        <v>0</v>
      </c>
      <c r="AH36" s="27"/>
    </row>
    <row r="37" spans="1:34" ht="14.4" customHeight="1" x14ac:dyDescent="0.3">
      <c r="A37" s="242" t="str">
        <f>IF(COUNT(D22,D21,D17)&lt;3,"","If Estimating ID After Installation (No Finish Machining)")</f>
        <v/>
      </c>
      <c r="B37" s="242"/>
      <c r="C37" s="242"/>
      <c r="D37" s="57" t="str">
        <f>IF(COUNT(D22,D21,D17)&lt;3,"",(D25+VLOOKUP(C$7,M5:Y61,12,FALSE)-D16+D26))</f>
        <v/>
      </c>
      <c r="E37" s="5" t="str">
        <f>IF(COUNT(D22,D21,D17)&lt;3,"",E26)</f>
        <v/>
      </c>
      <c r="F37" s="66"/>
      <c r="G37" s="228" t="s">
        <v>5</v>
      </c>
      <c r="H37" s="228"/>
      <c r="I37" s="14" t="s">
        <v>45</v>
      </c>
      <c r="J37" s="24" t="str">
        <f>IF($C$7="","",IF(C10=R78,T88,HLOOKUP(C6,O87:R90,VLOOKUP(C5,O88:S90,5,FALSE),FALSE)))</f>
        <v/>
      </c>
      <c r="K37" s="160" t="s">
        <v>0</v>
      </c>
      <c r="L37" s="27"/>
      <c r="M37" s="1" t="str">
        <f t="shared" si="23"/>
        <v/>
      </c>
      <c r="O37" s="162">
        <f t="shared" si="24"/>
        <v>121</v>
      </c>
      <c r="P37" s="4">
        <v>124105.63127703052</v>
      </c>
      <c r="Q37" s="4">
        <v>1208.7331845426993</v>
      </c>
      <c r="R37" s="18">
        <v>-3.4740000000000005E-6</v>
      </c>
      <c r="S37" s="18">
        <v>3.0240000000000002E-6</v>
      </c>
      <c r="T37" s="18">
        <v>4.6799999999999999E-5</v>
      </c>
      <c r="U37" s="58" t="str">
        <f t="shared" si="20"/>
        <v/>
      </c>
      <c r="V37" s="58" t="str">
        <f t="shared" si="21"/>
        <v/>
      </c>
      <c r="W37" s="168" t="str">
        <f t="shared" si="22"/>
        <v/>
      </c>
      <c r="X37" s="56" t="str">
        <f t="shared" ref="X37:Y41" si="26">IF(U37="","",IF(U37&lt;75,0.05,IF(U37&lt;152.4,0.08,IF(U37&lt;304.8,0.1,"Check"))))</f>
        <v/>
      </c>
      <c r="Y37" s="56" t="str">
        <f t="shared" si="26"/>
        <v/>
      </c>
      <c r="Z37" s="27"/>
      <c r="AA37" s="4">
        <v>287.77777777777777</v>
      </c>
      <c r="AB37" s="18">
        <v>-4.5539999999999999E-6</v>
      </c>
      <c r="AC37" s="114">
        <f t="shared" ref="AC37" si="27">IF(AA37&gt;D$22,0,IF(D$22&gt;AA38,(AA38-AA37)*D$13*AB37,(D$22-AA37)*AB37*D$13))</f>
        <v>0</v>
      </c>
      <c r="AD37" s="18">
        <v>4.5000000000000001E-6</v>
      </c>
      <c r="AE37" s="114">
        <f t="shared" ref="AE37" si="28">IF(AA37&gt;D$22,0,IF(D$22&gt;AA38,(AA38-AA37)*D$17*AD37,(D$22-AA37)*AD37*D$17))</f>
        <v>0</v>
      </c>
      <c r="AF37" s="18">
        <v>1.35E-4</v>
      </c>
      <c r="AG37" s="114">
        <f>IF(AA37&gt;D$22,0,IF(D$22&gt;AA38,(AA38-AA37)*D$20*AF37,(D$22-AA37)*AF37*D$20))</f>
        <v>0</v>
      </c>
      <c r="AH37" s="27"/>
    </row>
    <row r="38" spans="1:34" ht="14.4" customHeight="1" x14ac:dyDescent="0.3">
      <c r="A38" s="218" t="str">
        <f>IF(ISNA(O98),"",IF(O99="YES","For Thermal Fitting, Heat Carrier to a Minimum","Thermal Fitting Temperature Exceeds Composite Temperature Limit"))</f>
        <v/>
      </c>
      <c r="B38" s="219"/>
      <c r="C38" s="220"/>
      <c r="D38" s="10" t="str">
        <f>IF(ISNA(O98),"",(TRUNC(O97)))</f>
        <v/>
      </c>
      <c r="E38" s="180" t="str">
        <f>IF(ISNA(O98),"","°C")</f>
        <v/>
      </c>
      <c r="F38" s="27"/>
      <c r="L38" s="27"/>
      <c r="M38" s="1" t="str">
        <f t="shared" si="23"/>
        <v/>
      </c>
      <c r="O38" s="162">
        <f t="shared" si="24"/>
        <v>149</v>
      </c>
      <c r="P38" s="4">
        <v>124105.63127703052</v>
      </c>
      <c r="Q38" s="4">
        <v>940.81809724715254</v>
      </c>
      <c r="R38" s="18">
        <v>-4.5539999999999999E-6</v>
      </c>
      <c r="S38" s="18">
        <v>4.5000000000000001E-6</v>
      </c>
      <c r="T38" s="18">
        <v>1.35E-4</v>
      </c>
      <c r="U38" s="58" t="str">
        <f t="shared" si="20"/>
        <v/>
      </c>
      <c r="V38" s="58" t="str">
        <f t="shared" si="21"/>
        <v/>
      </c>
      <c r="W38" s="168" t="str">
        <f t="shared" si="22"/>
        <v/>
      </c>
      <c r="X38" s="56" t="str">
        <f t="shared" si="26"/>
        <v/>
      </c>
      <c r="Y38" s="56" t="str">
        <f t="shared" si="26"/>
        <v/>
      </c>
      <c r="Z38" s="27"/>
      <c r="AA38" s="4">
        <v>316</v>
      </c>
      <c r="AB38" s="18"/>
      <c r="AC38" s="5"/>
      <c r="AD38" s="18"/>
      <c r="AE38" s="5"/>
      <c r="AF38" s="18"/>
      <c r="AG38" s="5"/>
      <c r="AH38" s="27"/>
    </row>
    <row r="39" spans="1:34" ht="14.4" customHeight="1" x14ac:dyDescent="0.3">
      <c r="A39" s="263" t="s">
        <v>148</v>
      </c>
      <c r="B39" s="235"/>
      <c r="C39" s="235"/>
      <c r="D39" s="235"/>
      <c r="E39" s="235"/>
      <c r="F39" s="27"/>
      <c r="G39" s="5" t="s">
        <v>138</v>
      </c>
      <c r="H39" s="162" t="s">
        <v>60</v>
      </c>
      <c r="L39" s="27"/>
      <c r="M39" s="1" t="str">
        <f t="shared" si="23"/>
        <v/>
      </c>
      <c r="O39" s="162">
        <f t="shared" si="24"/>
        <v>177</v>
      </c>
      <c r="P39" s="4">
        <v>124105.63127703052</v>
      </c>
      <c r="Q39" s="4">
        <v>181.93303602395267</v>
      </c>
      <c r="R39" s="18">
        <v>-4.5539999999999999E-6</v>
      </c>
      <c r="S39" s="18">
        <v>4.5000000000000001E-6</v>
      </c>
      <c r="T39" s="18">
        <v>1.35E-4</v>
      </c>
      <c r="U39" s="58" t="str">
        <f t="shared" si="20"/>
        <v/>
      </c>
      <c r="V39" s="58" t="str">
        <f t="shared" si="21"/>
        <v/>
      </c>
      <c r="W39" s="168" t="str">
        <f t="shared" si="22"/>
        <v/>
      </c>
      <c r="X39" s="56" t="str">
        <f t="shared" si="26"/>
        <v/>
      </c>
      <c r="Y39" s="56" t="str">
        <f t="shared" si="26"/>
        <v/>
      </c>
      <c r="Z39" s="27"/>
      <c r="AA39" s="4"/>
      <c r="AB39" s="18"/>
      <c r="AC39" s="5"/>
      <c r="AD39" s="18"/>
      <c r="AE39" s="5"/>
      <c r="AF39" s="18"/>
      <c r="AG39" s="5"/>
      <c r="AH39" s="27"/>
    </row>
    <row r="40" spans="1:34" ht="14.4" customHeight="1" x14ac:dyDescent="0.25">
      <c r="A40" s="224"/>
      <c r="B40" s="225"/>
      <c r="C40" s="225"/>
      <c r="D40" s="225"/>
      <c r="E40" s="226"/>
      <c r="F40" s="66"/>
      <c r="G40" s="3" t="s">
        <v>6</v>
      </c>
      <c r="H40" s="40" t="str">
        <f>$J14</f>
        <v/>
      </c>
      <c r="I40" s="194" t="s">
        <v>220</v>
      </c>
      <c r="J40" s="171"/>
      <c r="L40" s="27"/>
      <c r="M40" s="1" t="str">
        <f t="shared" si="23"/>
        <v/>
      </c>
      <c r="O40" s="162">
        <f t="shared" si="24"/>
        <v>204</v>
      </c>
      <c r="P40" s="4">
        <v>124105.63127703052</v>
      </c>
      <c r="Q40" s="4">
        <v>157.84144677877174</v>
      </c>
      <c r="R40" s="18">
        <v>-4.5539999999999999E-6</v>
      </c>
      <c r="S40" s="18">
        <v>4.5000000000000001E-6</v>
      </c>
      <c r="T40" s="18">
        <v>1.35E-4</v>
      </c>
      <c r="U40" s="58" t="str">
        <f t="shared" si="20"/>
        <v/>
      </c>
      <c r="V40" s="58" t="str">
        <f t="shared" si="21"/>
        <v/>
      </c>
      <c r="W40" s="168" t="str">
        <f t="shared" si="22"/>
        <v/>
      </c>
      <c r="X40" s="56" t="str">
        <f t="shared" si="26"/>
        <v/>
      </c>
      <c r="Y40" s="56" t="str">
        <f t="shared" si="26"/>
        <v/>
      </c>
      <c r="Z40" s="27"/>
      <c r="AA40" s="4"/>
      <c r="AB40" s="18"/>
      <c r="AC40" s="5"/>
      <c r="AD40" s="18"/>
      <c r="AE40" s="5"/>
      <c r="AF40" s="18"/>
      <c r="AG40" s="5"/>
      <c r="AH40" s="27"/>
    </row>
    <row r="41" spans="1:34" ht="14.4" customHeight="1" x14ac:dyDescent="0.25">
      <c r="A41" s="214"/>
      <c r="B41" s="215"/>
      <c r="C41" s="215"/>
      <c r="D41" s="215"/>
      <c r="E41" s="216"/>
      <c r="F41" s="66"/>
      <c r="G41" s="3" t="s">
        <v>7</v>
      </c>
      <c r="H41" s="40" t="str">
        <f>$J8</f>
        <v/>
      </c>
      <c r="I41" s="194" t="s">
        <v>220</v>
      </c>
      <c r="L41" s="27"/>
      <c r="M41" s="1" t="str">
        <f t="shared" si="23"/>
        <v/>
      </c>
      <c r="O41" s="162">
        <f t="shared" si="24"/>
        <v>260</v>
      </c>
      <c r="P41" s="4">
        <v>117210.87398386216</v>
      </c>
      <c r="Q41" s="4">
        <v>104.46611543384496</v>
      </c>
      <c r="R41" s="18">
        <v>-4.5539999999999999E-6</v>
      </c>
      <c r="S41" s="18">
        <v>4.5000000000000001E-6</v>
      </c>
      <c r="T41" s="18">
        <v>1.35E-4</v>
      </c>
      <c r="U41" s="58" t="str">
        <f t="shared" si="20"/>
        <v/>
      </c>
      <c r="V41" s="58" t="str">
        <f t="shared" si="21"/>
        <v/>
      </c>
      <c r="W41" s="168" t="str">
        <f>IF(M41=O$33,IF(D$22&gt;274,"Check Temp Range",IF(D$22&gt;149,D$20-$AG$42,D$20)),"")</f>
        <v/>
      </c>
      <c r="X41" s="56" t="str">
        <f t="shared" si="26"/>
        <v/>
      </c>
      <c r="Y41" s="56" t="str">
        <f t="shared" si="26"/>
        <v/>
      </c>
      <c r="Z41" s="27"/>
      <c r="AA41" s="4"/>
      <c r="AB41" s="18"/>
      <c r="AC41" s="5"/>
      <c r="AD41" s="18"/>
      <c r="AE41" s="5"/>
      <c r="AF41" s="18"/>
      <c r="AG41" s="5"/>
      <c r="AH41" s="27"/>
    </row>
    <row r="42" spans="1:34" ht="14.4" customHeight="1" x14ac:dyDescent="0.25">
      <c r="A42" s="214"/>
      <c r="B42" s="215"/>
      <c r="C42" s="215"/>
      <c r="D42" s="215"/>
      <c r="E42" s="216"/>
      <c r="F42" s="27"/>
      <c r="G42" s="3" t="s">
        <v>8</v>
      </c>
      <c r="H42" s="44" t="e">
        <f>VLOOKUP($C$18,O$67:R$76,3,FALSE)</f>
        <v>#N/A</v>
      </c>
      <c r="I42" s="127" t="s">
        <v>221</v>
      </c>
      <c r="L42" s="27"/>
      <c r="Z42" s="27"/>
      <c r="AC42" s="1">
        <f>SUM(AC35:AC41)</f>
        <v>0</v>
      </c>
      <c r="AE42" s="1">
        <f>SUM(AE35:AE41)</f>
        <v>0</v>
      </c>
      <c r="AG42" s="1">
        <f>SUM(AG35:AG41)</f>
        <v>0</v>
      </c>
      <c r="AH42" s="27"/>
    </row>
    <row r="43" spans="1:34" ht="14.4" customHeight="1" x14ac:dyDescent="0.25">
      <c r="A43" s="214"/>
      <c r="B43" s="215"/>
      <c r="C43" s="215"/>
      <c r="D43" s="215"/>
      <c r="E43" s="216"/>
      <c r="F43" s="27"/>
      <c r="G43" s="3" t="s">
        <v>9</v>
      </c>
      <c r="H43" s="44" t="e">
        <f>VLOOKUP($C$7,M$4:T$61,4,FALSE)</f>
        <v>#N/A</v>
      </c>
      <c r="I43" s="127" t="s">
        <v>221</v>
      </c>
      <c r="L43" s="27"/>
      <c r="O43" s="5" t="s">
        <v>3</v>
      </c>
      <c r="P43" s="208" t="s">
        <v>190</v>
      </c>
      <c r="Q43" s="210"/>
      <c r="R43" s="208" t="s">
        <v>191</v>
      </c>
      <c r="S43" s="209"/>
      <c r="T43" s="210"/>
      <c r="U43" s="208" t="s">
        <v>238</v>
      </c>
      <c r="V43" s="209"/>
      <c r="W43" s="209"/>
      <c r="X43" s="209"/>
      <c r="Y43" s="210"/>
      <c r="Z43" s="27"/>
      <c r="AA43" s="1" t="s">
        <v>194</v>
      </c>
      <c r="AC43" s="1">
        <f>AC52</f>
        <v>0</v>
      </c>
      <c r="AE43" s="1">
        <f>AE52</f>
        <v>0</v>
      </c>
      <c r="AG43" s="1">
        <f>AG52</f>
        <v>0</v>
      </c>
      <c r="AH43" s="27"/>
    </row>
    <row r="44" spans="1:34" ht="14.4" customHeight="1" x14ac:dyDescent="0.25">
      <c r="A44" s="214"/>
      <c r="B44" s="215"/>
      <c r="C44" s="215"/>
      <c r="D44" s="215"/>
      <c r="E44" s="216"/>
      <c r="F44" s="27"/>
      <c r="G44" s="3"/>
      <c r="H44" s="2"/>
      <c r="I44" s="114"/>
      <c r="L44" s="27"/>
      <c r="O44" s="163" t="s">
        <v>151</v>
      </c>
      <c r="P44" s="163" t="s">
        <v>81</v>
      </c>
      <c r="Q44" s="163" t="s">
        <v>82</v>
      </c>
      <c r="R44" s="163" t="s">
        <v>80</v>
      </c>
      <c r="S44" s="163" t="s">
        <v>83</v>
      </c>
      <c r="T44" s="163" t="s">
        <v>84</v>
      </c>
      <c r="U44" s="37" t="s">
        <v>111</v>
      </c>
      <c r="V44" s="37" t="s">
        <v>112</v>
      </c>
      <c r="W44" s="37" t="s">
        <v>113</v>
      </c>
      <c r="X44" s="162" t="s">
        <v>132</v>
      </c>
      <c r="Y44" s="162" t="s">
        <v>133</v>
      </c>
      <c r="Z44" s="27"/>
      <c r="AA44" s="162" t="s">
        <v>189</v>
      </c>
      <c r="AB44" s="162" t="s">
        <v>80</v>
      </c>
      <c r="AC44" s="162" t="s">
        <v>193</v>
      </c>
      <c r="AD44" s="162" t="s">
        <v>83</v>
      </c>
      <c r="AE44" s="162" t="s">
        <v>193</v>
      </c>
      <c r="AF44" s="162" t="s">
        <v>84</v>
      </c>
      <c r="AG44" s="162" t="s">
        <v>193</v>
      </c>
      <c r="AH44" s="27"/>
    </row>
    <row r="45" spans="1:34" ht="14.4" customHeight="1" x14ac:dyDescent="0.25">
      <c r="A45" s="214"/>
      <c r="B45" s="215"/>
      <c r="C45" s="215"/>
      <c r="D45" s="215"/>
      <c r="E45" s="216"/>
      <c r="F45" s="66"/>
      <c r="G45" s="3" t="s">
        <v>16</v>
      </c>
      <c r="H45" s="2" t="e">
        <f>(H40/2)^2</f>
        <v>#VALUE!</v>
      </c>
      <c r="I45" s="114" t="s">
        <v>222</v>
      </c>
      <c r="L45" s="27"/>
      <c r="M45" s="1" t="str">
        <f>IF(C$7=$O$43,IF(D$22=24,C$7,""),"")</f>
        <v/>
      </c>
      <c r="N45" s="1" t="str">
        <f>IF(C$7=$O$43,C$7,"")</f>
        <v/>
      </c>
      <c r="O45" s="162">
        <f>O35</f>
        <v>24</v>
      </c>
      <c r="P45" s="4">
        <v>18300</v>
      </c>
      <c r="Q45" s="7">
        <v>44.81592240559435</v>
      </c>
      <c r="R45" s="18">
        <f>1.8*0.000004</f>
        <v>7.1999999999999997E-6</v>
      </c>
      <c r="S45" s="18">
        <f>1.8*0.0000055</f>
        <v>9.9000000000000001E-6</v>
      </c>
      <c r="T45" s="18">
        <f>1.8*0.000046</f>
        <v>8.2800000000000007E-5</v>
      </c>
      <c r="U45" s="58" t="str">
        <f t="shared" ref="U45:U51" si="29">IF(M45=O$43,IF(D$22&gt;260,"Check Temperature",J$14+J$36-J$28),"")</f>
        <v/>
      </c>
      <c r="V45" s="58" t="str">
        <f t="shared" ref="V45:V51" si="30">IF(M45=O$43,IF(D$22&gt;260,"Check Temp Range",D$13+J$37+J$9+J$28-J$21-J$15),"")</f>
        <v/>
      </c>
      <c r="W45" s="168" t="str">
        <f t="shared" ref="W45:W50" si="31">IF(M45=O$43,IF(D$22&gt;260,"Check Temp Range",IF(D$22&gt;149,D$20-$AG$52,D$20)),"")</f>
        <v/>
      </c>
      <c r="X45" s="56" t="str">
        <f>IF(U45="","",IF(U45&lt;75,0.05,IF(U45&lt;152.4,0.08,IF(U45&lt;304.8,0.1,"Check"))))</f>
        <v/>
      </c>
      <c r="Y45" s="56" t="str">
        <f>IF(V45="","",IF(V45&lt;75,0.05,IF(V45&lt;152.4,0.08,IF(V45&lt;304.8,0.1,"Check"))))</f>
        <v/>
      </c>
      <c r="Z45" s="27"/>
      <c r="AA45" s="4">
        <v>23.888888888888889</v>
      </c>
      <c r="AB45" s="18">
        <v>7.1999999999999997E-6</v>
      </c>
      <c r="AC45" s="114">
        <f>IF(AA45&gt;D$22,0,IF(D$22&gt;AA46,(AA46-AA45)*D$13*AB46,(D$22-AA45)*AB46*D$13))</f>
        <v>0</v>
      </c>
      <c r="AD45" s="18">
        <v>9.9000000000000001E-6</v>
      </c>
      <c r="AE45" s="114">
        <f>IF(AA45&gt;D$22,0,IF(D$22&gt;AA46,(AA46-AA45)*D$17*AD46,(D$22-AA45)*AD46*D$17))</f>
        <v>0</v>
      </c>
      <c r="AF45" s="18">
        <v>8.2800000000000007E-5</v>
      </c>
      <c r="AG45" s="114">
        <f>IF(AA45&gt;D$22,0,IF(D$22&gt;AA46,(AA46-AA45)*D$20*AF46,(D$22-AA45)*AF46*D$20))</f>
        <v>0</v>
      </c>
      <c r="AH45" s="27"/>
    </row>
    <row r="46" spans="1:34" ht="14.4" customHeight="1" x14ac:dyDescent="0.25">
      <c r="A46" s="214"/>
      <c r="B46" s="215"/>
      <c r="C46" s="215"/>
      <c r="D46" s="215"/>
      <c r="E46" s="216"/>
      <c r="F46" s="27"/>
      <c r="G46" s="3" t="s">
        <v>158</v>
      </c>
      <c r="H46" s="44" t="e">
        <f>H42*(H40-H41)/2</f>
        <v>#N/A</v>
      </c>
      <c r="I46" s="114" t="s">
        <v>223</v>
      </c>
      <c r="L46" s="27"/>
      <c r="M46" s="1" t="str">
        <f t="shared" ref="M46:M51" si="32">IF(C$7=$O$43,IF($O45&lt;D$22,IF(D$22&lt;=$O46,C$7,""),""),"")</f>
        <v/>
      </c>
      <c r="O46" s="162">
        <f t="shared" ref="O46:O51" si="33">O36</f>
        <v>93</v>
      </c>
      <c r="P46" s="4">
        <v>16600</v>
      </c>
      <c r="Q46" s="7">
        <v>40.820630599648808</v>
      </c>
      <c r="R46" s="18">
        <f>1.8*0.000004</f>
        <v>7.1999999999999997E-6</v>
      </c>
      <c r="S46" s="18">
        <f>1.8*0.0000055</f>
        <v>9.9000000000000001E-6</v>
      </c>
      <c r="T46" s="18">
        <f>1.8*0.000046</f>
        <v>8.2800000000000007E-5</v>
      </c>
      <c r="U46" s="58" t="str">
        <f t="shared" si="29"/>
        <v/>
      </c>
      <c r="V46" s="58" t="str">
        <f t="shared" si="30"/>
        <v/>
      </c>
      <c r="W46" s="168" t="str">
        <f t="shared" si="31"/>
        <v/>
      </c>
      <c r="X46" s="56" t="str">
        <f>IF(U46="","",IF(U46&lt;75,0.05,IF(U46&lt;152.4,0.08,IF(U46&lt;304.8,0.1,"Check"))))</f>
        <v/>
      </c>
      <c r="Y46" s="56" t="str">
        <f>IF(V46="","",IF(V46&lt;75,0.05,IF(V46&lt;152.4,0.08,IF(V46&lt;304.8,0.1,"Check"))))</f>
        <v/>
      </c>
      <c r="Z46" s="27"/>
      <c r="AA46" s="4">
        <v>93.333333333333329</v>
      </c>
      <c r="AB46" s="18">
        <v>7.1999999999999997E-6</v>
      </c>
      <c r="AC46" s="114">
        <f t="shared" ref="AC46:AC50" si="34">IF(AA46&gt;D$22,0,IF(D$22&gt;AA47,(AA47-AA46)*D$13*AB47,(D$22-AA46)*AB47*D$13))</f>
        <v>0</v>
      </c>
      <c r="AD46" s="18">
        <v>9.9000000000000001E-6</v>
      </c>
      <c r="AE46" s="114">
        <f t="shared" ref="AE46:AE50" si="35">IF(AA46&gt;D$22,0,IF(D$22&gt;AA47,(AA47-AA46)*D$17*AD47,(D$22-AA46)*AD47*D$17))</f>
        <v>0</v>
      </c>
      <c r="AF46" s="18">
        <v>8.2800000000000007E-5</v>
      </c>
      <c r="AG46" s="114">
        <f t="shared" ref="AG46:AG50" si="36">IF(AA46&gt;D$22,0,IF(D$22&gt;AA47,(AA47-AA46)*D$20*AF47,(D$22-AA46)*AF47*D$20))</f>
        <v>0</v>
      </c>
      <c r="AH46" s="27"/>
    </row>
    <row r="47" spans="1:34" ht="14.4" customHeight="1" x14ac:dyDescent="0.25">
      <c r="A47" s="214"/>
      <c r="B47" s="215"/>
      <c r="C47" s="215"/>
      <c r="D47" s="215"/>
      <c r="E47" s="216"/>
      <c r="F47" s="27"/>
      <c r="G47" s="3" t="s">
        <v>159</v>
      </c>
      <c r="H47" s="44" t="e">
        <f>H43*(H40-H41)/2</f>
        <v>#N/A</v>
      </c>
      <c r="I47" s="114" t="s">
        <v>223</v>
      </c>
      <c r="L47" s="27"/>
      <c r="M47" s="1" t="str">
        <f t="shared" si="32"/>
        <v/>
      </c>
      <c r="O47" s="162">
        <f t="shared" si="33"/>
        <v>121</v>
      </c>
      <c r="P47" s="4">
        <v>16200</v>
      </c>
      <c r="Q47" s="7">
        <v>40.820630599648808</v>
      </c>
      <c r="R47" s="18">
        <f>1.8*0.000004</f>
        <v>7.1999999999999997E-6</v>
      </c>
      <c r="S47" s="18">
        <f>1.8*0.0000067</f>
        <v>1.2060000000000001E-5</v>
      </c>
      <c r="T47" s="18">
        <f>1.8*0.000075</f>
        <v>1.35E-4</v>
      </c>
      <c r="U47" s="58" t="str">
        <f t="shared" si="29"/>
        <v/>
      </c>
      <c r="V47" s="58" t="str">
        <f t="shared" si="30"/>
        <v/>
      </c>
      <c r="W47" s="168" t="str">
        <f t="shared" si="31"/>
        <v/>
      </c>
      <c r="X47" s="56" t="str">
        <f t="shared" ref="X47:Y51" si="37">IF(U47="","",IF(U47&lt;75,0.05,IF(U47&lt;152.4,0.08,IF(U47&lt;304.8,0.1,"Check"))))</f>
        <v/>
      </c>
      <c r="Y47" s="56" t="str">
        <f t="shared" si="37"/>
        <v/>
      </c>
      <c r="Z47" s="27"/>
      <c r="AA47" s="4">
        <v>121.11111111111111</v>
      </c>
      <c r="AB47" s="18">
        <v>9.9000000000000001E-6</v>
      </c>
      <c r="AC47" s="114">
        <f t="shared" si="34"/>
        <v>0</v>
      </c>
      <c r="AD47" s="18">
        <v>1.2060000000000001E-5</v>
      </c>
      <c r="AE47" s="114">
        <f t="shared" si="35"/>
        <v>0</v>
      </c>
      <c r="AF47" s="18">
        <v>1.35E-4</v>
      </c>
      <c r="AG47" s="114">
        <f t="shared" si="36"/>
        <v>0</v>
      </c>
      <c r="AH47" s="27"/>
    </row>
    <row r="48" spans="1:34" ht="14.4" customHeight="1" x14ac:dyDescent="0.25">
      <c r="A48" s="214"/>
      <c r="B48" s="215"/>
      <c r="C48" s="215"/>
      <c r="D48" s="215"/>
      <c r="E48" s="216"/>
      <c r="F48" s="27"/>
      <c r="G48" s="3" t="s">
        <v>160</v>
      </c>
      <c r="H48" s="48" t="e">
        <f>H45/H46</f>
        <v>#VALUE!</v>
      </c>
      <c r="I48" s="114" t="s">
        <v>224</v>
      </c>
      <c r="L48" s="27"/>
      <c r="M48" s="1" t="str">
        <f t="shared" si="32"/>
        <v/>
      </c>
      <c r="O48" s="162">
        <f t="shared" si="33"/>
        <v>149</v>
      </c>
      <c r="P48" s="4">
        <v>9150</v>
      </c>
      <c r="Q48" s="7">
        <v>22.407961202797175</v>
      </c>
      <c r="R48" s="18">
        <f>1.8*0.0000055</f>
        <v>9.9000000000000001E-6</v>
      </c>
      <c r="S48" s="18">
        <f>1.8*0.0000067</f>
        <v>1.2060000000000001E-5</v>
      </c>
      <c r="T48" s="18">
        <f>1.8*0.0001</f>
        <v>1.8000000000000001E-4</v>
      </c>
      <c r="U48" s="58" t="str">
        <f t="shared" si="29"/>
        <v/>
      </c>
      <c r="V48" s="58" t="str">
        <f t="shared" si="30"/>
        <v/>
      </c>
      <c r="W48" s="168" t="str">
        <f t="shared" si="31"/>
        <v/>
      </c>
      <c r="X48" s="56" t="str">
        <f>IF(U48="","",IF(U48&lt;75,0.05,IF(U48&lt;152.4,0.08,IF(U48&lt;304.8,0.1,"Check"))))</f>
        <v/>
      </c>
      <c r="Y48" s="56" t="str">
        <f t="shared" si="37"/>
        <v/>
      </c>
      <c r="Z48" s="27"/>
      <c r="AA48" s="4">
        <v>148.88888888888889</v>
      </c>
      <c r="AB48" s="18">
        <v>9.9000000000000001E-6</v>
      </c>
      <c r="AC48" s="114">
        <f t="shared" si="34"/>
        <v>0</v>
      </c>
      <c r="AD48" s="18">
        <v>1.2060000000000001E-5</v>
      </c>
      <c r="AE48" s="114">
        <f t="shared" si="35"/>
        <v>0</v>
      </c>
      <c r="AF48" s="18">
        <v>1.8000000000000001E-4</v>
      </c>
      <c r="AG48" s="114">
        <f t="shared" si="36"/>
        <v>0</v>
      </c>
      <c r="AH48" s="27"/>
    </row>
    <row r="49" spans="1:35" ht="14.4" customHeight="1" x14ac:dyDescent="0.25">
      <c r="A49" s="214"/>
      <c r="B49" s="215"/>
      <c r="C49" s="215"/>
      <c r="D49" s="215"/>
      <c r="E49" s="216"/>
      <c r="F49" s="27"/>
      <c r="G49" s="3" t="s">
        <v>157</v>
      </c>
      <c r="H49" s="48" t="e">
        <f>H45/H47</f>
        <v>#VALUE!</v>
      </c>
      <c r="I49" s="114" t="s">
        <v>224</v>
      </c>
      <c r="L49" s="27"/>
      <c r="M49" s="1" t="str">
        <f t="shared" si="32"/>
        <v/>
      </c>
      <c r="O49" s="162">
        <f t="shared" si="33"/>
        <v>177</v>
      </c>
      <c r="P49" s="4">
        <v>7320</v>
      </c>
      <c r="Q49" s="7">
        <v>17.926368962237742</v>
      </c>
      <c r="R49" s="18">
        <f>1.8*0.0000055</f>
        <v>9.9000000000000001E-6</v>
      </c>
      <c r="S49" s="18">
        <f>1.8*0.000008</f>
        <v>1.4399999999999999E-5</v>
      </c>
      <c r="T49" s="18">
        <f>1.8*0.00012</f>
        <v>2.1600000000000002E-4</v>
      </c>
      <c r="U49" s="58" t="str">
        <f t="shared" si="29"/>
        <v/>
      </c>
      <c r="V49" s="58" t="str">
        <f t="shared" si="30"/>
        <v/>
      </c>
      <c r="W49" s="168" t="str">
        <f t="shared" si="31"/>
        <v/>
      </c>
      <c r="X49" s="56" t="str">
        <f t="shared" si="37"/>
        <v/>
      </c>
      <c r="Y49" s="56" t="str">
        <f t="shared" si="37"/>
        <v/>
      </c>
      <c r="Z49" s="27"/>
      <c r="AA49" s="4">
        <v>176.66666666666666</v>
      </c>
      <c r="AB49" s="18">
        <v>1.26E-5</v>
      </c>
      <c r="AC49" s="114">
        <f t="shared" si="34"/>
        <v>0</v>
      </c>
      <c r="AD49" s="18">
        <v>1.4399999999999999E-5</v>
      </c>
      <c r="AE49" s="114">
        <f t="shared" si="35"/>
        <v>0</v>
      </c>
      <c r="AF49" s="18">
        <v>2.34E-4</v>
      </c>
      <c r="AG49" s="114">
        <f t="shared" si="36"/>
        <v>0</v>
      </c>
      <c r="AH49" s="27"/>
    </row>
    <row r="50" spans="1:35" ht="14.4" customHeight="1" x14ac:dyDescent="0.3">
      <c r="A50" s="214"/>
      <c r="B50" s="215"/>
      <c r="C50" s="215"/>
      <c r="D50" s="215"/>
      <c r="E50" s="216"/>
      <c r="F50" s="66"/>
      <c r="G50" s="6" t="s">
        <v>11</v>
      </c>
      <c r="H50" s="42" t="e">
        <f>(D25+J28-J14)/2</f>
        <v>#VALUE!</v>
      </c>
      <c r="I50" s="114" t="s">
        <v>220</v>
      </c>
      <c r="L50" s="27"/>
      <c r="M50" s="1" t="str">
        <f t="shared" si="32"/>
        <v/>
      </c>
      <c r="O50" s="162">
        <f t="shared" si="33"/>
        <v>204</v>
      </c>
      <c r="P50" s="4">
        <v>5490</v>
      </c>
      <c r="Q50" s="7">
        <v>13.444776721678306</v>
      </c>
      <c r="R50" s="18">
        <f>1.8*0.000007</f>
        <v>1.26E-5</v>
      </c>
      <c r="S50" s="18">
        <f>1.8*0.000008</f>
        <v>1.4399999999999999E-5</v>
      </c>
      <c r="T50" s="18">
        <f>1.8*0.00013</f>
        <v>2.34E-4</v>
      </c>
      <c r="U50" s="58" t="str">
        <f t="shared" si="29"/>
        <v/>
      </c>
      <c r="V50" s="58" t="str">
        <f t="shared" si="30"/>
        <v/>
      </c>
      <c r="W50" s="168" t="str">
        <f t="shared" si="31"/>
        <v/>
      </c>
      <c r="X50" s="56" t="str">
        <f t="shared" si="37"/>
        <v/>
      </c>
      <c r="Y50" s="56" t="str">
        <f t="shared" si="37"/>
        <v/>
      </c>
      <c r="Z50" s="27"/>
      <c r="AA50" s="4">
        <v>204.44444444444443</v>
      </c>
      <c r="AB50" s="18">
        <v>1.6200000000000001E-5</v>
      </c>
      <c r="AC50" s="114">
        <f t="shared" si="34"/>
        <v>0</v>
      </c>
      <c r="AD50" s="18">
        <v>1.4399999999999999E-5</v>
      </c>
      <c r="AE50" s="114">
        <f t="shared" si="35"/>
        <v>0</v>
      </c>
      <c r="AF50" s="18">
        <v>3.0600000000000001E-4</v>
      </c>
      <c r="AG50" s="114">
        <f t="shared" si="36"/>
        <v>0</v>
      </c>
      <c r="AH50" s="27"/>
    </row>
    <row r="51" spans="1:35" ht="14.4" customHeight="1" x14ac:dyDescent="0.3">
      <c r="A51" s="214"/>
      <c r="B51" s="215"/>
      <c r="C51" s="215"/>
      <c r="D51" s="215"/>
      <c r="E51" s="216"/>
      <c r="F51" s="66"/>
      <c r="G51" s="6" t="s">
        <v>14</v>
      </c>
      <c r="H51" s="42" t="e">
        <f>$J$37/2</f>
        <v>#VALUE!</v>
      </c>
      <c r="I51" s="114" t="s">
        <v>220</v>
      </c>
      <c r="L51" s="27"/>
      <c r="M51" s="1" t="str">
        <f t="shared" si="32"/>
        <v/>
      </c>
      <c r="O51" s="162">
        <f t="shared" si="33"/>
        <v>260</v>
      </c>
      <c r="P51" s="4">
        <v>4600</v>
      </c>
      <c r="Q51" s="7">
        <v>11.479770893125322</v>
      </c>
      <c r="R51" s="18">
        <f>1.8*0.000009</f>
        <v>1.6200000000000001E-5</v>
      </c>
      <c r="S51" s="18">
        <f>1.8*0.0000102</f>
        <v>1.836E-5</v>
      </c>
      <c r="T51" s="18">
        <f>1.8*0.00017</f>
        <v>3.0600000000000001E-4</v>
      </c>
      <c r="U51" s="58" t="str">
        <f t="shared" si="29"/>
        <v/>
      </c>
      <c r="V51" s="58" t="str">
        <f t="shared" si="30"/>
        <v/>
      </c>
      <c r="W51" s="168" t="str">
        <f>IF(M51=O$43,IF(D$22&gt;260,"Check Temp Range",IF(D$22&gt;149,D$20-$AG$52,D$20)),"")</f>
        <v/>
      </c>
      <c r="X51" s="56" t="str">
        <f t="shared" si="37"/>
        <v/>
      </c>
      <c r="Y51" s="56" t="str">
        <f t="shared" si="37"/>
        <v/>
      </c>
      <c r="Z51" s="27"/>
      <c r="AA51" s="4">
        <v>260</v>
      </c>
      <c r="AB51" s="18">
        <v>1.6200000000000001E-5</v>
      </c>
      <c r="AC51" s="114">
        <f>IF(AA51&gt;D$22,0,IF(D$22&gt;AA52,(AA52-AA51)*D$13*AB51,(D$22-AA51)*AB51*D$13))</f>
        <v>0</v>
      </c>
      <c r="AD51" s="18">
        <v>1.836E-5</v>
      </c>
      <c r="AE51" s="114">
        <f t="shared" ref="AE51" si="38">IF(AA51&gt;D$22,0,IF(D$22&gt;AA52,(AA52-AA51)*D$17*AD51,(D$22-AA51)*AD51*D$17))</f>
        <v>0</v>
      </c>
      <c r="AF51" s="18">
        <v>3.0600000000000001E-4</v>
      </c>
      <c r="AG51" s="114">
        <f t="shared" ref="AG51" si="39">IF(AA51&gt;D$22,0,IF(D$22&gt;AA52,(AA52-AA51)*D$20*AF51,(D$22-AA51)*AF51*D$20))</f>
        <v>0</v>
      </c>
      <c r="AH51" s="27"/>
    </row>
    <row r="52" spans="1:35" ht="14.4" customHeight="1" x14ac:dyDescent="0.25">
      <c r="A52" s="214"/>
      <c r="B52" s="215"/>
      <c r="C52" s="215"/>
      <c r="D52" s="215"/>
      <c r="E52" s="216"/>
      <c r="F52" s="27"/>
      <c r="G52" s="3" t="s">
        <v>161</v>
      </c>
      <c r="H52" s="172" t="e">
        <f>10*H50/(H48+H49)</f>
        <v>#VALUE!</v>
      </c>
      <c r="I52" s="127" t="s">
        <v>221</v>
      </c>
      <c r="J52" s="161"/>
      <c r="K52" s="173"/>
      <c r="L52" s="26"/>
      <c r="Z52" s="27"/>
      <c r="AA52" s="113">
        <v>316</v>
      </c>
      <c r="AC52" s="1">
        <f>SUM(AC45:AC51)</f>
        <v>0</v>
      </c>
      <c r="AE52" s="1">
        <f>SUM(AE45:AE51)</f>
        <v>0</v>
      </c>
      <c r="AG52" s="1">
        <f>SUM(AG45:AG51)</f>
        <v>0</v>
      </c>
      <c r="AH52" s="27"/>
    </row>
    <row r="53" spans="1:35" ht="14.4" customHeight="1" x14ac:dyDescent="0.25">
      <c r="A53" s="214"/>
      <c r="B53" s="215"/>
      <c r="C53" s="215"/>
      <c r="D53" s="215"/>
      <c r="E53" s="216"/>
      <c r="F53" s="27"/>
      <c r="G53" s="3" t="s">
        <v>162</v>
      </c>
      <c r="H53" s="172" t="e">
        <f>10*H51/(H40^2/(H40^2-H41^2))*(H43/H41)</f>
        <v>#VALUE!</v>
      </c>
      <c r="I53" s="127" t="s">
        <v>221</v>
      </c>
      <c r="J53" s="161"/>
      <c r="K53" s="173"/>
      <c r="L53" s="27"/>
      <c r="O53" s="6" t="s">
        <v>199</v>
      </c>
      <c r="P53" s="208" t="s">
        <v>190</v>
      </c>
      <c r="Q53" s="210"/>
      <c r="R53" s="208" t="s">
        <v>191</v>
      </c>
      <c r="S53" s="209"/>
      <c r="T53" s="210"/>
      <c r="U53" s="208" t="s">
        <v>238</v>
      </c>
      <c r="V53" s="209"/>
      <c r="W53" s="209"/>
      <c r="X53" s="209"/>
      <c r="Y53" s="210"/>
      <c r="Z53" s="27"/>
      <c r="AA53" s="1" t="s">
        <v>200</v>
      </c>
      <c r="AC53" s="1">
        <f>AC62</f>
        <v>0</v>
      </c>
      <c r="AE53" s="1">
        <f t="shared" ref="AE53:AG53" si="40">AE62</f>
        <v>0</v>
      </c>
      <c r="AG53" s="1">
        <f t="shared" si="40"/>
        <v>0</v>
      </c>
      <c r="AH53" s="27"/>
    </row>
    <row r="54" spans="1:35" ht="14.4" customHeight="1" x14ac:dyDescent="0.25">
      <c r="A54" s="214"/>
      <c r="B54" s="215"/>
      <c r="C54" s="215"/>
      <c r="D54" s="215"/>
      <c r="E54" s="216"/>
      <c r="F54" s="27"/>
      <c r="G54" s="6" t="s">
        <v>10</v>
      </c>
      <c r="H54" s="172" t="e">
        <f>(H41)/(H40-H41)</f>
        <v>#VALUE!</v>
      </c>
      <c r="I54" s="114" t="s">
        <v>225</v>
      </c>
      <c r="L54" s="27"/>
      <c r="O54" s="163" t="s">
        <v>151</v>
      </c>
      <c r="P54" s="163" t="s">
        <v>81</v>
      </c>
      <c r="Q54" s="163" t="s">
        <v>82</v>
      </c>
      <c r="R54" s="163" t="s">
        <v>80</v>
      </c>
      <c r="S54" s="163" t="s">
        <v>83</v>
      </c>
      <c r="T54" s="163" t="s">
        <v>84</v>
      </c>
      <c r="U54" s="37" t="s">
        <v>111</v>
      </c>
      <c r="V54" s="37" t="s">
        <v>112</v>
      </c>
      <c r="W54" s="37" t="s">
        <v>113</v>
      </c>
      <c r="X54" s="162" t="s">
        <v>132</v>
      </c>
      <c r="Y54" s="162" t="s">
        <v>133</v>
      </c>
      <c r="Z54" s="27"/>
      <c r="AA54" s="162" t="s">
        <v>189</v>
      </c>
      <c r="AB54" s="162" t="s">
        <v>80</v>
      </c>
      <c r="AC54" s="162" t="s">
        <v>193</v>
      </c>
      <c r="AD54" s="162" t="s">
        <v>83</v>
      </c>
      <c r="AE54" s="162" t="s">
        <v>193</v>
      </c>
      <c r="AF54" s="162" t="s">
        <v>84</v>
      </c>
      <c r="AG54" s="162" t="s">
        <v>193</v>
      </c>
      <c r="AH54" s="1" t="s">
        <v>201</v>
      </c>
      <c r="AI54" s="161" t="s">
        <v>193</v>
      </c>
    </row>
    <row r="55" spans="1:35" ht="14.4" customHeight="1" x14ac:dyDescent="0.3">
      <c r="A55" s="214"/>
      <c r="B55" s="215"/>
      <c r="C55" s="215"/>
      <c r="D55" s="215"/>
      <c r="E55" s="216"/>
      <c r="F55" s="26"/>
      <c r="G55" s="6" t="s">
        <v>15</v>
      </c>
      <c r="H55" s="9" t="e">
        <f>H52+H53</f>
        <v>#VALUE!</v>
      </c>
      <c r="I55" s="127" t="s">
        <v>221</v>
      </c>
      <c r="L55" s="27"/>
      <c r="M55" s="1" t="str">
        <f>IF(C$7=$O$53,IF(D$22=24,C$7,""),"")</f>
        <v/>
      </c>
      <c r="N55" s="1" t="str">
        <f>IF(C$7=$O$53,C$7,"")</f>
        <v/>
      </c>
      <c r="O55" s="162">
        <f>O45</f>
        <v>24</v>
      </c>
      <c r="P55" s="4">
        <v>11790.0396</v>
      </c>
      <c r="Q55" s="7">
        <v>78.545967765</v>
      </c>
      <c r="R55" s="121"/>
      <c r="S55" s="18">
        <v>6.9903618485596776E-6</v>
      </c>
      <c r="T55" s="18">
        <v>1.7739513195473249E-4</v>
      </c>
      <c r="U55" s="141" t="str">
        <f>IF(M55=O$53,IF(D$22&gt;260,"Check Temperature",J$14+J$36-J$28),"")</f>
        <v/>
      </c>
      <c r="V55" s="24" t="str">
        <f>IF(M55=O$53,IF(D$22&gt;260,"Check Temp Range",D$13+J$37+J$9+J$28-J$21-J$15),"")</f>
        <v/>
      </c>
      <c r="W55" s="143" t="str">
        <f>IF(M55=O$53,IF(D$22&gt;260,"Check Temp Range",IF(D$22&gt;65,D$20-$AG$62,D$20)),"")</f>
        <v/>
      </c>
      <c r="X55" s="56" t="str">
        <f t="shared" ref="X55:Y61" si="41">IF(U55="","",IF(U55&lt;75,0.05,IF(U55&lt;152.4,0.08,IF(U55&lt;304.8,0.1,"Check"))))</f>
        <v/>
      </c>
      <c r="Y55" s="56" t="str">
        <f t="shared" si="41"/>
        <v/>
      </c>
      <c r="Z55" s="27"/>
      <c r="AA55" s="162">
        <v>24</v>
      </c>
      <c r="AB55" s="111"/>
      <c r="AC55" s="112">
        <f>AE55-2*AI55</f>
        <v>0</v>
      </c>
      <c r="AD55" s="18">
        <v>6.9903618485596776E-6</v>
      </c>
      <c r="AE55" s="114">
        <f>IF(AA55&gt;D$22,0,IF(D$22&gt;AA56,(AA56-AA55)*D$17*AD56,(D$22-AA55)*AD56*D$17))</f>
        <v>0</v>
      </c>
      <c r="AF55" s="18">
        <v>1.7739513195473249E-4</v>
      </c>
      <c r="AG55" s="155">
        <f>IF(AA55&gt;D$22,0,IF(D$22&gt;AA56,(AA56-AA55)*D$20*AF56,(D$22-AA55)*AF56*D$20))</f>
        <v>0</v>
      </c>
      <c r="AH55" s="114">
        <v>4.227218458847732E-5</v>
      </c>
      <c r="AI55" s="138">
        <f>IF(AA55&gt;D$22,0,IF(D$22&gt;AA56,(AA56-AA55)*(D$17-D$13)/2*AH56,(D$22-AA55)*AH56*(D$17-D$13)/2))</f>
        <v>0</v>
      </c>
    </row>
    <row r="56" spans="1:35" ht="14.4" customHeight="1" x14ac:dyDescent="0.3">
      <c r="A56" s="214"/>
      <c r="B56" s="215"/>
      <c r="C56" s="215"/>
      <c r="D56" s="215"/>
      <c r="E56" s="216"/>
      <c r="F56" s="27"/>
      <c r="G56" s="27"/>
      <c r="H56" s="27"/>
      <c r="I56" s="27"/>
      <c r="J56" s="27"/>
      <c r="K56" s="27"/>
      <c r="L56" s="27"/>
      <c r="M56" s="1" t="str">
        <f>IF(C$7=$O$53,IF($O55&lt;D$22,IF(D$22&lt;=$O56,C$7,""),""),"")</f>
        <v/>
      </c>
      <c r="O56" s="162">
        <f t="shared" ref="O56:O61" si="42">O46</f>
        <v>93</v>
      </c>
      <c r="P56" s="4">
        <v>9095.7569979</v>
      </c>
      <c r="Q56" s="7">
        <v>67.425581730000005</v>
      </c>
      <c r="R56" s="121"/>
      <c r="S56" s="18">
        <v>5.5080814781892998E-6</v>
      </c>
      <c r="T56" s="18">
        <v>2.1855191899176934E-4</v>
      </c>
      <c r="U56" s="141" t="str">
        <f t="shared" ref="U56:U60" si="43">IF(M56=O$53,IF(D$22&gt;260,"Check Temperature",J$14+J$36-J$28),"")</f>
        <v/>
      </c>
      <c r="V56" s="24" t="str">
        <f t="shared" ref="V56:V61" si="44">IF(M56=O$53,IF(D$22&gt;260,"Check Temp Range",D$13+J$37+J$9+J$28-J$21-J$15),"")</f>
        <v/>
      </c>
      <c r="W56" s="143" t="str">
        <f t="shared" ref="W56:W61" si="45">IF(M56=O$53,IF(D$22&gt;260,"Check Temp Range",IF(D$22&gt;65,D$20-$AG$62,D$20)),"")</f>
        <v/>
      </c>
      <c r="X56" s="56" t="str">
        <f t="shared" si="41"/>
        <v/>
      </c>
      <c r="Y56" s="56" t="str">
        <f t="shared" si="41"/>
        <v/>
      </c>
      <c r="Z56" s="27"/>
      <c r="AA56" s="162">
        <v>93</v>
      </c>
      <c r="AB56" s="111"/>
      <c r="AC56" s="112">
        <f t="shared" ref="AC56:AC61" si="46">AE56-2*AI56</f>
        <v>0</v>
      </c>
      <c r="AD56" s="18">
        <v>5.5080814781892998E-6</v>
      </c>
      <c r="AE56" s="114">
        <f t="shared" ref="AE56:AE61" si="47">IF(AA56&gt;D$22,0,IF(D$22&gt;AA57,(AA57-AA56)*D$17*AD57,(D$22-AA56)*AD57*D$17))</f>
        <v>0</v>
      </c>
      <c r="AF56" s="18">
        <v>2.1855191899176934E-4</v>
      </c>
      <c r="AG56" s="155">
        <f t="shared" ref="AG56:AG61" si="48">IF(AA56&gt;D$22,0,IF(D$22&gt;AA57,(AA57-AA56)*D$20*AF57,(D$22-AA56)*AF57*D$20))</f>
        <v>0</v>
      </c>
      <c r="AH56" s="114">
        <v>3.4679971625514398E-5</v>
      </c>
      <c r="AI56" s="138">
        <f t="shared" ref="AI56:AI61" si="49">IF(AA56&gt;D$22,0,IF(D$22&gt;AA57,(AA57-AA56)*(D$17-D$13)/2*AH57,(D$22-AA56)*AH57*(D$17-D$13)/2))</f>
        <v>0</v>
      </c>
    </row>
    <row r="57" spans="1:35" ht="14.4" customHeight="1" x14ac:dyDescent="0.3">
      <c r="A57" s="214"/>
      <c r="B57" s="215"/>
      <c r="C57" s="215"/>
      <c r="D57" s="215"/>
      <c r="E57" s="216"/>
      <c r="L57" s="27"/>
      <c r="M57" s="1" t="str">
        <f t="shared" ref="M57:M61" si="50">IF(C$7=$O$53,IF($O56&lt;D$22,IF(D$22&lt;=$O57,C$7,""),""),"")</f>
        <v/>
      </c>
      <c r="O57" s="162">
        <f t="shared" si="42"/>
        <v>121</v>
      </c>
      <c r="P57" s="4">
        <v>8018.0439570600001</v>
      </c>
      <c r="Q57" s="7">
        <v>62.91296131</v>
      </c>
      <c r="R57" s="121"/>
      <c r="S57" s="18">
        <v>5.5964145646090491E-6</v>
      </c>
      <c r="T57" s="18">
        <v>2.4254708411522604E-4</v>
      </c>
      <c r="U57" s="141" t="str">
        <f t="shared" si="43"/>
        <v/>
      </c>
      <c r="V57" s="24" t="str">
        <f t="shared" si="44"/>
        <v/>
      </c>
      <c r="W57" s="143" t="str">
        <f t="shared" si="45"/>
        <v/>
      </c>
      <c r="X57" s="56" t="str">
        <f t="shared" si="41"/>
        <v/>
      </c>
      <c r="Y57" s="56" t="str">
        <f t="shared" si="41"/>
        <v/>
      </c>
      <c r="Z57" s="27"/>
      <c r="AA57" s="162">
        <v>121</v>
      </c>
      <c r="AB57" s="111"/>
      <c r="AC57" s="112">
        <f t="shared" si="46"/>
        <v>0</v>
      </c>
      <c r="AD57" s="18">
        <v>5.5964145646090491E-6</v>
      </c>
      <c r="AE57" s="114">
        <f t="shared" si="47"/>
        <v>0</v>
      </c>
      <c r="AF57" s="18">
        <v>2.4254708411522604E-4</v>
      </c>
      <c r="AG57" s="155">
        <f t="shared" si="48"/>
        <v>0</v>
      </c>
      <c r="AH57" s="114">
        <v>3.6319121316872559E-5</v>
      </c>
      <c r="AI57" s="138">
        <f t="shared" si="49"/>
        <v>0</v>
      </c>
    </row>
    <row r="58" spans="1:35" x14ac:dyDescent="0.3">
      <c r="A58" s="214"/>
      <c r="B58" s="215"/>
      <c r="C58" s="215"/>
      <c r="D58" s="215"/>
      <c r="E58" s="216"/>
      <c r="L58" s="27"/>
      <c r="M58" s="1" t="str">
        <f t="shared" si="50"/>
        <v/>
      </c>
      <c r="O58" s="162">
        <f t="shared" si="42"/>
        <v>149</v>
      </c>
      <c r="P58" s="4">
        <v>6940.3309162199994</v>
      </c>
      <c r="Q58" s="7">
        <v>58.400340889999995</v>
      </c>
      <c r="R58" s="121"/>
      <c r="S58" s="18">
        <v>6.0744760460905188E-6</v>
      </c>
      <c r="T58" s="18">
        <v>2.7085143133744787E-4</v>
      </c>
      <c r="U58" s="141" t="str">
        <f t="shared" si="43"/>
        <v/>
      </c>
      <c r="V58" s="24" t="str">
        <f t="shared" si="44"/>
        <v/>
      </c>
      <c r="W58" s="143" t="str">
        <f t="shared" si="45"/>
        <v/>
      </c>
      <c r="X58" s="56" t="str">
        <f t="shared" si="41"/>
        <v/>
      </c>
      <c r="Y58" s="56" t="str">
        <f t="shared" si="41"/>
        <v/>
      </c>
      <c r="Z58" s="27"/>
      <c r="AA58" s="162">
        <v>149</v>
      </c>
      <c r="AB58" s="111"/>
      <c r="AC58" s="112">
        <f t="shared" si="46"/>
        <v>0</v>
      </c>
      <c r="AD58" s="18">
        <v>6.0744760460905188E-6</v>
      </c>
      <c r="AE58" s="114">
        <f t="shared" si="47"/>
        <v>0</v>
      </c>
      <c r="AF58" s="18">
        <v>2.7085143133744787E-4</v>
      </c>
      <c r="AG58" s="155">
        <f t="shared" si="48"/>
        <v>0</v>
      </c>
      <c r="AH58" s="114">
        <v>4.0633348168724065E-5</v>
      </c>
      <c r="AI58" s="138">
        <f t="shared" si="49"/>
        <v>0</v>
      </c>
    </row>
    <row r="59" spans="1:35" x14ac:dyDescent="0.3">
      <c r="A59" s="260"/>
      <c r="B59" s="261"/>
      <c r="C59" s="261"/>
      <c r="D59" s="261"/>
      <c r="E59" s="262"/>
      <c r="L59" s="27"/>
      <c r="M59" s="1" t="str">
        <f t="shared" si="50"/>
        <v/>
      </c>
      <c r="O59" s="162">
        <f t="shared" si="42"/>
        <v>177</v>
      </c>
      <c r="P59" s="4">
        <v>5862.6178753799995</v>
      </c>
      <c r="Q59" s="7">
        <v>53.887720469999998</v>
      </c>
      <c r="R59" s="121"/>
      <c r="S59" s="18">
        <v>6.9422659226337266E-6</v>
      </c>
      <c r="T59" s="18">
        <v>2.7085143133744787E-4</v>
      </c>
      <c r="U59" s="141" t="str">
        <f t="shared" si="43"/>
        <v/>
      </c>
      <c r="V59" s="24" t="str">
        <f t="shared" si="44"/>
        <v/>
      </c>
      <c r="W59" s="143" t="str">
        <f t="shared" si="45"/>
        <v/>
      </c>
      <c r="X59" s="56" t="str">
        <f t="shared" si="41"/>
        <v/>
      </c>
      <c r="Y59" s="56" t="str">
        <f t="shared" si="41"/>
        <v/>
      </c>
      <c r="Z59" s="27"/>
      <c r="AA59" s="162">
        <v>177</v>
      </c>
      <c r="AB59" s="111"/>
      <c r="AC59" s="112">
        <f t="shared" si="46"/>
        <v>0</v>
      </c>
      <c r="AD59" s="18">
        <v>6.9422659226337266E-6</v>
      </c>
      <c r="AE59" s="114">
        <f t="shared" si="47"/>
        <v>0</v>
      </c>
      <c r="AF59" s="18">
        <v>2.7085143133744787E-4</v>
      </c>
      <c r="AG59" s="155">
        <f t="shared" si="48"/>
        <v>0</v>
      </c>
      <c r="AH59" s="114">
        <v>4.7622652181069856E-5</v>
      </c>
      <c r="AI59" s="138">
        <f t="shared" si="49"/>
        <v>0</v>
      </c>
    </row>
    <row r="60" spans="1:35" x14ac:dyDescent="0.3">
      <c r="L60" s="27"/>
      <c r="M60" s="1" t="str">
        <f t="shared" si="50"/>
        <v/>
      </c>
      <c r="O60" s="162">
        <f t="shared" si="42"/>
        <v>204</v>
      </c>
      <c r="P60" s="4">
        <v>4784.9048345399997</v>
      </c>
      <c r="Q60" s="7">
        <v>49.536265064999995</v>
      </c>
      <c r="R60" s="121"/>
      <c r="S60" s="18">
        <v>8.199784194238687E-6</v>
      </c>
      <c r="T60" s="18">
        <v>2.7085143133744787E-4</v>
      </c>
      <c r="U60" s="141" t="str">
        <f t="shared" si="43"/>
        <v/>
      </c>
      <c r="V60" s="24" t="str">
        <f t="shared" si="44"/>
        <v/>
      </c>
      <c r="W60" s="143" t="str">
        <f>IF(M60=O$53,IF(D$22&gt;260,"Check Temp Range",IF(D$22&gt;65,D$20-$AG$62,D$20)),"")</f>
        <v/>
      </c>
      <c r="X60" s="56" t="str">
        <f t="shared" si="41"/>
        <v/>
      </c>
      <c r="Y60" s="56" t="str">
        <f t="shared" si="41"/>
        <v/>
      </c>
      <c r="Z60" s="27"/>
      <c r="AA60" s="162">
        <v>204</v>
      </c>
      <c r="AB60" s="111"/>
      <c r="AC60" s="112">
        <f t="shared" si="46"/>
        <v>0</v>
      </c>
      <c r="AD60" s="18">
        <v>8.199784194238687E-6</v>
      </c>
      <c r="AE60" s="114">
        <f>IF(AA60&gt;D$22,0,IF(D$22&gt;AA61,(AA61-AA60)*D$17*AD61,(D$22-AA60)*AD61*D$17))</f>
        <v>0</v>
      </c>
      <c r="AF60" s="18">
        <v>2.7085143133744787E-4</v>
      </c>
      <c r="AG60" s="155">
        <f t="shared" si="48"/>
        <v>0</v>
      </c>
      <c r="AH60" s="114">
        <v>5.728703335390946E-5</v>
      </c>
      <c r="AI60" s="138">
        <f t="shared" si="49"/>
        <v>0</v>
      </c>
    </row>
    <row r="61" spans="1:35" x14ac:dyDescent="0.3">
      <c r="L61" s="27"/>
      <c r="M61" s="1" t="str">
        <f t="shared" si="50"/>
        <v/>
      </c>
      <c r="O61" s="162">
        <f t="shared" si="42"/>
        <v>260</v>
      </c>
      <c r="P61" s="174">
        <v>3707.1917936999998</v>
      </c>
      <c r="Q61" s="131">
        <v>40.511024225</v>
      </c>
      <c r="R61" s="121"/>
      <c r="S61" s="121">
        <f>0.00000660223*1.8</f>
        <v>1.1884014E-5</v>
      </c>
      <c r="T61" s="121">
        <f>0.000237311467341107*1.8</f>
        <v>4.271606412139926E-4</v>
      </c>
      <c r="U61" s="141" t="str">
        <f>IF(M61=O$53,IF(D$22&gt;260,"Check Temperature",J$14+J$36-J$28),"")</f>
        <v/>
      </c>
      <c r="V61" s="24" t="str">
        <f t="shared" si="44"/>
        <v/>
      </c>
      <c r="W61" s="143" t="str">
        <f t="shared" si="45"/>
        <v/>
      </c>
      <c r="X61" s="56" t="str">
        <f t="shared" si="41"/>
        <v/>
      </c>
      <c r="Y61" s="56" t="str">
        <f t="shared" si="41"/>
        <v/>
      </c>
      <c r="Z61" s="27"/>
      <c r="AA61" s="162">
        <v>260</v>
      </c>
      <c r="AB61" s="114"/>
      <c r="AC61" s="112">
        <f t="shared" si="46"/>
        <v>0</v>
      </c>
      <c r="AD61" s="18">
        <f>0.00000660223*1.8</f>
        <v>1.1884014E-5</v>
      </c>
      <c r="AE61" s="114">
        <f t="shared" si="47"/>
        <v>0</v>
      </c>
      <c r="AF61" s="18">
        <v>4.2716064121399178E-4</v>
      </c>
      <c r="AG61" s="155">
        <f t="shared" si="48"/>
        <v>0</v>
      </c>
      <c r="AH61" s="127">
        <v>8.4641027181070117E-5</v>
      </c>
      <c r="AI61" s="138">
        <f t="shared" si="49"/>
        <v>0</v>
      </c>
    </row>
    <row r="62" spans="1:35" x14ac:dyDescent="0.3">
      <c r="L62" s="27"/>
      <c r="Z62" s="27"/>
      <c r="AA62" s="162">
        <v>316</v>
      </c>
      <c r="AC62" s="1">
        <f>SUM(AC55:AC61)</f>
        <v>0</v>
      </c>
      <c r="AE62" s="1">
        <f>SUM(AE55:AE60)</f>
        <v>0</v>
      </c>
      <c r="AG62" s="1">
        <f>SUM(AG55:AG61)</f>
        <v>0</v>
      </c>
    </row>
    <row r="63" spans="1:35" x14ac:dyDescent="0.3">
      <c r="L63" s="27"/>
      <c r="Z63" s="27"/>
    </row>
    <row r="64" spans="1:35" x14ac:dyDescent="0.3">
      <c r="L64" s="27"/>
      <c r="Z64" s="27"/>
    </row>
    <row r="65" spans="4:37" x14ac:dyDescent="0.3">
      <c r="L65" s="27"/>
      <c r="Z65" s="27"/>
    </row>
    <row r="66" spans="4:37" x14ac:dyDescent="0.3">
      <c r="L66" s="27"/>
      <c r="O66" s="21" t="s">
        <v>89</v>
      </c>
      <c r="P66" s="21" t="s">
        <v>90</v>
      </c>
      <c r="Q66" s="21" t="s">
        <v>152</v>
      </c>
      <c r="R66" s="21" t="s">
        <v>153</v>
      </c>
      <c r="S66" s="21" t="s">
        <v>153</v>
      </c>
      <c r="Z66" s="27"/>
    </row>
    <row r="67" spans="4:37" x14ac:dyDescent="0.3">
      <c r="L67" s="27"/>
      <c r="O67" s="21" t="s">
        <v>129</v>
      </c>
      <c r="P67" s="21">
        <f>P68</f>
        <v>0.28999999999999998</v>
      </c>
      <c r="Q67" s="61">
        <f>Q68</f>
        <v>193053.20420871413</v>
      </c>
      <c r="R67" s="31" t="str">
        <f>C15</f>
        <v/>
      </c>
      <c r="S67" s="31" t="str">
        <f>C19</f>
        <v/>
      </c>
      <c r="Z67" s="27"/>
    </row>
    <row r="68" spans="4:37" x14ac:dyDescent="0.3">
      <c r="L68" s="27"/>
      <c r="O68" s="21" t="s">
        <v>93</v>
      </c>
      <c r="P68" s="21">
        <v>0.28999999999999998</v>
      </c>
      <c r="Q68" s="61">
        <v>193053.20420871413</v>
      </c>
      <c r="R68" s="88">
        <f>1.8*0.000009</f>
        <v>1.6200000000000001E-5</v>
      </c>
      <c r="S68" s="88">
        <f>R68</f>
        <v>1.6200000000000001E-5</v>
      </c>
      <c r="Z68" s="27"/>
      <c r="AA68" s="16"/>
      <c r="AK68" s="1"/>
    </row>
    <row r="69" spans="4:37" x14ac:dyDescent="0.3">
      <c r="L69" s="27"/>
      <c r="O69" s="21" t="s">
        <v>94</v>
      </c>
      <c r="P69" s="21">
        <v>0.3</v>
      </c>
      <c r="Q69" s="61">
        <v>199947.96150188247</v>
      </c>
      <c r="R69" s="88">
        <f>1.8*0.000006</f>
        <v>1.08E-5</v>
      </c>
      <c r="S69" s="88">
        <f t="shared" ref="S69:S76" si="51">R69</f>
        <v>1.08E-5</v>
      </c>
      <c r="Z69" s="27"/>
      <c r="AA69" s="16"/>
      <c r="AK69" s="1"/>
    </row>
    <row r="70" spans="4:37" x14ac:dyDescent="0.3">
      <c r="L70" s="27"/>
      <c r="O70" s="21" t="s">
        <v>95</v>
      </c>
      <c r="P70" s="21">
        <v>0.28999999999999998</v>
      </c>
      <c r="Q70" s="61">
        <v>204774.29160710034</v>
      </c>
      <c r="R70" s="88">
        <f>1.8*0.0000058</f>
        <v>1.0440000000000002E-5</v>
      </c>
      <c r="S70" s="88">
        <f t="shared" si="51"/>
        <v>1.0440000000000002E-5</v>
      </c>
      <c r="Z70" s="27"/>
      <c r="AA70" s="16"/>
      <c r="AK70" s="1"/>
    </row>
    <row r="71" spans="4:37" x14ac:dyDescent="0.3">
      <c r="D71" s="166"/>
      <c r="L71" s="27"/>
      <c r="O71" s="21" t="s">
        <v>209</v>
      </c>
      <c r="P71" s="21">
        <v>0.28999999999999998</v>
      </c>
      <c r="Q71" s="61">
        <v>197000</v>
      </c>
      <c r="R71" s="88">
        <v>1.3699999999999999E-5</v>
      </c>
      <c r="S71" s="88">
        <v>1.3699999999999999E-5</v>
      </c>
      <c r="T71" s="166"/>
      <c r="Z71" s="27"/>
      <c r="AA71" s="16"/>
      <c r="AK71" s="1"/>
    </row>
    <row r="72" spans="4:37" x14ac:dyDescent="0.3">
      <c r="L72" s="27"/>
      <c r="O72" s="21" t="s">
        <v>96</v>
      </c>
      <c r="P72" s="21">
        <v>0.28999999999999998</v>
      </c>
      <c r="Q72" s="61">
        <v>202705.86441914985</v>
      </c>
      <c r="R72" s="88">
        <f>1.8*0.0000065</f>
        <v>1.17E-5</v>
      </c>
      <c r="S72" s="88">
        <f t="shared" si="51"/>
        <v>1.17E-5</v>
      </c>
      <c r="W72" s="16"/>
      <c r="Z72" s="27"/>
      <c r="AA72" s="16"/>
      <c r="AK72" s="1"/>
    </row>
    <row r="73" spans="4:37" x14ac:dyDescent="0.3">
      <c r="L73" s="27"/>
      <c r="O73" s="21" t="s">
        <v>97</v>
      </c>
      <c r="P73" s="21">
        <v>0.3</v>
      </c>
      <c r="Q73" s="61">
        <v>193053.20420871413</v>
      </c>
      <c r="R73" s="88">
        <f>1.8*0.0000084</f>
        <v>1.5119999999999999E-5</v>
      </c>
      <c r="S73" s="88">
        <f t="shared" si="51"/>
        <v>1.5119999999999999E-5</v>
      </c>
      <c r="Z73" s="27"/>
      <c r="AA73" s="16"/>
      <c r="AK73" s="1"/>
    </row>
    <row r="74" spans="4:37" x14ac:dyDescent="0.3">
      <c r="L74" s="27"/>
      <c r="O74" s="21" t="s">
        <v>98</v>
      </c>
      <c r="P74" s="21">
        <v>0.3</v>
      </c>
      <c r="Q74" s="61">
        <v>193053.20420871413</v>
      </c>
      <c r="R74" s="88">
        <f>1.8*0.0000086</f>
        <v>1.5480000000000001E-5</v>
      </c>
      <c r="S74" s="88">
        <f t="shared" si="51"/>
        <v>1.5480000000000001E-5</v>
      </c>
      <c r="Z74" s="27"/>
      <c r="AA74" s="16"/>
      <c r="AK74" s="1"/>
    </row>
    <row r="75" spans="4:37" x14ac:dyDescent="0.3">
      <c r="L75" s="27"/>
      <c r="O75" s="21" t="s">
        <v>99</v>
      </c>
      <c r="P75" s="21">
        <v>0.28999999999999998</v>
      </c>
      <c r="Q75" s="61">
        <v>115831.92252522847</v>
      </c>
      <c r="R75" s="88">
        <f>1.8*0.0000058</f>
        <v>1.0440000000000002E-5</v>
      </c>
      <c r="S75" s="88">
        <f t="shared" si="51"/>
        <v>1.0440000000000002E-5</v>
      </c>
      <c r="Z75" s="27"/>
    </row>
    <row r="76" spans="4:37" x14ac:dyDescent="0.3">
      <c r="L76" s="27"/>
      <c r="O76" s="21" t="s">
        <v>100</v>
      </c>
      <c r="P76" s="21">
        <v>0.3</v>
      </c>
      <c r="Q76" s="61">
        <v>99973.980750941235</v>
      </c>
      <c r="R76" s="88">
        <f>1.8*0.00001</f>
        <v>1.8E-5</v>
      </c>
      <c r="S76" s="88">
        <f t="shared" si="51"/>
        <v>1.8E-5</v>
      </c>
      <c r="Z76" s="27"/>
    </row>
    <row r="77" spans="4:37" x14ac:dyDescent="0.3">
      <c r="L77" s="27"/>
      <c r="Z77" s="27"/>
    </row>
    <row r="78" spans="4:37" x14ac:dyDescent="0.3">
      <c r="L78" s="27"/>
      <c r="O78" s="162" t="s">
        <v>18</v>
      </c>
      <c r="P78" s="162" t="s">
        <v>233</v>
      </c>
      <c r="Q78" s="162" t="s">
        <v>142</v>
      </c>
      <c r="R78" s="196" t="s">
        <v>129</v>
      </c>
      <c r="S78" s="162" t="s">
        <v>234</v>
      </c>
      <c r="T78" s="47" t="s">
        <v>144</v>
      </c>
      <c r="U78" s="47" t="s">
        <v>179</v>
      </c>
      <c r="V78" s="162" t="s">
        <v>235</v>
      </c>
      <c r="Z78" s="27"/>
    </row>
    <row r="79" spans="4:37" x14ac:dyDescent="0.3">
      <c r="L79" s="27"/>
      <c r="O79" s="163" t="s">
        <v>78</v>
      </c>
      <c r="P79" s="175" t="str">
        <f t="shared" ref="P79:P84" si="52">IF($C$8=$Q$78,Q79,R79)</f>
        <v/>
      </c>
      <c r="Q79" s="188">
        <f>IF(D$17*0.002&gt;V79,D$17*0.002,V79)</f>
        <v>0.1</v>
      </c>
      <c r="R79" s="162" t="str">
        <f>IF(AND(O79=O3,$C$8=$R$78),$C$9,"")</f>
        <v/>
      </c>
      <c r="S79" s="20">
        <f>0.006*$D$17</f>
        <v>0</v>
      </c>
      <c r="T79" s="46">
        <f>IF(P79&gt;S79,1,0)</f>
        <v>1</v>
      </c>
      <c r="U79" s="46">
        <f>IF(P79&lt;V79,1,0)</f>
        <v>0</v>
      </c>
      <c r="V79" s="20">
        <v>0.1</v>
      </c>
      <c r="Z79" s="27"/>
    </row>
    <row r="80" spans="4:37" x14ac:dyDescent="0.3">
      <c r="L80" s="27"/>
      <c r="O80" s="162" t="s">
        <v>1</v>
      </c>
      <c r="P80" s="175" t="str">
        <f t="shared" si="52"/>
        <v/>
      </c>
      <c r="Q80" s="188">
        <f>IF(D$17*0.0015&gt;V80,D$17*0.0015,V80)</f>
        <v>7.6200000000000004E-2</v>
      </c>
      <c r="R80" s="162" t="str">
        <f>IF(AND(O80=O13,$C$8=$R$78),$C$9,"")</f>
        <v/>
      </c>
      <c r="S80" s="20">
        <f t="shared" ref="S80:S81" si="53">0.006*$D$17</f>
        <v>0</v>
      </c>
      <c r="T80" s="46">
        <f t="shared" ref="T80:T84" si="54">IF(P80&gt;S80,1,0)</f>
        <v>1</v>
      </c>
      <c r="U80" s="46">
        <f t="shared" ref="U80:U84" si="55">IF(P80&lt;V80,1,0)</f>
        <v>0</v>
      </c>
      <c r="V80" s="20">
        <f>0.003*25.4</f>
        <v>7.6200000000000004E-2</v>
      </c>
      <c r="Z80" s="27"/>
    </row>
    <row r="81" spans="12:26" x14ac:dyDescent="0.3">
      <c r="L81" s="27"/>
      <c r="O81" s="162" t="s">
        <v>79</v>
      </c>
      <c r="P81" s="175" t="str">
        <f t="shared" si="52"/>
        <v/>
      </c>
      <c r="Q81" s="188">
        <f>IF(D$17*0.0015&gt;V81,D$17*0.0015,V81)</f>
        <v>7.5999999999999998E-2</v>
      </c>
      <c r="R81" s="162" t="str">
        <f>IF(AND(O81=O23,$C$8=$R$78),$C$9,"")</f>
        <v/>
      </c>
      <c r="S81" s="20">
        <f t="shared" si="53"/>
        <v>0</v>
      </c>
      <c r="T81" s="46">
        <f t="shared" si="54"/>
        <v>1</v>
      </c>
      <c r="U81" s="46">
        <f t="shared" si="55"/>
        <v>0</v>
      </c>
      <c r="V81" s="20">
        <v>7.5999999999999998E-2</v>
      </c>
      <c r="Z81" s="27"/>
    </row>
    <row r="82" spans="12:26" x14ac:dyDescent="0.3">
      <c r="L82" s="27"/>
      <c r="O82" s="162" t="s">
        <v>2</v>
      </c>
      <c r="P82" s="175" t="str">
        <f t="shared" si="52"/>
        <v/>
      </c>
      <c r="Q82" s="188">
        <f>IF(D$17*0.0005&gt;V82,D$17*0.0005,V82)</f>
        <v>0.05</v>
      </c>
      <c r="R82" s="162" t="str">
        <f>IF(AND(O82=O33,$C$8=$R$78),$C$9,"")</f>
        <v/>
      </c>
      <c r="S82" s="20">
        <f>0.002*$D$17</f>
        <v>0</v>
      </c>
      <c r="T82" s="46">
        <f t="shared" si="54"/>
        <v>1</v>
      </c>
      <c r="U82" s="46">
        <f t="shared" si="55"/>
        <v>0</v>
      </c>
      <c r="V82" s="20">
        <v>0.05</v>
      </c>
      <c r="Z82" s="27"/>
    </row>
    <row r="83" spans="12:26" x14ac:dyDescent="0.3">
      <c r="L83" s="27"/>
      <c r="O83" s="186" t="s">
        <v>199</v>
      </c>
      <c r="P83" s="188" t="str">
        <f t="shared" si="52"/>
        <v/>
      </c>
      <c r="Q83" s="188">
        <f>IF(D$17*0.0015&gt;V83,D$17*0.0015,V83)</f>
        <v>0.10199999999999999</v>
      </c>
      <c r="R83" s="186" t="str">
        <f>IF(AND(O83=O53,$C$8=$R$78),$C$9,"")</f>
        <v/>
      </c>
      <c r="S83" s="102">
        <f>0.006*$D$17</f>
        <v>0</v>
      </c>
      <c r="T83" s="189">
        <f t="shared" si="54"/>
        <v>1</v>
      </c>
      <c r="U83" s="189">
        <f t="shared" si="55"/>
        <v>0</v>
      </c>
      <c r="V83" s="102">
        <v>0.10199999999999999</v>
      </c>
      <c r="Z83" s="27"/>
    </row>
    <row r="84" spans="12:26" x14ac:dyDescent="0.3">
      <c r="L84" s="27"/>
      <c r="O84" s="162" t="s">
        <v>3</v>
      </c>
      <c r="P84" s="175" t="str">
        <f t="shared" si="52"/>
        <v/>
      </c>
      <c r="Q84" s="188">
        <f>IF(D$17*0.0015&gt;V84,D$17*0.0015,V84)</f>
        <v>7.5999999999999998E-2</v>
      </c>
      <c r="R84" s="162" t="str">
        <f>IF(AND(O84=O43,$C$8=$R$78),$C$9,"")</f>
        <v/>
      </c>
      <c r="S84" s="102">
        <f>0.006*$D$17</f>
        <v>0</v>
      </c>
      <c r="T84" s="46">
        <f t="shared" si="54"/>
        <v>1</v>
      </c>
      <c r="U84" s="46">
        <f t="shared" si="55"/>
        <v>0</v>
      </c>
      <c r="V84" s="20">
        <v>7.5999999999999998E-2</v>
      </c>
      <c r="Z84" s="27"/>
    </row>
    <row r="85" spans="12:26" x14ac:dyDescent="0.3">
      <c r="L85" s="27"/>
      <c r="Z85" s="27"/>
    </row>
    <row r="86" spans="12:26" x14ac:dyDescent="0.3">
      <c r="L86" s="27"/>
      <c r="O86" s="208" t="s">
        <v>241</v>
      </c>
      <c r="P86" s="209"/>
      <c r="Q86" s="209"/>
      <c r="R86" s="210"/>
      <c r="Z86" s="27"/>
    </row>
    <row r="87" spans="12:26" x14ac:dyDescent="0.3">
      <c r="L87" s="27"/>
      <c r="O87" s="162" t="s">
        <v>103</v>
      </c>
      <c r="P87" s="162" t="s">
        <v>107</v>
      </c>
      <c r="Q87" s="162" t="s">
        <v>108</v>
      </c>
      <c r="R87" s="196" t="s">
        <v>109</v>
      </c>
      <c r="T87" s="162" t="s">
        <v>129</v>
      </c>
      <c r="Z87" s="27"/>
    </row>
    <row r="88" spans="12:26" x14ac:dyDescent="0.3">
      <c r="L88" s="27"/>
      <c r="M88" s="27"/>
      <c r="N88" s="27"/>
      <c r="O88" s="162" t="s">
        <v>104</v>
      </c>
      <c r="P88" s="20">
        <f>IF(D$13&lt;50,0.13,IF(D$13&lt;125,0.08+(D$13*0.001),0.2+((D$13-125)*0.0005)))</f>
        <v>0.13</v>
      </c>
      <c r="Q88" s="20">
        <f>R88</f>
        <v>0.18</v>
      </c>
      <c r="R88" s="20">
        <f>IF(D$13&lt;53.33,0.18,IF(D$13&lt;125,0.1+(D$13*0.0015),0.3+((D$13-125)*0.001)))</f>
        <v>0.18</v>
      </c>
      <c r="S88" s="161">
        <v>2</v>
      </c>
      <c r="T88" s="162" t="str">
        <f>IF(C10=R78,C11,"")</f>
        <v/>
      </c>
      <c r="Z88" s="27"/>
    </row>
    <row r="89" spans="12:26" x14ac:dyDescent="0.3">
      <c r="O89" s="162" t="s">
        <v>105</v>
      </c>
      <c r="P89" s="20">
        <f>IF(D$13&lt;50,0.13,IF(D$13&lt;125,0.08+(D$13*0.001),0.2+((D$13-125)*0.0005)))</f>
        <v>0.13</v>
      </c>
      <c r="Q89" s="20">
        <f t="shared" ref="Q89:Q90" si="56">R89</f>
        <v>0.18</v>
      </c>
      <c r="R89" s="20">
        <f>IF(D$13&lt;53.33,0.18,IF(D$13&lt;125,0.1+(D$13*0.0015),0.3+((D$13-125)*0.001)))</f>
        <v>0.18</v>
      </c>
      <c r="S89" s="161">
        <v>3</v>
      </c>
    </row>
    <row r="90" spans="12:26" x14ac:dyDescent="0.3">
      <c r="O90" s="162" t="s">
        <v>106</v>
      </c>
      <c r="P90" s="20">
        <f>IF(D$13&lt;53.33,0.18,IF(D$13&lt;125,0.1+(D$13*0.0015),0.3+((D$13-125)*0.001)))+0.05</f>
        <v>0.22999999999999998</v>
      </c>
      <c r="Q90" s="20">
        <f t="shared" si="56"/>
        <v>0.18</v>
      </c>
      <c r="R90" s="20">
        <f>IF(D$13&lt;53.33,0.18,IF(D$13&lt;125,0.1+(D$13*0.0015),0.3+((D$13-125)*0.001)))</f>
        <v>0.18</v>
      </c>
      <c r="S90" s="161">
        <v>4</v>
      </c>
    </row>
    <row r="92" spans="12:26" x14ac:dyDescent="0.3">
      <c r="O92" s="162"/>
      <c r="P92" s="191" t="s">
        <v>107</v>
      </c>
      <c r="Q92" s="191" t="s">
        <v>108</v>
      </c>
      <c r="R92" s="196" t="s">
        <v>109</v>
      </c>
    </row>
    <row r="93" spans="12:26" x14ac:dyDescent="0.3">
      <c r="O93" s="162" t="s">
        <v>104</v>
      </c>
      <c r="P93" s="63" t="str">
        <f>""</f>
        <v/>
      </c>
      <c r="Q93" s="38" t="s">
        <v>165</v>
      </c>
      <c r="R93" s="38" t="s">
        <v>166</v>
      </c>
      <c r="S93" s="161">
        <v>2</v>
      </c>
    </row>
    <row r="94" spans="12:26" x14ac:dyDescent="0.3">
      <c r="O94" s="162" t="s">
        <v>105</v>
      </c>
      <c r="P94" s="63" t="str">
        <f>""</f>
        <v/>
      </c>
      <c r="Q94" s="38" t="s">
        <v>165</v>
      </c>
      <c r="R94" s="38" t="s">
        <v>166</v>
      </c>
      <c r="S94" s="161">
        <v>3</v>
      </c>
    </row>
    <row r="95" spans="12:26" x14ac:dyDescent="0.3">
      <c r="O95" s="162" t="s">
        <v>106</v>
      </c>
      <c r="P95" s="38" t="s">
        <v>185</v>
      </c>
      <c r="Q95" s="38" t="s">
        <v>165</v>
      </c>
      <c r="R95" s="38" t="s">
        <v>166</v>
      </c>
      <c r="S95" s="161">
        <v>4</v>
      </c>
    </row>
    <row r="97" spans="15:19" ht="27.6" x14ac:dyDescent="0.3">
      <c r="O97" s="65" t="e">
        <f>24+(($D$25+0.05+(VLOOKUP($C$7,$M$5:$Y$61,12,FALSE)))-$D$16)/($J$13*$D$17)</f>
        <v>#VALUE!</v>
      </c>
      <c r="P97" s="23" t="s">
        <v>156</v>
      </c>
      <c r="R97" s="165"/>
      <c r="S97" s="14" t="s">
        <v>216</v>
      </c>
    </row>
    <row r="98" spans="15:19" x14ac:dyDescent="0.3">
      <c r="O98" s="167" t="e">
        <f>VLOOKUP(C7,R98:S100,2,FALSE)</f>
        <v>#N/A</v>
      </c>
      <c r="P98" s="167" t="s">
        <v>214</v>
      </c>
      <c r="Q98" s="166"/>
      <c r="R98" s="167" t="s">
        <v>2</v>
      </c>
      <c r="S98" s="167">
        <v>274</v>
      </c>
    </row>
    <row r="99" spans="15:19" x14ac:dyDescent="0.3">
      <c r="O99" s="181" t="e">
        <f>IF(O98&gt;O97,"YES","NO")</f>
        <v>#N/A</v>
      </c>
      <c r="P99" s="167" t="s">
        <v>215</v>
      </c>
      <c r="Q99" s="166"/>
      <c r="R99" s="184" t="s">
        <v>199</v>
      </c>
      <c r="S99" s="167">
        <v>260</v>
      </c>
    </row>
    <row r="100" spans="15:19" x14ac:dyDescent="0.3">
      <c r="O100" s="166"/>
      <c r="P100" s="166"/>
      <c r="Q100" s="166"/>
      <c r="R100" s="167" t="s">
        <v>3</v>
      </c>
      <c r="S100" s="167">
        <v>260</v>
      </c>
    </row>
  </sheetData>
  <sheetProtection sheet="1" selectLockedCells="1"/>
  <mergeCells count="119">
    <mergeCell ref="A55:E55"/>
    <mergeCell ref="A56:E56"/>
    <mergeCell ref="A57:E57"/>
    <mergeCell ref="M3:N3"/>
    <mergeCell ref="A33:C33"/>
    <mergeCell ref="A44:E44"/>
    <mergeCell ref="A45:E45"/>
    <mergeCell ref="A6:B6"/>
    <mergeCell ref="C6:E6"/>
    <mergeCell ref="G6:K6"/>
    <mergeCell ref="A7:B7"/>
    <mergeCell ref="C7:E7"/>
    <mergeCell ref="G7:H7"/>
    <mergeCell ref="A8:B8"/>
    <mergeCell ref="C8:E8"/>
    <mergeCell ref="G8:H8"/>
    <mergeCell ref="A9:B9"/>
    <mergeCell ref="C9:E9"/>
    <mergeCell ref="A1:E1"/>
    <mergeCell ref="A2:E2"/>
    <mergeCell ref="B3:D3"/>
    <mergeCell ref="G3:K3"/>
    <mergeCell ref="A4:E4"/>
    <mergeCell ref="G4:H4"/>
    <mergeCell ref="A5:B5"/>
    <mergeCell ref="C5:E5"/>
    <mergeCell ref="G5:H5"/>
    <mergeCell ref="A14:B14"/>
    <mergeCell ref="C14:E14"/>
    <mergeCell ref="G14:H14"/>
    <mergeCell ref="C15:E15"/>
    <mergeCell ref="G15:H15"/>
    <mergeCell ref="A16:A17"/>
    <mergeCell ref="G16:H16"/>
    <mergeCell ref="G17:H17"/>
    <mergeCell ref="G9:H9"/>
    <mergeCell ref="A10:B10"/>
    <mergeCell ref="C10:E10"/>
    <mergeCell ref="G10:H10"/>
    <mergeCell ref="A11:B11"/>
    <mergeCell ref="C11:E11"/>
    <mergeCell ref="G11:H11"/>
    <mergeCell ref="A12:A13"/>
    <mergeCell ref="G12:K12"/>
    <mergeCell ref="G13:H13"/>
    <mergeCell ref="A24:C24"/>
    <mergeCell ref="G24:H24"/>
    <mergeCell ref="A26:C26"/>
    <mergeCell ref="G26:H26"/>
    <mergeCell ref="A27:C27"/>
    <mergeCell ref="G27:H27"/>
    <mergeCell ref="A28:E28"/>
    <mergeCell ref="G28:H28"/>
    <mergeCell ref="A18:B18"/>
    <mergeCell ref="C18:E18"/>
    <mergeCell ref="G18:K18"/>
    <mergeCell ref="A25:C25"/>
    <mergeCell ref="G25:K25"/>
    <mergeCell ref="C19:E19"/>
    <mergeCell ref="G19:H19"/>
    <mergeCell ref="G20:H20"/>
    <mergeCell ref="A21:A22"/>
    <mergeCell ref="G21:H21"/>
    <mergeCell ref="G22:H22"/>
    <mergeCell ref="A23:E23"/>
    <mergeCell ref="G23:H23"/>
    <mergeCell ref="A34:E34"/>
    <mergeCell ref="G34:H34"/>
    <mergeCell ref="A29:E29"/>
    <mergeCell ref="G29:H29"/>
    <mergeCell ref="A30:C30"/>
    <mergeCell ref="G30:H30"/>
    <mergeCell ref="A31:C31"/>
    <mergeCell ref="G31:H31"/>
    <mergeCell ref="A32:C32"/>
    <mergeCell ref="G32:K32"/>
    <mergeCell ref="G33:H33"/>
    <mergeCell ref="A35:E35"/>
    <mergeCell ref="G35:K35"/>
    <mergeCell ref="A36:E36"/>
    <mergeCell ref="G36:H36"/>
    <mergeCell ref="A37:C37"/>
    <mergeCell ref="G37:H37"/>
    <mergeCell ref="O86:R86"/>
    <mergeCell ref="A38:C38"/>
    <mergeCell ref="A39:E39"/>
    <mergeCell ref="A40:E40"/>
    <mergeCell ref="A41:E41"/>
    <mergeCell ref="A42:E42"/>
    <mergeCell ref="A43:E43"/>
    <mergeCell ref="A46:E46"/>
    <mergeCell ref="A47:E47"/>
    <mergeCell ref="A48:E48"/>
    <mergeCell ref="A49:E49"/>
    <mergeCell ref="A50:E50"/>
    <mergeCell ref="A51:E51"/>
    <mergeCell ref="A52:E52"/>
    <mergeCell ref="A58:E58"/>
    <mergeCell ref="A59:E59"/>
    <mergeCell ref="A53:E53"/>
    <mergeCell ref="A54:E54"/>
    <mergeCell ref="P53:Q53"/>
    <mergeCell ref="U53:Y53"/>
    <mergeCell ref="R3:T3"/>
    <mergeCell ref="R13:T13"/>
    <mergeCell ref="R23:T23"/>
    <mergeCell ref="R33:T33"/>
    <mergeCell ref="R43:T43"/>
    <mergeCell ref="R53:T53"/>
    <mergeCell ref="P3:Q3"/>
    <mergeCell ref="U3:Y3"/>
    <mergeCell ref="P13:Q13"/>
    <mergeCell ref="U13:Y13"/>
    <mergeCell ref="P23:Q23"/>
    <mergeCell ref="U23:Y23"/>
    <mergeCell ref="P33:Q33"/>
    <mergeCell ref="U33:Y33"/>
    <mergeCell ref="P43:Q43"/>
    <mergeCell ref="U43:Y43"/>
  </mergeCells>
  <conditionalFormatting sqref="D12:D13">
    <cfRule type="cellIs" dxfId="26" priority="11" operator="equal">
      <formula>""</formula>
    </cfRule>
  </conditionalFormatting>
  <conditionalFormatting sqref="C14:E14">
    <cfRule type="cellIs" dxfId="25" priority="10" operator="equal">
      <formula>""</formula>
    </cfRule>
  </conditionalFormatting>
  <conditionalFormatting sqref="D16:D17">
    <cfRule type="cellIs" dxfId="24" priority="9" operator="equal">
      <formula>""</formula>
    </cfRule>
  </conditionalFormatting>
  <conditionalFormatting sqref="C18:E18">
    <cfRule type="cellIs" dxfId="23" priority="8" operator="equal">
      <formula>""</formula>
    </cfRule>
  </conditionalFormatting>
  <conditionalFormatting sqref="D20:D22">
    <cfRule type="cellIs" dxfId="22" priority="7" operator="equal">
      <formula>""</formula>
    </cfRule>
  </conditionalFormatting>
  <conditionalFormatting sqref="E3">
    <cfRule type="cellIs" dxfId="21" priority="6" operator="equal">
      <formula>""</formula>
    </cfRule>
  </conditionalFormatting>
  <conditionalFormatting sqref="C5:E8 C10:E10">
    <cfRule type="cellIs" dxfId="20" priority="5" operator="equal">
      <formula>""</formula>
    </cfRule>
  </conditionalFormatting>
  <conditionalFormatting sqref="C9:E9 C11:E11">
    <cfRule type="cellIs" dxfId="19" priority="4" operator="equal">
      <formula>"Enter Custom Value"</formula>
    </cfRule>
  </conditionalFormatting>
  <conditionalFormatting sqref="C15:E15">
    <cfRule type="cellIs" dxfId="18" priority="3" operator="equal">
      <formula>"Enter Custom Value"</formula>
    </cfRule>
  </conditionalFormatting>
  <conditionalFormatting sqref="C19:E19">
    <cfRule type="cellIs" dxfId="17" priority="2" operator="equal">
      <formula>"Enter Custom Value"</formula>
    </cfRule>
  </conditionalFormatting>
  <conditionalFormatting sqref="A38:C38">
    <cfRule type="containsText" dxfId="16" priority="1" operator="containsText" text="Exceeds">
      <formula>NOT(ISERROR(SEARCH("Exceeds",A38)))</formula>
    </cfRule>
  </conditionalFormatting>
  <dataValidations count="9">
    <dataValidation type="list" allowBlank="1" showInputMessage="1" showErrorMessage="1" sqref="C14:E14 C18:E18" xr:uid="{60C5B3FF-ACE1-490E-8E6D-BC19DCFC3856}">
      <formula1>$O$67:$O$76</formula1>
    </dataValidation>
    <dataValidation type="list" allowBlank="1" showInputMessage="1" showErrorMessage="1" sqref="C8:E8 C10:E10" xr:uid="{664FD215-4A59-4CF0-BFED-97C1367D9E82}">
      <formula1>$Q$78:$R$78</formula1>
    </dataValidation>
    <dataValidation type="list" allowBlank="1" showInputMessage="1" showErrorMessage="1" sqref="C7:E7" xr:uid="{68A5C6DE-23ED-4F51-8E14-D34CE8572988}">
      <formula1>$O$79:$O$84</formula1>
    </dataValidation>
    <dataValidation type="list" allowBlank="1" showInputMessage="1" showErrorMessage="1" sqref="C5" xr:uid="{89FCE098-BF3C-425D-857C-926CEA9C0D9B}">
      <formula1>$O$88:$O$90</formula1>
    </dataValidation>
    <dataValidation type="list" allowBlank="1" showInputMessage="1" showErrorMessage="1" sqref="C6" xr:uid="{CA0F1C97-49A8-4125-A2AE-7DE5587264F3}">
      <formula1>$P$87:$R$87</formula1>
    </dataValidation>
    <dataValidation type="decimal" allowBlank="1" showInputMessage="1" showErrorMessage="1" error="Value should be equal to minimum stationary bore ID or up to .127 mm over." sqref="D17" xr:uid="{36F1F2A1-B769-4D51-BCD2-4363C494C9C0}">
      <formula1>D16</formula1>
      <formula2>D16+0.127</formula2>
    </dataValidation>
    <dataValidation type="decimal" allowBlank="1" showInputMessage="1" showErrorMessage="1" error="Value should be equal to minimum rotating element OD or up to .127 mm over." sqref="D13" xr:uid="{DDB46E6A-27A0-48FF-A336-C14A532F784F}">
      <formula1>D12</formula1>
      <formula2>D12+0.127</formula2>
    </dataValidation>
    <dataValidation type="whole" operator="lessThanOrEqual" allowBlank="1" showInputMessage="1" showErrorMessage="1" errorTitle="Minimum Temperature" error="Must be 24°C or less" sqref="D21" xr:uid="{3FBD2A11-6770-42FC-9B97-25FFE0660036}">
      <formula1>24</formula1>
    </dataValidation>
    <dataValidation type="whole" operator="greaterThanOrEqual" allowBlank="1" showInputMessage="1" showErrorMessage="1" errorTitle="Maximum" error="Must be 24°C or more" sqref="D22" xr:uid="{E6BC4630-497E-46EA-A2F4-86AF1F6FD1EC}">
      <formula1>24</formula1>
    </dataValidation>
  </dataValidations>
  <printOptions horizontalCentered="1"/>
  <pageMargins left="0.7" right="0.7" top="0.75" bottom="0.75" header="0.3" footer="0.3"/>
  <pageSetup orientation="portrait" r:id="rId1"/>
  <headerFooter>
    <oddFooter>&amp;C&amp;Z&amp;F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2"/>
  <sheetViews>
    <sheetView zoomScaleNormal="100" workbookViewId="0">
      <selection activeCell="C7" sqref="C7:E7"/>
    </sheetView>
  </sheetViews>
  <sheetFormatPr defaultColWidth="8.88671875" defaultRowHeight="14.4" x14ac:dyDescent="0.3"/>
  <cols>
    <col min="1" max="1" width="54.6640625" style="1" customWidth="1"/>
    <col min="2" max="2" width="5.6640625" style="1" customWidth="1"/>
    <col min="3" max="3" width="7.44140625" style="17" customWidth="1"/>
    <col min="4" max="4" width="13.33203125" style="11" customWidth="1"/>
    <col min="5" max="5" width="7.44140625" style="1" customWidth="1"/>
    <col min="6" max="6" width="8.88671875" style="1" customWidth="1"/>
    <col min="7" max="7" width="36.33203125" style="34" customWidth="1"/>
    <col min="8" max="8" width="11.44140625" style="34" customWidth="1"/>
    <col min="9" max="11" width="10.6640625" style="34" customWidth="1"/>
    <col min="12" max="12" width="8.88671875" style="1" customWidth="1"/>
    <col min="13" max="14" width="9.109375" style="1" customWidth="1"/>
    <col min="15" max="15" width="10" style="11" customWidth="1"/>
    <col min="16" max="16" width="20.88671875" style="11" customWidth="1"/>
    <col min="17" max="17" width="17.6640625" style="11" customWidth="1"/>
    <col min="18" max="20" width="9.6640625" style="11" customWidth="1"/>
    <col min="21" max="25" width="9.6640625" style="1" customWidth="1"/>
    <col min="26" max="27" width="8.88671875" style="1" customWidth="1"/>
    <col min="28" max="31" width="8.88671875" customWidth="1"/>
    <col min="32" max="33" width="8.88671875" style="1" customWidth="1"/>
    <col min="34" max="34" width="11.44140625" style="1" customWidth="1"/>
    <col min="35" max="36" width="8.88671875" style="1" customWidth="1"/>
    <col min="37" max="38" width="9.6640625" style="1" customWidth="1"/>
    <col min="39" max="39" width="8.88671875" customWidth="1"/>
    <col min="40" max="40" width="11" style="16" bestFit="1" customWidth="1"/>
    <col min="41" max="41" width="12.44140625" style="16" bestFit="1" customWidth="1"/>
    <col min="42" max="42" width="12.6640625" style="16" bestFit="1" customWidth="1"/>
    <col min="43" max="16384" width="8.88671875" style="16"/>
  </cols>
  <sheetData>
    <row r="1" spans="1:39" ht="60" customHeight="1" thickBot="1" x14ac:dyDescent="0.35">
      <c r="A1" s="235"/>
      <c r="B1" s="235"/>
      <c r="C1" s="235"/>
      <c r="D1" s="235"/>
      <c r="E1" s="235"/>
    </row>
    <row r="2" spans="1:39" ht="21" x14ac:dyDescent="0.3">
      <c r="A2" s="255" t="s">
        <v>172</v>
      </c>
      <c r="B2" s="255"/>
      <c r="C2" s="255"/>
      <c r="D2" s="255"/>
      <c r="E2" s="255"/>
      <c r="F2" s="26"/>
      <c r="G2" s="26"/>
      <c r="H2" s="26"/>
      <c r="I2" s="26"/>
      <c r="J2" s="26"/>
      <c r="K2" s="26"/>
      <c r="L2" s="26"/>
      <c r="M2" s="27"/>
      <c r="N2" s="27"/>
      <c r="O2" s="26"/>
      <c r="P2" s="26"/>
      <c r="Q2" s="26"/>
      <c r="R2" s="26"/>
      <c r="S2" s="26"/>
      <c r="T2" s="26"/>
      <c r="U2" s="27"/>
      <c r="V2" s="27"/>
      <c r="W2" s="27"/>
      <c r="X2" s="27"/>
      <c r="Y2" s="27"/>
      <c r="Z2" s="27"/>
      <c r="AG2" s="113" t="s">
        <v>219</v>
      </c>
      <c r="AM2" s="268" t="s">
        <v>236</v>
      </c>
    </row>
    <row r="3" spans="1:39" ht="14.4" customHeight="1" x14ac:dyDescent="0.3">
      <c r="A3" s="71"/>
      <c r="B3" s="250" t="s">
        <v>171</v>
      </c>
      <c r="C3" s="250"/>
      <c r="D3" s="250"/>
      <c r="E3" s="71"/>
      <c r="F3" s="27"/>
      <c r="G3" s="238" t="s">
        <v>86</v>
      </c>
      <c r="H3" s="238"/>
      <c r="I3" s="238"/>
      <c r="J3" s="238"/>
      <c r="K3" s="238"/>
      <c r="L3" s="27"/>
      <c r="M3" s="235" t="s">
        <v>114</v>
      </c>
      <c r="N3" s="256"/>
      <c r="O3" s="6" t="s">
        <v>78</v>
      </c>
      <c r="P3" s="208" t="s">
        <v>190</v>
      </c>
      <c r="Q3" s="210"/>
      <c r="R3" s="208" t="s">
        <v>191</v>
      </c>
      <c r="S3" s="209"/>
      <c r="T3" s="210"/>
      <c r="U3" s="208" t="s">
        <v>236</v>
      </c>
      <c r="V3" s="209"/>
      <c r="W3" s="209"/>
      <c r="X3" s="209"/>
      <c r="Y3" s="210"/>
      <c r="Z3" s="27"/>
      <c r="AB3" s="130" t="s">
        <v>203</v>
      </c>
      <c r="AC3" s="129">
        <f>S5*$J$5*$D$15</f>
        <v>0</v>
      </c>
      <c r="AG3" s="193" t="e">
        <f>D18*J5*J33</f>
        <v>#VALUE!</v>
      </c>
      <c r="AK3" s="238" t="s">
        <v>164</v>
      </c>
      <c r="AL3" s="208"/>
      <c r="AM3" s="269"/>
    </row>
    <row r="4" spans="1:39" ht="14.4" customHeight="1" x14ac:dyDescent="0.3">
      <c r="A4" s="238" t="s">
        <v>168</v>
      </c>
      <c r="B4" s="238"/>
      <c r="C4" s="238"/>
      <c r="D4" s="238"/>
      <c r="E4" s="238"/>
      <c r="F4" s="27"/>
      <c r="G4" s="228" t="s">
        <v>29</v>
      </c>
      <c r="H4" s="228"/>
      <c r="I4" s="28" t="s">
        <v>35</v>
      </c>
      <c r="J4" s="4">
        <f>IF(D19="","",D19-75)</f>
        <v>-45</v>
      </c>
      <c r="K4" s="5" t="s">
        <v>26</v>
      </c>
      <c r="L4" s="27"/>
      <c r="M4" s="11" t="s">
        <v>60</v>
      </c>
      <c r="N4" s="11" t="s">
        <v>59</v>
      </c>
      <c r="O4" s="36" t="s">
        <v>17</v>
      </c>
      <c r="P4" s="36" t="s">
        <v>81</v>
      </c>
      <c r="Q4" s="36" t="s">
        <v>82</v>
      </c>
      <c r="R4" s="36" t="s">
        <v>80</v>
      </c>
      <c r="S4" s="36" t="s">
        <v>83</v>
      </c>
      <c r="T4" s="36" t="s">
        <v>84</v>
      </c>
      <c r="U4" s="37" t="s">
        <v>111</v>
      </c>
      <c r="V4" s="37" t="s">
        <v>112</v>
      </c>
      <c r="W4" s="37" t="s">
        <v>113</v>
      </c>
      <c r="X4" s="13" t="s">
        <v>132</v>
      </c>
      <c r="Y4" s="13" t="s">
        <v>133</v>
      </c>
      <c r="Z4" s="27"/>
      <c r="AK4" s="64" t="s">
        <v>60</v>
      </c>
      <c r="AL4" s="190" t="s">
        <v>59</v>
      </c>
      <c r="AM4" s="269"/>
    </row>
    <row r="5" spans="1:39" ht="14.4" customHeight="1" x14ac:dyDescent="0.3">
      <c r="A5" s="218" t="s">
        <v>101</v>
      </c>
      <c r="B5" s="220"/>
      <c r="C5" s="251"/>
      <c r="D5" s="251"/>
      <c r="E5" s="251"/>
      <c r="F5" s="27"/>
      <c r="G5" s="228" t="s">
        <v>30</v>
      </c>
      <c r="H5" s="228"/>
      <c r="I5" s="28" t="s">
        <v>36</v>
      </c>
      <c r="J5" s="4">
        <f>IF(D20="","",D20-75)</f>
        <v>25</v>
      </c>
      <c r="K5" s="5" t="s">
        <v>26</v>
      </c>
      <c r="L5" s="27"/>
      <c r="M5" s="1" t="str">
        <f>IF(C$7=$O$3,IF(D$20=75,C$7,""),"")</f>
        <v/>
      </c>
      <c r="N5" s="1" t="str">
        <f>IF(C$7=$O$3,C$7,"")</f>
        <v/>
      </c>
      <c r="O5" s="13">
        <v>75</v>
      </c>
      <c r="P5" s="4">
        <v>157000</v>
      </c>
      <c r="Q5" s="4">
        <v>2700</v>
      </c>
      <c r="R5" s="18">
        <v>6.7000000000000002E-5</v>
      </c>
      <c r="S5" s="18">
        <v>6.7000000000000002E-5</v>
      </c>
      <c r="T5" s="18">
        <v>6.7000000000000002E-5</v>
      </c>
      <c r="U5" s="24" t="str">
        <f t="shared" ref="U5:U11" si="0">IF(M5=O$3,IF(D$20&gt;120,"Check Temperature",D$14-0.002),"")</f>
        <v/>
      </c>
      <c r="V5" s="24" t="str">
        <f t="shared" ref="V5:V11" si="1">IF(M5=O$3,IF(AK5&gt;AL5,AK5,AL5),"")</f>
        <v/>
      </c>
      <c r="W5" s="20" t="str">
        <f t="shared" ref="W5:W11" si="2">IF(M5=O$3,IF(D$20&gt;120,"Check Temp Range",IF(D$20&gt;300,D$18-J$34,D$18)),"")</f>
        <v/>
      </c>
      <c r="X5" s="20" t="str">
        <f t="shared" ref="X5:Y11" si="3">IF(U5="","",IF(U5&lt;3,0.003,IF(U5&lt;6,0.004,IF(U5&lt;12,0.005,"Check"))))</f>
        <v/>
      </c>
      <c r="Y5" s="20" t="str">
        <f t="shared" si="3"/>
        <v/>
      </c>
      <c r="Z5" s="27"/>
      <c r="AK5" s="19" t="e">
        <f t="shared" ref="AK5:AK11" si="4">D$11+J$37+J$28-J$15-J$21+J$9-0.002</f>
        <v>#VALUE!</v>
      </c>
      <c r="AL5" s="198" t="e">
        <f t="shared" ref="AL5:AL11" si="5">D$11+J$37+J$24-J$11</f>
        <v>#VALUE!</v>
      </c>
      <c r="AM5" s="269"/>
    </row>
    <row r="6" spans="1:39" ht="14.4" customHeight="1" x14ac:dyDescent="0.3">
      <c r="A6" s="228" t="s">
        <v>102</v>
      </c>
      <c r="B6" s="228"/>
      <c r="C6" s="252"/>
      <c r="D6" s="253"/>
      <c r="E6" s="254"/>
      <c r="F6" s="27"/>
      <c r="G6" s="238" t="s">
        <v>123</v>
      </c>
      <c r="H6" s="238"/>
      <c r="I6" s="238"/>
      <c r="J6" s="238"/>
      <c r="K6" s="238"/>
      <c r="L6" s="27"/>
      <c r="M6" s="1" t="str">
        <f t="shared" ref="M6:M11" si="6">IF(C$7=$O$3,IF($O5&lt;D$20,IF(D$20&lt;=$O6,C$7,""),""),"")</f>
        <v/>
      </c>
      <c r="O6" s="13">
        <v>200</v>
      </c>
      <c r="P6" s="4">
        <v>127297.29729729731</v>
      </c>
      <c r="Q6" s="4">
        <v>2189.1891891891892</v>
      </c>
      <c r="R6" s="18">
        <v>6.7000000000000002E-5</v>
      </c>
      <c r="S6" s="18">
        <v>6.7000000000000002E-5</v>
      </c>
      <c r="T6" s="18">
        <v>6.7000000000000002E-5</v>
      </c>
      <c r="U6" s="24" t="str">
        <f t="shared" si="0"/>
        <v/>
      </c>
      <c r="V6" s="24" t="str">
        <f t="shared" si="1"/>
        <v/>
      </c>
      <c r="W6" s="20" t="str">
        <f t="shared" si="2"/>
        <v/>
      </c>
      <c r="X6" s="20" t="str">
        <f t="shared" si="3"/>
        <v/>
      </c>
      <c r="Y6" s="20" t="str">
        <f t="shared" si="3"/>
        <v/>
      </c>
      <c r="Z6" s="27"/>
      <c r="AK6" s="19" t="e">
        <f t="shared" si="4"/>
        <v>#VALUE!</v>
      </c>
      <c r="AL6" s="198" t="e">
        <f t="shared" si="5"/>
        <v>#VALUE!</v>
      </c>
      <c r="AM6" s="269"/>
    </row>
    <row r="7" spans="1:39" ht="14.4" customHeight="1" x14ac:dyDescent="0.3">
      <c r="A7" s="228" t="s">
        <v>52</v>
      </c>
      <c r="B7" s="228"/>
      <c r="C7" s="247"/>
      <c r="D7" s="248"/>
      <c r="E7" s="249"/>
      <c r="F7" s="27"/>
      <c r="G7" s="228" t="s">
        <v>74</v>
      </c>
      <c r="H7" s="228"/>
      <c r="I7" s="29" t="s">
        <v>32</v>
      </c>
      <c r="J7" s="30" t="str">
        <f>IF(C$12="","",VLOOKUP(C$12,O$64:R$73,4,FALSE))</f>
        <v/>
      </c>
      <c r="K7" s="5" t="s">
        <v>87</v>
      </c>
      <c r="L7" s="27"/>
      <c r="M7" s="1" t="str">
        <f t="shared" si="6"/>
        <v/>
      </c>
      <c r="O7" s="13">
        <v>250</v>
      </c>
      <c r="P7" s="4">
        <v>101837.83783783784</v>
      </c>
      <c r="Q7" s="4">
        <v>1751.3513513513515</v>
      </c>
      <c r="R7" s="18">
        <v>6.7000000000000002E-5</v>
      </c>
      <c r="S7" s="18">
        <v>6.7000000000000002E-5</v>
      </c>
      <c r="T7" s="18">
        <v>6.7000000000000002E-5</v>
      </c>
      <c r="U7" s="24" t="str">
        <f t="shared" si="0"/>
        <v/>
      </c>
      <c r="V7" s="24" t="str">
        <f t="shared" si="1"/>
        <v/>
      </c>
      <c r="W7" s="20" t="str">
        <f t="shared" si="2"/>
        <v/>
      </c>
      <c r="X7" s="20" t="str">
        <f t="shared" si="3"/>
        <v/>
      </c>
      <c r="Y7" s="20" t="str">
        <f t="shared" si="3"/>
        <v/>
      </c>
      <c r="Z7" s="27"/>
      <c r="AK7" s="19" t="e">
        <f t="shared" si="4"/>
        <v>#VALUE!</v>
      </c>
      <c r="AL7" s="198" t="e">
        <f t="shared" si="5"/>
        <v>#VALUE!</v>
      </c>
      <c r="AM7" s="269"/>
    </row>
    <row r="8" spans="1:39" ht="14.4" customHeight="1" x14ac:dyDescent="0.3">
      <c r="A8" s="218" t="s">
        <v>163</v>
      </c>
      <c r="B8" s="220"/>
      <c r="C8" s="247"/>
      <c r="D8" s="248"/>
      <c r="E8" s="249"/>
      <c r="F8" s="27"/>
      <c r="G8" s="228" t="s">
        <v>56</v>
      </c>
      <c r="H8" s="228"/>
      <c r="I8" s="12" t="s">
        <v>65</v>
      </c>
      <c r="J8" s="19" t="e">
        <f>IF(D20="","",J9+D11)</f>
        <v>#VALUE!</v>
      </c>
      <c r="K8" s="5" t="s">
        <v>23</v>
      </c>
      <c r="L8" s="27"/>
      <c r="M8" s="1" t="str">
        <f t="shared" si="6"/>
        <v/>
      </c>
      <c r="O8" s="13">
        <v>300</v>
      </c>
      <c r="P8" s="4">
        <v>91229.729729729719</v>
      </c>
      <c r="Q8" s="4">
        <v>1568.9189189189187</v>
      </c>
      <c r="R8" s="18">
        <v>6.7000000000000002E-5</v>
      </c>
      <c r="S8" s="18">
        <v>6.7000000000000002E-5</v>
      </c>
      <c r="T8" s="18">
        <v>6.7000000000000002E-5</v>
      </c>
      <c r="U8" s="24" t="str">
        <f t="shared" si="0"/>
        <v/>
      </c>
      <c r="V8" s="24" t="str">
        <f t="shared" si="1"/>
        <v/>
      </c>
      <c r="W8" s="20" t="str">
        <f t="shared" si="2"/>
        <v/>
      </c>
      <c r="X8" s="20" t="str">
        <f t="shared" si="3"/>
        <v/>
      </c>
      <c r="Y8" s="20" t="str">
        <f t="shared" si="3"/>
        <v/>
      </c>
      <c r="Z8" s="27"/>
      <c r="AK8" s="19" t="e">
        <f t="shared" si="4"/>
        <v>#VALUE!</v>
      </c>
      <c r="AL8" s="198" t="e">
        <f t="shared" si="5"/>
        <v>#VALUE!</v>
      </c>
      <c r="AM8" s="269"/>
    </row>
    <row r="9" spans="1:39" ht="14.4" customHeight="1" x14ac:dyDescent="0.3">
      <c r="A9" s="221" t="str">
        <f>IF(C8="","",IF(C8="Custom","Custom Clearance",CONCATENATE("Standard Clearance = ",FIXED(J37,3))))</f>
        <v/>
      </c>
      <c r="B9" s="223"/>
      <c r="C9" s="244"/>
      <c r="D9" s="245"/>
      <c r="E9" s="246"/>
      <c r="F9" s="27"/>
      <c r="G9" s="228" t="s">
        <v>69</v>
      </c>
      <c r="H9" s="228"/>
      <c r="I9" s="12" t="s">
        <v>37</v>
      </c>
      <c r="J9" s="19" t="e">
        <f>IF(D20="","",D11*J5*J7)</f>
        <v>#VALUE!</v>
      </c>
      <c r="K9" s="5" t="s">
        <v>23</v>
      </c>
      <c r="L9" s="27"/>
      <c r="M9" s="1" t="str">
        <f t="shared" si="6"/>
        <v/>
      </c>
      <c r="O9" s="13">
        <v>350</v>
      </c>
      <c r="P9" s="4">
        <v>89108.108108108107</v>
      </c>
      <c r="Q9" s="4">
        <v>1532.4324324324323</v>
      </c>
      <c r="R9" s="18">
        <v>1E-4</v>
      </c>
      <c r="S9" s="18">
        <v>1E-4</v>
      </c>
      <c r="T9" s="18">
        <v>1E-4</v>
      </c>
      <c r="U9" s="24" t="str">
        <f t="shared" si="0"/>
        <v/>
      </c>
      <c r="V9" s="24" t="str">
        <f t="shared" si="1"/>
        <v/>
      </c>
      <c r="W9" s="20" t="str">
        <f t="shared" si="2"/>
        <v/>
      </c>
      <c r="X9" s="20" t="str">
        <f t="shared" si="3"/>
        <v/>
      </c>
      <c r="Y9" s="20" t="str">
        <f t="shared" si="3"/>
        <v/>
      </c>
      <c r="Z9" s="27"/>
      <c r="AK9" s="19" t="e">
        <f t="shared" si="4"/>
        <v>#VALUE!</v>
      </c>
      <c r="AL9" s="198" t="e">
        <f t="shared" si="5"/>
        <v>#VALUE!</v>
      </c>
      <c r="AM9" s="269"/>
    </row>
    <row r="10" spans="1:39" ht="14.4" customHeight="1" x14ac:dyDescent="0.3">
      <c r="A10" s="228" t="s">
        <v>25</v>
      </c>
      <c r="B10" s="5" t="s">
        <v>21</v>
      </c>
      <c r="C10" s="33" t="s">
        <v>130</v>
      </c>
      <c r="D10" s="68"/>
      <c r="E10" s="139" t="s">
        <v>23</v>
      </c>
      <c r="F10" s="27"/>
      <c r="G10" s="228" t="s">
        <v>53</v>
      </c>
      <c r="H10" s="228"/>
      <c r="I10" s="12" t="s">
        <v>61</v>
      </c>
      <c r="J10" s="19" t="e">
        <f>IF(D19="","",D11+J11)</f>
        <v>#VALUE!</v>
      </c>
      <c r="K10" s="5" t="s">
        <v>23</v>
      </c>
      <c r="L10" s="27"/>
      <c r="M10" s="1" t="str">
        <f t="shared" si="6"/>
        <v/>
      </c>
      <c r="O10" s="13">
        <v>400</v>
      </c>
      <c r="P10" s="4">
        <v>80621.621621621613</v>
      </c>
      <c r="Q10" s="4">
        <v>1386.4864864864865</v>
      </c>
      <c r="R10" s="18">
        <v>1E-4</v>
      </c>
      <c r="S10" s="18">
        <v>1E-4</v>
      </c>
      <c r="T10" s="18">
        <v>1E-4</v>
      </c>
      <c r="U10" s="24" t="str">
        <f t="shared" si="0"/>
        <v/>
      </c>
      <c r="V10" s="24" t="str">
        <f t="shared" si="1"/>
        <v/>
      </c>
      <c r="W10" s="20" t="str">
        <f t="shared" si="2"/>
        <v/>
      </c>
      <c r="X10" s="20" t="str">
        <f t="shared" si="3"/>
        <v/>
      </c>
      <c r="Y10" s="20" t="str">
        <f t="shared" si="3"/>
        <v/>
      </c>
      <c r="Z10" s="27"/>
      <c r="AK10" s="19" t="e">
        <f t="shared" si="4"/>
        <v>#VALUE!</v>
      </c>
      <c r="AL10" s="198" t="e">
        <f t="shared" si="5"/>
        <v>#VALUE!</v>
      </c>
      <c r="AM10" s="269"/>
    </row>
    <row r="11" spans="1:39" ht="14.4" customHeight="1" x14ac:dyDescent="0.3">
      <c r="A11" s="228"/>
      <c r="B11" s="5" t="s">
        <v>22</v>
      </c>
      <c r="C11" s="14" t="s">
        <v>31</v>
      </c>
      <c r="D11" s="68"/>
      <c r="E11" s="139" t="s">
        <v>23</v>
      </c>
      <c r="F11" s="27"/>
      <c r="G11" s="228" t="s">
        <v>70</v>
      </c>
      <c r="H11" s="228"/>
      <c r="I11" s="12" t="s">
        <v>38</v>
      </c>
      <c r="J11" s="19" t="e">
        <f>IF(D19="","",D11*J4*J7)</f>
        <v>#VALUE!</v>
      </c>
      <c r="K11" s="5" t="s">
        <v>23</v>
      </c>
      <c r="L11" s="27"/>
      <c r="M11" s="1" t="str">
        <f t="shared" si="6"/>
        <v/>
      </c>
      <c r="O11" s="13">
        <v>500</v>
      </c>
      <c r="P11" s="13" t="s">
        <v>85</v>
      </c>
      <c r="Q11" s="13" t="s">
        <v>85</v>
      </c>
      <c r="R11" s="13" t="s">
        <v>85</v>
      </c>
      <c r="S11" s="13" t="s">
        <v>85</v>
      </c>
      <c r="T11" s="13" t="s">
        <v>85</v>
      </c>
      <c r="U11" s="24" t="str">
        <f t="shared" si="0"/>
        <v/>
      </c>
      <c r="V11" s="24" t="str">
        <f t="shared" si="1"/>
        <v/>
      </c>
      <c r="W11" s="20" t="str">
        <f t="shared" si="2"/>
        <v/>
      </c>
      <c r="X11" s="20" t="str">
        <f t="shared" si="3"/>
        <v/>
      </c>
      <c r="Y11" s="20" t="str">
        <f t="shared" si="3"/>
        <v/>
      </c>
      <c r="Z11" s="27"/>
      <c r="AK11" s="19" t="e">
        <f t="shared" si="4"/>
        <v>#VALUE!</v>
      </c>
      <c r="AL11" s="198" t="e">
        <f t="shared" si="5"/>
        <v>#VALUE!</v>
      </c>
      <c r="AM11" s="269"/>
    </row>
    <row r="12" spans="1:39" ht="14.4" customHeight="1" x14ac:dyDescent="0.3">
      <c r="A12" s="228" t="s">
        <v>27</v>
      </c>
      <c r="B12" s="228"/>
      <c r="C12" s="229"/>
      <c r="D12" s="230"/>
      <c r="E12" s="231"/>
      <c r="F12" s="27"/>
      <c r="G12" s="238" t="s">
        <v>124</v>
      </c>
      <c r="H12" s="238"/>
      <c r="I12" s="238"/>
      <c r="J12" s="238"/>
      <c r="K12" s="238"/>
      <c r="L12" s="27"/>
      <c r="Z12" s="27"/>
      <c r="AG12" s="113" t="s">
        <v>219</v>
      </c>
      <c r="AM12" s="269"/>
    </row>
    <row r="13" spans="1:39" ht="14.4" customHeight="1" x14ac:dyDescent="0.3">
      <c r="A13" s="51" t="str">
        <f>IF(C12="","",IF(C12=O64,"Custom Rotor CTE",CONCATENATE("Rotor CTE = ",(J7*1000000)," X 10")))</f>
        <v/>
      </c>
      <c r="B13" s="50" t="str">
        <f>IF(C12="","",IF(C12=O64,"","-6"))</f>
        <v/>
      </c>
      <c r="C13" s="232" t="str">
        <f>IF(C12="Custom","Enter Custom Value","")</f>
        <v/>
      </c>
      <c r="D13" s="233"/>
      <c r="E13" s="234"/>
      <c r="F13" s="27"/>
      <c r="G13" s="228" t="s">
        <v>75</v>
      </c>
      <c r="H13" s="228"/>
      <c r="I13" s="29" t="s">
        <v>34</v>
      </c>
      <c r="J13" s="30" t="str">
        <f>IF(C$16="","",VLOOKUP(C$16,O$64:S$73,5,FALSE))</f>
        <v/>
      </c>
      <c r="K13" s="5" t="s">
        <v>87</v>
      </c>
      <c r="L13" s="27"/>
      <c r="O13" s="6" t="s">
        <v>1</v>
      </c>
      <c r="P13" s="208" t="s">
        <v>190</v>
      </c>
      <c r="Q13" s="210"/>
      <c r="R13" s="208" t="s">
        <v>191</v>
      </c>
      <c r="S13" s="209"/>
      <c r="T13" s="210"/>
      <c r="U13" s="208" t="s">
        <v>236</v>
      </c>
      <c r="V13" s="209"/>
      <c r="W13" s="209"/>
      <c r="X13" s="209"/>
      <c r="Y13" s="210"/>
      <c r="Z13" s="27"/>
      <c r="AB13" s="130" t="s">
        <v>203</v>
      </c>
      <c r="AC13" s="129">
        <f>S15*$J$5*$D$15</f>
        <v>0</v>
      </c>
      <c r="AG13" s="193" t="e">
        <f>D18*J5*J33</f>
        <v>#VALUE!</v>
      </c>
      <c r="AK13" s="238" t="s">
        <v>164</v>
      </c>
      <c r="AL13" s="208"/>
      <c r="AM13" s="269"/>
    </row>
    <row r="14" spans="1:39" ht="14.4" customHeight="1" x14ac:dyDescent="0.3">
      <c r="A14" s="228" t="s">
        <v>24</v>
      </c>
      <c r="B14" s="5" t="s">
        <v>21</v>
      </c>
      <c r="C14" s="52" t="s">
        <v>130</v>
      </c>
      <c r="D14" s="69"/>
      <c r="E14" s="140" t="s">
        <v>23</v>
      </c>
      <c r="F14" s="27"/>
      <c r="G14" s="228" t="s">
        <v>57</v>
      </c>
      <c r="H14" s="228"/>
      <c r="I14" s="12" t="s">
        <v>66</v>
      </c>
      <c r="J14" s="19" t="e">
        <f>IF(D20="","",J15+D15)</f>
        <v>#VALUE!</v>
      </c>
      <c r="K14" s="5" t="s">
        <v>23</v>
      </c>
      <c r="L14" s="27"/>
      <c r="O14" s="36" t="s">
        <v>17</v>
      </c>
      <c r="P14" s="36" t="s">
        <v>81</v>
      </c>
      <c r="Q14" s="36" t="s">
        <v>82</v>
      </c>
      <c r="R14" s="36" t="s">
        <v>80</v>
      </c>
      <c r="S14" s="36" t="s">
        <v>83</v>
      </c>
      <c r="T14" s="36" t="s">
        <v>84</v>
      </c>
      <c r="U14" s="37" t="s">
        <v>111</v>
      </c>
      <c r="V14" s="37" t="s">
        <v>112</v>
      </c>
      <c r="W14" s="37" t="s">
        <v>113</v>
      </c>
      <c r="X14" s="13" t="s">
        <v>132</v>
      </c>
      <c r="Y14" s="13" t="s">
        <v>133</v>
      </c>
      <c r="Z14" s="27"/>
      <c r="AK14" s="64" t="s">
        <v>60</v>
      </c>
      <c r="AL14" s="190" t="s">
        <v>59</v>
      </c>
      <c r="AM14" s="269"/>
    </row>
    <row r="15" spans="1:39" ht="14.4" customHeight="1" x14ac:dyDescent="0.3">
      <c r="A15" s="228"/>
      <c r="B15" s="5" t="s">
        <v>22</v>
      </c>
      <c r="C15" s="55" t="s">
        <v>33</v>
      </c>
      <c r="D15" s="69"/>
      <c r="E15" s="140" t="s">
        <v>23</v>
      </c>
      <c r="F15" s="27"/>
      <c r="G15" s="228" t="s">
        <v>71</v>
      </c>
      <c r="H15" s="228"/>
      <c r="I15" s="12" t="s">
        <v>39</v>
      </c>
      <c r="J15" s="19" t="e">
        <f>IF(D20="","",D15*J5*J13)</f>
        <v>#VALUE!</v>
      </c>
      <c r="K15" s="5" t="s">
        <v>23</v>
      </c>
      <c r="L15" s="27"/>
      <c r="M15" s="1" t="str">
        <f>IF(C$7=$O$13,IF(D$20=75,C$7,""),"")</f>
        <v/>
      </c>
      <c r="N15" s="1" t="str">
        <f>IF(C$7=$O$13,C$7,"")</f>
        <v/>
      </c>
      <c r="O15" s="13">
        <v>75</v>
      </c>
      <c r="P15" s="4">
        <v>200000</v>
      </c>
      <c r="Q15" s="4">
        <v>7200</v>
      </c>
      <c r="R15" s="18">
        <v>1.5999999999999999E-5</v>
      </c>
      <c r="S15" s="18">
        <v>1.5999999999999999E-5</v>
      </c>
      <c r="T15" s="18">
        <v>1.5999999999999999E-5</v>
      </c>
      <c r="U15" s="24" t="str">
        <f t="shared" ref="U15:U21" si="7">IF(M15=O$13,IF(D$20&gt;250,"Check Temperature",D$14-0.002),"")</f>
        <v/>
      </c>
      <c r="V15" s="24" t="str">
        <f t="shared" ref="V15:V21" si="8">IF(M15=O$13,IF(AK15&gt;AL15,AK15,AL15),"")</f>
        <v/>
      </c>
      <c r="W15" s="20" t="str">
        <f t="shared" ref="W15:W21" si="9">IF(M15=O$13,IF(D$20&gt;250,"Check Temp Range",IF(D$20&gt;300,D$18-J$34,D$18)),"")</f>
        <v/>
      </c>
      <c r="X15" s="20" t="str">
        <f t="shared" ref="X15:Y21" si="10">IF(U15="","",IF(U15&lt;3,0.003,IF(U15&lt;6,0.004,IF(U15&lt;12,0.005,"Check"))))</f>
        <v/>
      </c>
      <c r="Y15" s="20" t="str">
        <f t="shared" si="10"/>
        <v/>
      </c>
      <c r="Z15" s="27"/>
      <c r="AK15" s="19" t="e">
        <f t="shared" ref="AK15:AK21" si="11">D$11+J$37+J$28-J$15-J$21+J$9-0.002</f>
        <v>#VALUE!</v>
      </c>
      <c r="AL15" s="198" t="e">
        <f t="shared" ref="AL15:AL21" si="12">D$11+J$37+J$24-J$11</f>
        <v>#VALUE!</v>
      </c>
      <c r="AM15" s="269"/>
    </row>
    <row r="16" spans="1:39" ht="14.4" customHeight="1" x14ac:dyDescent="0.3">
      <c r="A16" s="228" t="s">
        <v>28</v>
      </c>
      <c r="B16" s="228"/>
      <c r="C16" s="229"/>
      <c r="D16" s="230"/>
      <c r="E16" s="231"/>
      <c r="F16" s="26"/>
      <c r="G16" s="228" t="s">
        <v>54</v>
      </c>
      <c r="H16" s="228"/>
      <c r="I16" s="12" t="s">
        <v>62</v>
      </c>
      <c r="J16" s="19" t="e">
        <f>IF(D19="","",D15+J17)</f>
        <v>#VALUE!</v>
      </c>
      <c r="K16" s="5" t="s">
        <v>23</v>
      </c>
      <c r="L16" s="26"/>
      <c r="M16" s="1" t="str">
        <f t="shared" ref="M16:M21" si="13">IF(C$7=$O$13,IF($O15&lt;D$20,IF(D$20&lt;=$O16,C$7,""),""),"")</f>
        <v/>
      </c>
      <c r="O16" s="13">
        <v>200</v>
      </c>
      <c r="P16" s="4">
        <v>182171.25382262998</v>
      </c>
      <c r="Q16" s="4">
        <v>6558.1651376146792</v>
      </c>
      <c r="R16" s="18">
        <v>1.5999999999999999E-5</v>
      </c>
      <c r="S16" s="18">
        <v>1.5999999999999999E-5</v>
      </c>
      <c r="T16" s="18">
        <v>1.5999999999999999E-5</v>
      </c>
      <c r="U16" s="24" t="str">
        <f t="shared" si="7"/>
        <v/>
      </c>
      <c r="V16" s="24" t="str">
        <f t="shared" si="8"/>
        <v/>
      </c>
      <c r="W16" s="20" t="str">
        <f t="shared" si="9"/>
        <v/>
      </c>
      <c r="X16" s="20" t="str">
        <f t="shared" si="10"/>
        <v/>
      </c>
      <c r="Y16" s="20" t="str">
        <f t="shared" si="10"/>
        <v/>
      </c>
      <c r="Z16" s="27"/>
      <c r="AK16" s="19" t="e">
        <f t="shared" si="11"/>
        <v>#VALUE!</v>
      </c>
      <c r="AL16" s="198" t="e">
        <f t="shared" si="12"/>
        <v>#VALUE!</v>
      </c>
      <c r="AM16" s="269"/>
    </row>
    <row r="17" spans="1:39" ht="14.4" customHeight="1" x14ac:dyDescent="0.3">
      <c r="A17" s="51" t="str">
        <f>IF(C16="","",IF(C16=O64,"Custom Stator CTE",CONCATENATE("Stator CTE = ",(J13*1000000)," X 10")))</f>
        <v/>
      </c>
      <c r="B17" s="50" t="str">
        <f>IF(A17="","",IF(C16=O64,"","-6"))</f>
        <v/>
      </c>
      <c r="C17" s="232" t="str">
        <f>IF(C16="Custom","Enter Custom Value","")</f>
        <v/>
      </c>
      <c r="D17" s="233"/>
      <c r="E17" s="234"/>
      <c r="F17" s="27"/>
      <c r="G17" s="228" t="s">
        <v>72</v>
      </c>
      <c r="H17" s="228"/>
      <c r="I17" s="12" t="s">
        <v>40</v>
      </c>
      <c r="J17" s="19" t="e">
        <f>IF(D19="","",J4*D15*J13)</f>
        <v>#VALUE!</v>
      </c>
      <c r="K17" s="5" t="s">
        <v>23</v>
      </c>
      <c r="L17" s="27"/>
      <c r="M17" s="1" t="str">
        <f t="shared" si="13"/>
        <v/>
      </c>
      <c r="O17" s="13">
        <v>250</v>
      </c>
      <c r="P17" s="4">
        <v>177981.65137614679</v>
      </c>
      <c r="Q17" s="4">
        <v>6407.339449541284</v>
      </c>
      <c r="R17" s="18">
        <v>1.5999999999999999E-5</v>
      </c>
      <c r="S17" s="18">
        <v>1.5999999999999999E-5</v>
      </c>
      <c r="T17" s="18">
        <v>1.5999999999999999E-5</v>
      </c>
      <c r="U17" s="24" t="str">
        <f t="shared" si="7"/>
        <v/>
      </c>
      <c r="V17" s="24" t="str">
        <f t="shared" si="8"/>
        <v/>
      </c>
      <c r="W17" s="20" t="str">
        <f t="shared" si="9"/>
        <v/>
      </c>
      <c r="X17" s="20" t="str">
        <f t="shared" si="10"/>
        <v/>
      </c>
      <c r="Y17" s="20" t="str">
        <f t="shared" si="10"/>
        <v/>
      </c>
      <c r="Z17" s="27"/>
      <c r="AK17" s="19" t="e">
        <f t="shared" si="11"/>
        <v>#VALUE!</v>
      </c>
      <c r="AL17" s="198" t="e">
        <f t="shared" si="12"/>
        <v>#VALUE!</v>
      </c>
      <c r="AM17" s="269"/>
    </row>
    <row r="18" spans="1:39" ht="14.4" customHeight="1" x14ac:dyDescent="0.3">
      <c r="A18" s="5" t="s">
        <v>88</v>
      </c>
      <c r="B18" s="5" t="s">
        <v>21</v>
      </c>
      <c r="C18" s="139" t="s">
        <v>46</v>
      </c>
      <c r="D18" s="68">
        <v>2</v>
      </c>
      <c r="E18" s="139" t="s">
        <v>23</v>
      </c>
      <c r="F18" s="27"/>
      <c r="G18" s="238" t="s">
        <v>125</v>
      </c>
      <c r="H18" s="238"/>
      <c r="I18" s="238"/>
      <c r="J18" s="238"/>
      <c r="K18" s="238"/>
      <c r="L18" s="27"/>
      <c r="M18" s="1" t="str">
        <f t="shared" si="13"/>
        <v/>
      </c>
      <c r="O18" s="13">
        <v>300</v>
      </c>
      <c r="P18" s="4">
        <v>138532.11009174312</v>
      </c>
      <c r="Q18" s="4">
        <v>4987.1559633027518</v>
      </c>
      <c r="R18" s="18">
        <v>4.6153846153846151E-5</v>
      </c>
      <c r="S18" s="18">
        <v>4.6153846153846151E-5</v>
      </c>
      <c r="T18" s="18">
        <v>4.6153846153846151E-5</v>
      </c>
      <c r="U18" s="24" t="str">
        <f t="shared" si="7"/>
        <v/>
      </c>
      <c r="V18" s="24" t="str">
        <f t="shared" si="8"/>
        <v/>
      </c>
      <c r="W18" s="20" t="str">
        <f t="shared" si="9"/>
        <v/>
      </c>
      <c r="X18" s="20" t="str">
        <f t="shared" si="10"/>
        <v/>
      </c>
      <c r="Y18" s="20" t="str">
        <f t="shared" si="10"/>
        <v/>
      </c>
      <c r="Z18" s="27"/>
      <c r="AK18" s="19" t="e">
        <f t="shared" si="11"/>
        <v>#VALUE!</v>
      </c>
      <c r="AL18" s="198" t="e">
        <f t="shared" si="12"/>
        <v>#VALUE!</v>
      </c>
      <c r="AM18" s="269"/>
    </row>
    <row r="19" spans="1:39" ht="14.4" customHeight="1" x14ac:dyDescent="0.3">
      <c r="A19" s="228" t="s">
        <v>155</v>
      </c>
      <c r="B19" s="5" t="s">
        <v>21</v>
      </c>
      <c r="C19" s="139" t="s">
        <v>59</v>
      </c>
      <c r="D19" s="70">
        <v>30</v>
      </c>
      <c r="E19" s="139" t="s">
        <v>26</v>
      </c>
      <c r="F19" s="27"/>
      <c r="G19" s="228" t="s">
        <v>115</v>
      </c>
      <c r="H19" s="228"/>
      <c r="I19" s="29" t="s">
        <v>117</v>
      </c>
      <c r="J19" s="30" t="str">
        <f>IF(D20="","",IF(C$7="","",VLOOKUP(C$7,M$4:T$61,6,FALSE)))</f>
        <v/>
      </c>
      <c r="K19" s="5" t="s">
        <v>87</v>
      </c>
      <c r="L19" s="27"/>
      <c r="M19" s="1" t="str">
        <f t="shared" si="13"/>
        <v/>
      </c>
      <c r="O19" s="13">
        <v>350</v>
      </c>
      <c r="P19" s="4">
        <v>26788.99082568807</v>
      </c>
      <c r="Q19" s="4">
        <v>964.40366972477045</v>
      </c>
      <c r="R19" s="18">
        <v>4.6153846153846151E-5</v>
      </c>
      <c r="S19" s="18">
        <v>4.6153846153846151E-5</v>
      </c>
      <c r="T19" s="18">
        <v>4.6153846153846151E-5</v>
      </c>
      <c r="U19" s="24" t="str">
        <f t="shared" si="7"/>
        <v/>
      </c>
      <c r="V19" s="24" t="str">
        <f t="shared" si="8"/>
        <v/>
      </c>
      <c r="W19" s="20" t="str">
        <f t="shared" si="9"/>
        <v/>
      </c>
      <c r="X19" s="20" t="str">
        <f t="shared" si="10"/>
        <v/>
      </c>
      <c r="Y19" s="20" t="str">
        <f t="shared" si="10"/>
        <v/>
      </c>
      <c r="Z19" s="27"/>
      <c r="AK19" s="19" t="e">
        <f t="shared" si="11"/>
        <v>#VALUE!</v>
      </c>
      <c r="AL19" s="198" t="e">
        <f t="shared" si="12"/>
        <v>#VALUE!</v>
      </c>
      <c r="AM19" s="269"/>
    </row>
    <row r="20" spans="1:39" ht="14.4" customHeight="1" x14ac:dyDescent="0.3">
      <c r="A20" s="228"/>
      <c r="B20" s="5" t="s">
        <v>22</v>
      </c>
      <c r="C20" s="139" t="s">
        <v>60</v>
      </c>
      <c r="D20" s="70">
        <v>100</v>
      </c>
      <c r="E20" s="139" t="s">
        <v>26</v>
      </c>
      <c r="F20" s="27"/>
      <c r="G20" s="228" t="s">
        <v>58</v>
      </c>
      <c r="H20" s="228"/>
      <c r="I20" s="12" t="s">
        <v>68</v>
      </c>
      <c r="J20" s="19" t="e">
        <f>IF(D20="","",J21+D11)</f>
        <v>#N/A</v>
      </c>
      <c r="K20" s="5" t="s">
        <v>23</v>
      </c>
      <c r="L20" s="27"/>
      <c r="M20" s="1" t="str">
        <f t="shared" si="13"/>
        <v/>
      </c>
      <c r="O20" s="13">
        <v>400</v>
      </c>
      <c r="P20" s="4">
        <v>23241.590214067277</v>
      </c>
      <c r="Q20" s="4">
        <v>836.69724770642199</v>
      </c>
      <c r="R20" s="18">
        <v>4.6153846153846151E-5</v>
      </c>
      <c r="S20" s="18">
        <v>4.6153846153846151E-5</v>
      </c>
      <c r="T20" s="18">
        <v>4.6153846153846151E-5</v>
      </c>
      <c r="U20" s="24" t="str">
        <f t="shared" si="7"/>
        <v/>
      </c>
      <c r="V20" s="24" t="str">
        <f t="shared" si="8"/>
        <v/>
      </c>
      <c r="W20" s="20" t="str">
        <f t="shared" si="9"/>
        <v/>
      </c>
      <c r="X20" s="20" t="str">
        <f t="shared" si="10"/>
        <v/>
      </c>
      <c r="Y20" s="20" t="str">
        <f t="shared" si="10"/>
        <v/>
      </c>
      <c r="Z20" s="27"/>
      <c r="AK20" s="19" t="e">
        <f t="shared" si="11"/>
        <v>#VALUE!</v>
      </c>
      <c r="AL20" s="198" t="e">
        <f t="shared" si="12"/>
        <v>#VALUE!</v>
      </c>
      <c r="AM20" s="269"/>
    </row>
    <row r="21" spans="1:39" ht="14.4" customHeight="1" x14ac:dyDescent="0.3">
      <c r="A21" s="235"/>
      <c r="B21" s="235"/>
      <c r="C21" s="235"/>
      <c r="D21" s="235"/>
      <c r="E21" s="235"/>
      <c r="F21" s="27"/>
      <c r="G21" s="228" t="s">
        <v>50</v>
      </c>
      <c r="H21" s="228"/>
      <c r="I21" s="12" t="s">
        <v>43</v>
      </c>
      <c r="J21" s="115" t="e">
        <f>IF(D20="","",VLOOKUP(C7,O3:AC53,15,FALSE))</f>
        <v>#N/A</v>
      </c>
      <c r="K21" s="5" t="s">
        <v>23</v>
      </c>
      <c r="L21" s="27"/>
      <c r="M21" s="1" t="str">
        <f t="shared" si="13"/>
        <v/>
      </c>
      <c r="O21" s="13">
        <v>500</v>
      </c>
      <c r="P21" s="4">
        <v>15382.262996941896</v>
      </c>
      <c r="Q21" s="4">
        <v>553.7614678899082</v>
      </c>
      <c r="R21" s="18">
        <v>4.6153846153846151E-5</v>
      </c>
      <c r="S21" s="18">
        <v>4.6153846153846151E-5</v>
      </c>
      <c r="T21" s="18">
        <v>4.6153846153846151E-5</v>
      </c>
      <c r="U21" s="24" t="str">
        <f t="shared" si="7"/>
        <v/>
      </c>
      <c r="V21" s="24" t="str">
        <f t="shared" si="8"/>
        <v/>
      </c>
      <c r="W21" s="20" t="str">
        <f t="shared" si="9"/>
        <v/>
      </c>
      <c r="X21" s="20" t="str">
        <f t="shared" si="10"/>
        <v/>
      </c>
      <c r="Y21" s="20" t="str">
        <f t="shared" si="10"/>
        <v/>
      </c>
      <c r="Z21" s="27"/>
      <c r="AK21" s="19" t="e">
        <f t="shared" si="11"/>
        <v>#VALUE!</v>
      </c>
      <c r="AL21" s="198" t="e">
        <f t="shared" si="12"/>
        <v>#VALUE!</v>
      </c>
      <c r="AM21" s="269"/>
    </row>
    <row r="22" spans="1:39" ht="14.4" customHeight="1" x14ac:dyDescent="0.3">
      <c r="A22" s="208" t="s">
        <v>110</v>
      </c>
      <c r="B22" s="209"/>
      <c r="C22" s="210"/>
      <c r="D22" s="13" t="s">
        <v>134</v>
      </c>
      <c r="E22" s="13" t="s">
        <v>135</v>
      </c>
      <c r="F22" s="27"/>
      <c r="G22" s="228" t="s">
        <v>116</v>
      </c>
      <c r="H22" s="228"/>
      <c r="I22" s="29" t="s">
        <v>118</v>
      </c>
      <c r="J22" s="30" t="str">
        <f>IF(C$7="","",VLOOKUP(C$7,N$4:T$61,5,FALSE))</f>
        <v/>
      </c>
      <c r="K22" s="5" t="s">
        <v>87</v>
      </c>
      <c r="L22" s="27"/>
      <c r="Z22" s="27"/>
      <c r="AG22" s="113" t="s">
        <v>219</v>
      </c>
      <c r="AM22" s="269"/>
    </row>
    <row r="23" spans="1:39" ht="14.4" customHeight="1" x14ac:dyDescent="0.3">
      <c r="A23" s="218" t="s">
        <v>131</v>
      </c>
      <c r="B23" s="219"/>
      <c r="C23" s="220"/>
      <c r="D23" s="20" t="str">
        <f>IF(J26="","",VLOOKUP(C$7,M3:W61,9,FALSE))</f>
        <v/>
      </c>
      <c r="E23" s="156" t="str">
        <f>IF(D23="","",CONCATENATE("-",VLOOKUP(C$7,M5:Y61,12,FALSE)))</f>
        <v/>
      </c>
      <c r="F23" s="27"/>
      <c r="G23" s="228" t="s">
        <v>55</v>
      </c>
      <c r="H23" s="228"/>
      <c r="I23" s="12" t="s">
        <v>64</v>
      </c>
      <c r="J23" s="19" t="e">
        <f>IF(D19="","",D11+J24)</f>
        <v>#VALUE!</v>
      </c>
      <c r="K23" s="5" t="s">
        <v>23</v>
      </c>
      <c r="L23" s="27"/>
      <c r="O23" s="6" t="s">
        <v>79</v>
      </c>
      <c r="P23" s="208" t="s">
        <v>190</v>
      </c>
      <c r="Q23" s="210"/>
      <c r="R23" s="208" t="s">
        <v>191</v>
      </c>
      <c r="S23" s="209"/>
      <c r="T23" s="210"/>
      <c r="U23" s="208" t="s">
        <v>236</v>
      </c>
      <c r="V23" s="209"/>
      <c r="W23" s="209"/>
      <c r="X23" s="209"/>
      <c r="Y23" s="210"/>
      <c r="Z23" s="27"/>
      <c r="AB23" s="130" t="s">
        <v>203</v>
      </c>
      <c r="AC23" s="129">
        <f>S25*$J$5*$D$15</f>
        <v>0</v>
      </c>
      <c r="AG23" s="193" t="e">
        <f>D18*J5*J33</f>
        <v>#VALUE!</v>
      </c>
      <c r="AK23" s="238" t="s">
        <v>164</v>
      </c>
      <c r="AL23" s="208"/>
      <c r="AM23" s="269"/>
    </row>
    <row r="24" spans="1:39" ht="14.4" customHeight="1" x14ac:dyDescent="0.3">
      <c r="A24" s="218" t="s">
        <v>137</v>
      </c>
      <c r="B24" s="219"/>
      <c r="C24" s="220"/>
      <c r="D24" s="20" t="str">
        <f>IF(J19="","",VLOOKUP(C$7,M3:W61,10,FALSE))</f>
        <v/>
      </c>
      <c r="E24" s="156" t="str">
        <f>IF(D24="","",CONCATENATE("+",VLOOKUP(C$7,M5:Y61,13,FALSE)))</f>
        <v/>
      </c>
      <c r="F24" s="27"/>
      <c r="G24" s="228" t="s">
        <v>51</v>
      </c>
      <c r="H24" s="228"/>
      <c r="I24" s="12" t="s">
        <v>44</v>
      </c>
      <c r="J24" s="19" t="e">
        <f>IF(D19="","",J4*D11*J22)</f>
        <v>#VALUE!</v>
      </c>
      <c r="K24" s="5" t="s">
        <v>23</v>
      </c>
      <c r="L24" s="27"/>
      <c r="O24" s="13" t="s">
        <v>17</v>
      </c>
      <c r="P24" s="13" t="s">
        <v>81</v>
      </c>
      <c r="Q24" s="13" t="s">
        <v>82</v>
      </c>
      <c r="R24" s="13" t="s">
        <v>80</v>
      </c>
      <c r="S24" s="13" t="s">
        <v>83</v>
      </c>
      <c r="T24" s="13" t="s">
        <v>84</v>
      </c>
      <c r="U24" s="5" t="s">
        <v>111</v>
      </c>
      <c r="V24" s="5" t="s">
        <v>112</v>
      </c>
      <c r="W24" s="5" t="s">
        <v>113</v>
      </c>
      <c r="X24" s="13" t="s">
        <v>132</v>
      </c>
      <c r="Y24" s="13" t="s">
        <v>133</v>
      </c>
      <c r="Z24" s="27"/>
      <c r="AK24" s="64" t="s">
        <v>60</v>
      </c>
      <c r="AL24" s="190" t="s">
        <v>59</v>
      </c>
      <c r="AM24" s="269"/>
    </row>
    <row r="25" spans="1:39" ht="14.4" customHeight="1" x14ac:dyDescent="0.3">
      <c r="A25" s="218" t="s">
        <v>136</v>
      </c>
      <c r="B25" s="219"/>
      <c r="C25" s="220"/>
      <c r="D25" s="20" t="str">
        <f>IF(J33="","",VLOOKUP(C$7,M3:W61,11,FALSE))</f>
        <v/>
      </c>
      <c r="E25" s="46" t="str">
        <f>IF(D25="","","-.010")</f>
        <v/>
      </c>
      <c r="F25" s="27"/>
      <c r="G25" s="238" t="s">
        <v>126</v>
      </c>
      <c r="H25" s="238"/>
      <c r="I25" s="238"/>
      <c r="J25" s="238"/>
      <c r="K25" s="238"/>
      <c r="L25" s="27"/>
      <c r="M25" s="1" t="str">
        <f>IF(C$7=$O$23,IF(D$20=75,C$7,""),"")</f>
        <v/>
      </c>
      <c r="N25" s="1" t="str">
        <f>IF(C$7=$O$23,C$7,"")</f>
        <v/>
      </c>
      <c r="O25" s="13">
        <v>75</v>
      </c>
      <c r="P25" s="4">
        <v>400000</v>
      </c>
      <c r="Q25" s="4">
        <v>23500</v>
      </c>
      <c r="R25" s="18">
        <v>1.5999999999999999E-5</v>
      </c>
      <c r="S25" s="18">
        <v>1.5999999999999999E-5</v>
      </c>
      <c r="T25" s="18">
        <v>1.5999999999999999E-5</v>
      </c>
      <c r="U25" s="24" t="str">
        <f t="shared" ref="U25:U31" si="14">IF(M25=O$23,IF(D$20&gt;275,"Check Temperature",D$14-0.002),"")</f>
        <v/>
      </c>
      <c r="V25" s="24" t="str">
        <f t="shared" ref="V25:V31" si="15">IF(M25=O$23,IF(AK25&gt;AL25,AK25,AL25),"")</f>
        <v/>
      </c>
      <c r="W25" s="20" t="str">
        <f t="shared" ref="W25:W31" si="16">IF(M25=O$23,IF(D$20&gt;275,"Check Temp Range",IF(D$20&gt;300,D$18-J$34,D$18)),"")</f>
        <v/>
      </c>
      <c r="X25" s="20" t="str">
        <f t="shared" ref="X25:Y31" si="17">IF(U25="","",IF(U25&lt;3,0.003,IF(U25&lt;6,0.005,IF(U25&lt;12,0.006,"Check"))))</f>
        <v/>
      </c>
      <c r="Y25" s="20" t="str">
        <f t="shared" si="17"/>
        <v/>
      </c>
      <c r="Z25" s="27"/>
      <c r="AK25" s="19" t="e">
        <f t="shared" ref="AK25:AK31" si="18">D$11+J$37+J$28-J$15-J$21+J$9-0.002</f>
        <v>#VALUE!</v>
      </c>
      <c r="AL25" s="198" t="e">
        <f t="shared" ref="AL25:AL31" si="19">D$11+J$37+J$24-J$11</f>
        <v>#VALUE!</v>
      </c>
      <c r="AM25" s="269"/>
    </row>
    <row r="26" spans="1:39" ht="14.4" customHeight="1" x14ac:dyDescent="0.3">
      <c r="A26" s="217"/>
      <c r="B26" s="217"/>
      <c r="C26" s="217"/>
      <c r="D26" s="217"/>
      <c r="E26" s="217"/>
      <c r="F26" s="27"/>
      <c r="G26" s="228" t="s">
        <v>122</v>
      </c>
      <c r="H26" s="228"/>
      <c r="I26" s="29" t="s">
        <v>119</v>
      </c>
      <c r="J26" s="30" t="str">
        <f>IF(D20="","",IF(C$7="","",VLOOKUP(C$7,M$4:T$61,7,FALSE)))</f>
        <v/>
      </c>
      <c r="K26" s="5" t="s">
        <v>87</v>
      </c>
      <c r="L26" s="27"/>
      <c r="M26" s="1" t="str">
        <f t="shared" ref="M26:M31" si="20">IF(C$7=$O$23,IF($O25&lt;D$20,IF(D$20&lt;=$O26,C$7,""),""),"")</f>
        <v/>
      </c>
      <c r="O26" s="13">
        <v>200</v>
      </c>
      <c r="P26" s="4">
        <v>364342.50764525996</v>
      </c>
      <c r="Q26" s="4">
        <v>21405.122324159023</v>
      </c>
      <c r="R26" s="18">
        <v>1.5999999999999999E-5</v>
      </c>
      <c r="S26" s="18">
        <v>1.5999999999999999E-5</v>
      </c>
      <c r="T26" s="18">
        <v>1.5999999999999999E-5</v>
      </c>
      <c r="U26" s="24" t="str">
        <f t="shared" si="14"/>
        <v/>
      </c>
      <c r="V26" s="24" t="str">
        <f t="shared" si="15"/>
        <v/>
      </c>
      <c r="W26" s="20" t="str">
        <f t="shared" si="16"/>
        <v/>
      </c>
      <c r="X26" s="20" t="str">
        <f t="shared" si="17"/>
        <v/>
      </c>
      <c r="Y26" s="20" t="str">
        <f t="shared" si="17"/>
        <v/>
      </c>
      <c r="Z26" s="27"/>
      <c r="AK26" s="19" t="e">
        <f t="shared" si="18"/>
        <v>#VALUE!</v>
      </c>
      <c r="AL26" s="198" t="e">
        <f t="shared" si="19"/>
        <v>#VALUE!</v>
      </c>
      <c r="AM26" s="269"/>
    </row>
    <row r="27" spans="1:39" ht="14.4" customHeight="1" x14ac:dyDescent="0.3">
      <c r="A27" s="227" t="s">
        <v>147</v>
      </c>
      <c r="B27" s="243"/>
      <c r="C27" s="243"/>
      <c r="D27" s="243"/>
      <c r="E27" s="243"/>
      <c r="F27" s="27"/>
      <c r="G27" s="236" t="s">
        <v>217</v>
      </c>
      <c r="H27" s="236"/>
      <c r="I27" s="12" t="s">
        <v>67</v>
      </c>
      <c r="J27" s="19" t="e">
        <f>IF(D20="","",J28+J14)</f>
        <v>#VALUE!</v>
      </c>
      <c r="K27" s="5" t="s">
        <v>23</v>
      </c>
      <c r="L27" s="27"/>
      <c r="M27" s="1" t="str">
        <f t="shared" si="20"/>
        <v/>
      </c>
      <c r="O27" s="13">
        <v>250</v>
      </c>
      <c r="P27" s="4">
        <v>355963.30275229359</v>
      </c>
      <c r="Q27" s="4">
        <v>20912.844036697246</v>
      </c>
      <c r="R27" s="18">
        <v>1.5999999999999999E-5</v>
      </c>
      <c r="S27" s="18">
        <v>1.5999999999999999E-5</v>
      </c>
      <c r="T27" s="18">
        <v>1.5999999999999999E-5</v>
      </c>
      <c r="U27" s="24" t="str">
        <f t="shared" si="14"/>
        <v/>
      </c>
      <c r="V27" s="24" t="str">
        <f t="shared" si="15"/>
        <v/>
      </c>
      <c r="W27" s="20" t="str">
        <f t="shared" si="16"/>
        <v/>
      </c>
      <c r="X27" s="20" t="str">
        <f t="shared" si="17"/>
        <v/>
      </c>
      <c r="Y27" s="20" t="str">
        <f t="shared" si="17"/>
        <v/>
      </c>
      <c r="Z27" s="27"/>
      <c r="AK27" s="19" t="e">
        <f t="shared" si="18"/>
        <v>#VALUE!</v>
      </c>
      <c r="AL27" s="198" t="e">
        <f t="shared" si="19"/>
        <v>#VALUE!</v>
      </c>
      <c r="AM27" s="269"/>
    </row>
    <row r="28" spans="1:39" ht="14.4" customHeight="1" x14ac:dyDescent="0.3">
      <c r="A28" s="271" t="str">
        <f>IF($C$6="","",HLOOKUP(C6,O89:R92,VLOOKUP(C5,O90:S92,5,FALSE),FALSE))</f>
        <v/>
      </c>
      <c r="B28" s="272"/>
      <c r="C28" s="272"/>
      <c r="D28" s="272"/>
      <c r="E28" s="273"/>
      <c r="F28" s="27"/>
      <c r="G28" s="228" t="s">
        <v>48</v>
      </c>
      <c r="H28" s="228"/>
      <c r="I28" s="12" t="s">
        <v>41</v>
      </c>
      <c r="J28" s="152" t="str">
        <f>IF(D23="","",VLOOKUP(C7,O3:AG61,17,FALSE))</f>
        <v/>
      </c>
      <c r="K28" s="5" t="s">
        <v>23</v>
      </c>
      <c r="L28" s="27"/>
      <c r="M28" s="1" t="str">
        <f t="shared" si="20"/>
        <v/>
      </c>
      <c r="O28" s="13">
        <v>300</v>
      </c>
      <c r="P28" s="4">
        <v>277064.22018348624</v>
      </c>
      <c r="Q28" s="4">
        <v>16277.522935779816</v>
      </c>
      <c r="R28" s="18">
        <v>4.6153846153846151E-5</v>
      </c>
      <c r="S28" s="18">
        <v>4.6153846153846151E-5</v>
      </c>
      <c r="T28" s="18">
        <v>4.6153846153846151E-5</v>
      </c>
      <c r="U28" s="24" t="str">
        <f t="shared" si="14"/>
        <v/>
      </c>
      <c r="V28" s="24" t="str">
        <f t="shared" si="15"/>
        <v/>
      </c>
      <c r="W28" s="20" t="str">
        <f t="shared" si="16"/>
        <v/>
      </c>
      <c r="X28" s="20" t="str">
        <f t="shared" si="17"/>
        <v/>
      </c>
      <c r="Y28" s="20" t="str">
        <f t="shared" si="17"/>
        <v/>
      </c>
      <c r="Z28" s="27"/>
      <c r="AK28" s="19" t="e">
        <f t="shared" si="18"/>
        <v>#VALUE!</v>
      </c>
      <c r="AL28" s="198" t="e">
        <f t="shared" si="19"/>
        <v>#VALUE!</v>
      </c>
      <c r="AM28" s="269"/>
    </row>
    <row r="29" spans="1:39" ht="14.4" customHeight="1" x14ac:dyDescent="0.3">
      <c r="A29" s="271" t="str">
        <f>IF(D24="","",IF((D23-D24)&gt;0.236,"","Check cross section thickness"))</f>
        <v/>
      </c>
      <c r="B29" s="272"/>
      <c r="C29" s="272"/>
      <c r="D29" s="272"/>
      <c r="E29" s="273"/>
      <c r="F29" s="27"/>
      <c r="G29" s="228" t="s">
        <v>121</v>
      </c>
      <c r="H29" s="228"/>
      <c r="I29" s="29" t="s">
        <v>120</v>
      </c>
      <c r="J29" s="30" t="str">
        <f>IF(C$7="","",VLOOKUP(C$7,N$4:T$61,6,FALSE))</f>
        <v/>
      </c>
      <c r="K29" s="5" t="s">
        <v>87</v>
      </c>
      <c r="L29" s="27"/>
      <c r="M29" s="1" t="str">
        <f t="shared" si="20"/>
        <v/>
      </c>
      <c r="O29" s="13">
        <v>350</v>
      </c>
      <c r="P29" s="4">
        <v>53577.98165137614</v>
      </c>
      <c r="Q29" s="4">
        <v>3147.7064220183483</v>
      </c>
      <c r="R29" s="18">
        <v>4.6153846153846151E-5</v>
      </c>
      <c r="S29" s="18">
        <v>4.6153846153846151E-5</v>
      </c>
      <c r="T29" s="18">
        <v>4.6153846153846151E-5</v>
      </c>
      <c r="U29" s="24" t="str">
        <f t="shared" si="14"/>
        <v/>
      </c>
      <c r="V29" s="24" t="str">
        <f t="shared" si="15"/>
        <v/>
      </c>
      <c r="W29" s="20" t="str">
        <f t="shared" si="16"/>
        <v/>
      </c>
      <c r="X29" s="20" t="str">
        <f t="shared" si="17"/>
        <v/>
      </c>
      <c r="Y29" s="20" t="str">
        <f t="shared" si="17"/>
        <v/>
      </c>
      <c r="Z29" s="27"/>
      <c r="AK29" s="19" t="e">
        <f t="shared" si="18"/>
        <v>#VALUE!</v>
      </c>
      <c r="AL29" s="198" t="e">
        <f t="shared" si="19"/>
        <v>#VALUE!</v>
      </c>
      <c r="AM29" s="269"/>
    </row>
    <row r="30" spans="1:39" ht="14.4" customHeight="1" x14ac:dyDescent="0.3">
      <c r="A30" s="274" t="s">
        <v>148</v>
      </c>
      <c r="B30" s="275"/>
      <c r="C30" s="275"/>
      <c r="D30" s="275"/>
      <c r="E30" s="275"/>
      <c r="F30" s="27"/>
      <c r="G30" s="278" t="s">
        <v>218</v>
      </c>
      <c r="H30" s="278"/>
      <c r="I30" s="12" t="s">
        <v>63</v>
      </c>
      <c r="J30" s="19" t="e">
        <f>IF(D19="","",J36+J16)</f>
        <v>#VALUE!</v>
      </c>
      <c r="K30" s="5" t="s">
        <v>23</v>
      </c>
      <c r="L30" s="27"/>
      <c r="M30" s="1" t="str">
        <f t="shared" si="20"/>
        <v/>
      </c>
      <c r="O30" s="13">
        <v>400</v>
      </c>
      <c r="P30" s="4">
        <v>46483.180428134554</v>
      </c>
      <c r="Q30" s="4">
        <v>2730.886850152905</v>
      </c>
      <c r="R30" s="18">
        <v>4.6153846153846151E-5</v>
      </c>
      <c r="S30" s="18">
        <v>4.6153846153846151E-5</v>
      </c>
      <c r="T30" s="18">
        <v>4.6153846153846151E-5</v>
      </c>
      <c r="U30" s="24" t="str">
        <f t="shared" si="14"/>
        <v/>
      </c>
      <c r="V30" s="24" t="str">
        <f t="shared" si="15"/>
        <v/>
      </c>
      <c r="W30" s="20" t="str">
        <f t="shared" si="16"/>
        <v/>
      </c>
      <c r="X30" s="20" t="str">
        <f t="shared" si="17"/>
        <v/>
      </c>
      <c r="Y30" s="20" t="str">
        <f t="shared" si="17"/>
        <v/>
      </c>
      <c r="Z30" s="27"/>
      <c r="AK30" s="19" t="e">
        <f t="shared" si="18"/>
        <v>#VALUE!</v>
      </c>
      <c r="AL30" s="198" t="e">
        <f t="shared" si="19"/>
        <v>#VALUE!</v>
      </c>
      <c r="AM30" s="269"/>
    </row>
    <row r="31" spans="1:39" ht="14.4" customHeight="1" x14ac:dyDescent="0.3">
      <c r="A31" s="224"/>
      <c r="B31" s="225"/>
      <c r="C31" s="225"/>
      <c r="D31" s="225"/>
      <c r="E31" s="226"/>
      <c r="F31" s="27"/>
      <c r="G31" s="228" t="s">
        <v>49</v>
      </c>
      <c r="H31" s="228"/>
      <c r="I31" s="12" t="s">
        <v>42</v>
      </c>
      <c r="J31" s="115" t="e">
        <f>IF(D19="","",J4*D15*J29)</f>
        <v>#VALUE!</v>
      </c>
      <c r="K31" s="5" t="s">
        <v>23</v>
      </c>
      <c r="L31" s="27"/>
      <c r="M31" s="1" t="str">
        <f t="shared" si="20"/>
        <v/>
      </c>
      <c r="O31" s="13">
        <v>500</v>
      </c>
      <c r="P31" s="4">
        <v>30764.525993883792</v>
      </c>
      <c r="Q31" s="4">
        <v>1807.4159021406726</v>
      </c>
      <c r="R31" s="18">
        <v>4.6153846153846151E-5</v>
      </c>
      <c r="S31" s="18">
        <v>4.6153846153846151E-5</v>
      </c>
      <c r="T31" s="18">
        <v>4.6153846153846151E-5</v>
      </c>
      <c r="U31" s="24" t="str">
        <f t="shared" si="14"/>
        <v/>
      </c>
      <c r="V31" s="24" t="str">
        <f t="shared" si="15"/>
        <v/>
      </c>
      <c r="W31" s="20" t="str">
        <f t="shared" si="16"/>
        <v/>
      </c>
      <c r="X31" s="20" t="str">
        <f t="shared" si="17"/>
        <v/>
      </c>
      <c r="Y31" s="20" t="str">
        <f t="shared" si="17"/>
        <v/>
      </c>
      <c r="Z31" s="27"/>
      <c r="AK31" s="19" t="e">
        <f t="shared" si="18"/>
        <v>#VALUE!</v>
      </c>
      <c r="AL31" s="198" t="e">
        <f t="shared" si="19"/>
        <v>#VALUE!</v>
      </c>
      <c r="AM31" s="269"/>
    </row>
    <row r="32" spans="1:39" ht="14.4" customHeight="1" x14ac:dyDescent="0.3">
      <c r="A32" s="214"/>
      <c r="B32" s="215"/>
      <c r="C32" s="215"/>
      <c r="D32" s="215"/>
      <c r="E32" s="216"/>
      <c r="F32" s="27"/>
      <c r="G32" s="238" t="s">
        <v>127</v>
      </c>
      <c r="H32" s="238"/>
      <c r="I32" s="238"/>
      <c r="J32" s="238"/>
      <c r="K32" s="238"/>
      <c r="L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M32" s="269"/>
    </row>
    <row r="33" spans="1:39" ht="14.4" customHeight="1" x14ac:dyDescent="0.3">
      <c r="A33" s="214"/>
      <c r="B33" s="215"/>
      <c r="C33" s="215"/>
      <c r="D33" s="215"/>
      <c r="E33" s="216"/>
      <c r="F33" s="27"/>
      <c r="G33" s="279" t="s">
        <v>76</v>
      </c>
      <c r="H33" s="279"/>
      <c r="I33" s="145" t="s">
        <v>47</v>
      </c>
      <c r="J33" s="146" t="str">
        <f>IF(D20="","",IF(C$7="","",VLOOKUP(C$7,M$4:T$61,8,FALSE)))</f>
        <v/>
      </c>
      <c r="K33" s="147" t="s">
        <v>87</v>
      </c>
      <c r="L33" s="27"/>
      <c r="O33" s="6" t="s">
        <v>2</v>
      </c>
      <c r="P33" s="208" t="s">
        <v>190</v>
      </c>
      <c r="Q33" s="210"/>
      <c r="R33" s="208" t="s">
        <v>191</v>
      </c>
      <c r="S33" s="209"/>
      <c r="T33" s="210"/>
      <c r="U33" s="208" t="s">
        <v>236</v>
      </c>
      <c r="V33" s="209"/>
      <c r="W33" s="209"/>
      <c r="X33" s="209"/>
      <c r="Y33" s="210"/>
      <c r="Z33" s="27"/>
      <c r="AA33" s="1" t="s">
        <v>192</v>
      </c>
      <c r="AB33" s="1"/>
      <c r="AC33" s="1">
        <f>AC42</f>
        <v>0</v>
      </c>
      <c r="AD33" s="1"/>
      <c r="AE33" s="1"/>
      <c r="AG33" s="1">
        <v>0</v>
      </c>
      <c r="AJ33" s="27"/>
      <c r="AK33" s="238" t="s">
        <v>164</v>
      </c>
      <c r="AL33" s="208"/>
      <c r="AM33" s="269"/>
    </row>
    <row r="34" spans="1:39" ht="14.4" customHeight="1" x14ac:dyDescent="0.3">
      <c r="A34" s="214"/>
      <c r="B34" s="215"/>
      <c r="C34" s="215"/>
      <c r="D34" s="215"/>
      <c r="E34" s="216"/>
      <c r="F34" s="27"/>
      <c r="G34" s="279" t="s">
        <v>73</v>
      </c>
      <c r="H34" s="279"/>
      <c r="I34" s="148" t="s">
        <v>77</v>
      </c>
      <c r="J34" s="149" t="str">
        <f>IF(J33="","",VLOOKUP(C$7,O3:AG61,19,FALSE))</f>
        <v/>
      </c>
      <c r="K34" s="147" t="s">
        <v>23</v>
      </c>
      <c r="L34" s="27"/>
      <c r="O34" s="36" t="s">
        <v>17</v>
      </c>
      <c r="P34" s="36" t="s">
        <v>81</v>
      </c>
      <c r="Q34" s="36" t="s">
        <v>82</v>
      </c>
      <c r="R34" s="36" t="s">
        <v>80</v>
      </c>
      <c r="S34" s="36" t="s">
        <v>83</v>
      </c>
      <c r="T34" s="36" t="s">
        <v>84</v>
      </c>
      <c r="U34" s="37" t="s">
        <v>111</v>
      </c>
      <c r="V34" s="37" t="s">
        <v>112</v>
      </c>
      <c r="W34" s="37" t="s">
        <v>113</v>
      </c>
      <c r="X34" s="13" t="s">
        <v>132</v>
      </c>
      <c r="Y34" s="13" t="s">
        <v>133</v>
      </c>
      <c r="Z34" s="27"/>
      <c r="AA34" s="93" t="s">
        <v>189</v>
      </c>
      <c r="AB34" s="93" t="s">
        <v>80</v>
      </c>
      <c r="AC34" s="93" t="s">
        <v>193</v>
      </c>
      <c r="AD34" s="93" t="s">
        <v>83</v>
      </c>
      <c r="AE34" s="93" t="s">
        <v>193</v>
      </c>
      <c r="AF34" s="93" t="s">
        <v>84</v>
      </c>
      <c r="AG34" s="93" t="s">
        <v>193</v>
      </c>
      <c r="AH34" s="125"/>
      <c r="AI34" s="125"/>
      <c r="AJ34" s="27"/>
      <c r="AK34" s="64" t="s">
        <v>60</v>
      </c>
      <c r="AL34" s="190" t="s">
        <v>59</v>
      </c>
      <c r="AM34" s="269"/>
    </row>
    <row r="35" spans="1:39" ht="14.4" customHeight="1" x14ac:dyDescent="0.3">
      <c r="A35" s="214"/>
      <c r="B35" s="215"/>
      <c r="C35" s="215"/>
      <c r="D35" s="215"/>
      <c r="E35" s="216"/>
      <c r="F35" s="27"/>
      <c r="G35" s="238" t="s">
        <v>128</v>
      </c>
      <c r="H35" s="238"/>
      <c r="I35" s="238"/>
      <c r="J35" s="238"/>
      <c r="K35" s="238"/>
      <c r="L35" s="27"/>
      <c r="M35" s="1" t="str">
        <f>IF(C$7=$O$33,IF(D$20=75,C$7,""),"")</f>
        <v/>
      </c>
      <c r="N35" s="1" t="str">
        <f>IF(C$7=$O$33,C$7,"")</f>
        <v/>
      </c>
      <c r="O35" s="13">
        <v>75</v>
      </c>
      <c r="P35" s="13">
        <v>18000000</v>
      </c>
      <c r="Q35" s="4">
        <v>197000</v>
      </c>
      <c r="R35" s="18">
        <v>-1.9300000000000002E-6</v>
      </c>
      <c r="S35" s="18">
        <v>1.68E-6</v>
      </c>
      <c r="T35" s="18">
        <v>2.5999999999999998E-5</v>
      </c>
      <c r="U35" s="24" t="str">
        <f t="shared" ref="U35:U41" si="21">IF(M35=O$33,IF(D$20&gt;525,"Check Temperature",D$14-0.002),"")</f>
        <v/>
      </c>
      <c r="V35" s="24" t="str">
        <f t="shared" ref="V35:V41" si="22">IF(M35=O$33,IF(AK35&gt;AL35,AK35,AL35),"")</f>
        <v/>
      </c>
      <c r="W35" s="20" t="str">
        <f t="shared" ref="W35:W41" si="23">IF(M35=O$33,IF(D$20&gt;525,"Check Temp Range",IF(D$20&gt;300,D$18-J$34,D$18)),"")</f>
        <v/>
      </c>
      <c r="X35" s="20" t="str">
        <f t="shared" ref="X35:Y41" si="24">IF(U35="","",IF(U35&lt;3,0.002,IF(U35&lt;6,0.003,IF(U35&lt;12,0.004,"Check"))))</f>
        <v/>
      </c>
      <c r="Y35" s="20" t="str">
        <f t="shared" si="24"/>
        <v/>
      </c>
      <c r="Z35" s="27"/>
      <c r="AA35" s="93">
        <v>75</v>
      </c>
      <c r="AB35" s="18">
        <v>-1.9300000000000002E-6</v>
      </c>
      <c r="AC35" s="147">
        <f>IF(AA35&gt;D$20,0,IF(D$20&gt;AA36,(AA36-AA35)*D$11*AB36,(D$20-AA35)*AB36*D$11))</f>
        <v>0</v>
      </c>
      <c r="AD35" s="18">
        <v>1.68E-6</v>
      </c>
      <c r="AE35" s="5">
        <f>IF(AA35&gt;D$20,0,IF(D$20&gt;AA36,(AA36-AA35)*D$15*AD36,(D$20-AA35)*AD36*D$15))</f>
        <v>0</v>
      </c>
      <c r="AF35" s="18">
        <v>2.5999999999999998E-5</v>
      </c>
      <c r="AG35" s="147">
        <f>IF(AA35&gt;D$20,0,IF(D$20&gt;AA36,(AA36-AA35)*D$18*AF36,(D$20-AA35)*AF36*D$18))</f>
        <v>1.2999999999999999E-3</v>
      </c>
      <c r="AH35" s="126"/>
      <c r="AI35" s="126"/>
      <c r="AJ35" s="27"/>
      <c r="AK35" s="19" t="e">
        <f t="shared" ref="AK35:AK41" si="25">D$11+J$37-J$21+J$9</f>
        <v>#VALUE!</v>
      </c>
      <c r="AL35" s="198" t="e">
        <f t="shared" ref="AL35:AL41" si="26">D$11+J$37-J$24+J$11-J$17+J$31-0.002</f>
        <v>#VALUE!</v>
      </c>
      <c r="AM35" s="269"/>
    </row>
    <row r="36" spans="1:39" ht="14.4" customHeight="1" x14ac:dyDescent="0.3">
      <c r="A36" s="214"/>
      <c r="B36" s="215"/>
      <c r="C36" s="215"/>
      <c r="D36" s="215"/>
      <c r="E36" s="216"/>
      <c r="F36" s="27"/>
      <c r="G36" s="228" t="s">
        <v>4</v>
      </c>
      <c r="H36" s="228"/>
      <c r="I36" s="12" t="s">
        <v>18</v>
      </c>
      <c r="J36" s="19" t="str">
        <f>IF(D20="","",IF(C$7="","",VLOOKUP(C$7,O$76:R$81,2,FALSE)))</f>
        <v/>
      </c>
      <c r="K36" s="5" t="s">
        <v>23</v>
      </c>
      <c r="L36" s="27"/>
      <c r="M36" s="1" t="str">
        <f t="shared" ref="M36:M41" si="27">IF(C$7=$O$33,IF($O35&lt;D$20,IF(D$20&lt;=$O36,C$7,""),""),"")</f>
        <v/>
      </c>
      <c r="O36" s="13">
        <v>200</v>
      </c>
      <c r="P36" s="13">
        <v>18000000</v>
      </c>
      <c r="Q36" s="4">
        <v>179438.68501529054</v>
      </c>
      <c r="R36" s="18">
        <v>-1.9300000000000002E-6</v>
      </c>
      <c r="S36" s="18">
        <v>1.68E-6</v>
      </c>
      <c r="T36" s="18">
        <v>2.5999999999999998E-5</v>
      </c>
      <c r="U36" s="24" t="str">
        <f t="shared" si="21"/>
        <v/>
      </c>
      <c r="V36" s="24" t="str">
        <f t="shared" si="22"/>
        <v/>
      </c>
      <c r="W36" s="20" t="str">
        <f t="shared" si="23"/>
        <v/>
      </c>
      <c r="X36" s="20" t="str">
        <f t="shared" si="24"/>
        <v/>
      </c>
      <c r="Y36" s="20" t="str">
        <f t="shared" si="24"/>
        <v/>
      </c>
      <c r="Z36" s="27"/>
      <c r="AA36" s="93">
        <v>289</v>
      </c>
      <c r="AB36" s="18">
        <v>-1.9300000000000002E-6</v>
      </c>
      <c r="AC36" s="147">
        <f t="shared" ref="AC36:AC37" si="28">IF(AA36&gt;D$20,0,IF(D$20&gt;AA37,(AA37-AA36)*D$11*AB37,(D$20-AA36)*AB37*D$11))</f>
        <v>0</v>
      </c>
      <c r="AD36" s="18">
        <v>1.68E-6</v>
      </c>
      <c r="AE36" s="5">
        <f>IF(AA36&gt;D$20,0,IF(D$20&gt;AA37,(AA37-AA36)*D$15*AD37,(D$20-AA36)*AD37*D$15))</f>
        <v>0</v>
      </c>
      <c r="AF36" s="18">
        <v>2.5999999999999998E-5</v>
      </c>
      <c r="AG36" s="147">
        <f t="shared" ref="AG36:AG37" si="29">IF(AA36&gt;D$20,0,IF(D$20&gt;AA37,(AA37-AA36)*D$18*AF37,(D$20-AA36)*AF37*D$18))</f>
        <v>0</v>
      </c>
      <c r="AH36" s="126"/>
      <c r="AI36" s="126"/>
      <c r="AJ36" s="27"/>
      <c r="AK36" s="19" t="e">
        <f t="shared" si="25"/>
        <v>#VALUE!</v>
      </c>
      <c r="AL36" s="198" t="e">
        <f t="shared" si="26"/>
        <v>#VALUE!</v>
      </c>
      <c r="AM36" s="269"/>
    </row>
    <row r="37" spans="1:39" ht="14.4" customHeight="1" x14ac:dyDescent="0.3">
      <c r="A37" s="214"/>
      <c r="B37" s="215"/>
      <c r="C37" s="215"/>
      <c r="D37" s="215"/>
      <c r="E37" s="216"/>
      <c r="F37" s="27"/>
      <c r="G37" s="228" t="s">
        <v>5</v>
      </c>
      <c r="H37" s="228"/>
      <c r="I37" s="12" t="s">
        <v>45</v>
      </c>
      <c r="J37" s="25" t="str">
        <f>IF(C7="","",IF(C8=T84,T85,HLOOKUP(C6,O84:R87,VLOOKUP(C5,O85:S87,5,FALSE),FALSE)))</f>
        <v/>
      </c>
      <c r="K37" s="5" t="s">
        <v>23</v>
      </c>
      <c r="L37" s="27"/>
      <c r="M37" s="1" t="str">
        <f t="shared" si="27"/>
        <v/>
      </c>
      <c r="O37" s="13">
        <v>250</v>
      </c>
      <c r="P37" s="13">
        <v>18000000</v>
      </c>
      <c r="Q37" s="4">
        <v>175311.92660550459</v>
      </c>
      <c r="R37" s="18">
        <v>-1.9300000000000002E-6</v>
      </c>
      <c r="S37" s="18">
        <v>1.68E-6</v>
      </c>
      <c r="T37" s="18">
        <v>2.5999999999999998E-5</v>
      </c>
      <c r="U37" s="24" t="str">
        <f t="shared" si="21"/>
        <v/>
      </c>
      <c r="V37" s="24" t="str">
        <f t="shared" si="22"/>
        <v/>
      </c>
      <c r="W37" s="20" t="str">
        <f t="shared" si="23"/>
        <v/>
      </c>
      <c r="X37" s="20" t="str">
        <f t="shared" si="24"/>
        <v/>
      </c>
      <c r="Y37" s="20" t="str">
        <f t="shared" si="24"/>
        <v/>
      </c>
      <c r="Z37" s="27"/>
      <c r="AA37" s="93">
        <v>550</v>
      </c>
      <c r="AB37" s="18">
        <v>-2.5299999999999999E-6</v>
      </c>
      <c r="AC37" s="147">
        <f t="shared" si="28"/>
        <v>0</v>
      </c>
      <c r="AD37" s="18">
        <v>2.5000000000000002E-6</v>
      </c>
      <c r="AE37" s="5">
        <f>IF(AA37&gt;D$20,0,IF(D$20&gt;AA38,(AA38-AA37)*D$15*AD37,(D$20-AA37)*AD37*D$15))</f>
        <v>0</v>
      </c>
      <c r="AF37" s="18">
        <v>7.4999999999999993E-5</v>
      </c>
      <c r="AG37" s="147">
        <f t="shared" si="29"/>
        <v>0</v>
      </c>
      <c r="AH37" s="126"/>
      <c r="AI37" s="126"/>
      <c r="AJ37" s="27"/>
      <c r="AK37" s="19" t="e">
        <f t="shared" si="25"/>
        <v>#VALUE!</v>
      </c>
      <c r="AL37" s="198" t="e">
        <f t="shared" si="26"/>
        <v>#VALUE!</v>
      </c>
      <c r="AM37" s="269"/>
    </row>
    <row r="38" spans="1:39" ht="14.4" customHeight="1" x14ac:dyDescent="0.3">
      <c r="A38" s="214"/>
      <c r="B38" s="215"/>
      <c r="C38" s="215"/>
      <c r="D38" s="215"/>
      <c r="E38" s="216"/>
      <c r="F38" s="27"/>
      <c r="L38" s="27"/>
      <c r="M38" s="1" t="str">
        <f t="shared" si="27"/>
        <v/>
      </c>
      <c r="O38" s="13">
        <v>300</v>
      </c>
      <c r="P38" s="13">
        <v>18000000</v>
      </c>
      <c r="Q38" s="4">
        <v>136454.12844036697</v>
      </c>
      <c r="R38" s="18">
        <v>-2.5299999999999999E-6</v>
      </c>
      <c r="S38" s="18">
        <v>2.5000000000000002E-6</v>
      </c>
      <c r="T38" s="18">
        <v>7.4999999999999993E-5</v>
      </c>
      <c r="U38" s="24" t="str">
        <f t="shared" si="21"/>
        <v/>
      </c>
      <c r="V38" s="24" t="str">
        <f t="shared" si="22"/>
        <v/>
      </c>
      <c r="W38" s="20" t="str">
        <f t="shared" si="23"/>
        <v/>
      </c>
      <c r="X38" s="20" t="str">
        <f t="shared" si="24"/>
        <v/>
      </c>
      <c r="Y38" s="20" t="str">
        <f t="shared" si="24"/>
        <v/>
      </c>
      <c r="Z38" s="27"/>
      <c r="AA38" s="93">
        <v>600</v>
      </c>
      <c r="AB38" s="18"/>
      <c r="AC38" s="5"/>
      <c r="AD38" s="18"/>
      <c r="AE38" s="5"/>
      <c r="AF38" s="18"/>
      <c r="AG38" s="5"/>
      <c r="AH38" s="126"/>
      <c r="AI38" s="126"/>
      <c r="AJ38" s="27"/>
      <c r="AK38" s="19" t="e">
        <f t="shared" si="25"/>
        <v>#VALUE!</v>
      </c>
      <c r="AL38" s="198" t="e">
        <f t="shared" si="26"/>
        <v>#VALUE!</v>
      </c>
      <c r="AM38" s="269"/>
    </row>
    <row r="39" spans="1:39" ht="14.4" customHeight="1" x14ac:dyDescent="0.3">
      <c r="A39" s="214"/>
      <c r="B39" s="215"/>
      <c r="C39" s="215"/>
      <c r="D39" s="215"/>
      <c r="E39" s="216"/>
      <c r="F39" s="27"/>
      <c r="L39" s="27"/>
      <c r="M39" s="1" t="str">
        <f t="shared" si="27"/>
        <v/>
      </c>
      <c r="O39" s="13">
        <v>350</v>
      </c>
      <c r="P39" s="13">
        <v>18000000</v>
      </c>
      <c r="Q39" s="4">
        <v>26387.15596330275</v>
      </c>
      <c r="R39" s="18">
        <v>-2.5299999999999999E-6</v>
      </c>
      <c r="S39" s="18">
        <v>2.5000000000000002E-6</v>
      </c>
      <c r="T39" s="18">
        <v>7.4999999999999993E-5</v>
      </c>
      <c r="U39" s="24" t="str">
        <f t="shared" si="21"/>
        <v/>
      </c>
      <c r="V39" s="24" t="str">
        <f t="shared" si="22"/>
        <v/>
      </c>
      <c r="W39" s="20" t="str">
        <f t="shared" si="23"/>
        <v/>
      </c>
      <c r="X39" s="20" t="str">
        <f t="shared" si="24"/>
        <v/>
      </c>
      <c r="Y39" s="20" t="str">
        <f t="shared" si="24"/>
        <v/>
      </c>
      <c r="Z39" s="27"/>
      <c r="AA39" s="93"/>
      <c r="AB39" s="18"/>
      <c r="AC39" s="5"/>
      <c r="AD39" s="18"/>
      <c r="AE39" s="5"/>
      <c r="AF39" s="18"/>
      <c r="AG39" s="5"/>
      <c r="AH39" s="126"/>
      <c r="AI39" s="126"/>
      <c r="AJ39" s="27"/>
      <c r="AK39" s="19" t="e">
        <f t="shared" si="25"/>
        <v>#VALUE!</v>
      </c>
      <c r="AL39" s="198" t="e">
        <f t="shared" si="26"/>
        <v>#VALUE!</v>
      </c>
      <c r="AM39" s="269"/>
    </row>
    <row r="40" spans="1:39" ht="14.4" customHeight="1" x14ac:dyDescent="0.3">
      <c r="A40" s="214"/>
      <c r="B40" s="215"/>
      <c r="C40" s="215"/>
      <c r="D40" s="215"/>
      <c r="E40" s="216"/>
      <c r="F40" s="27"/>
      <c r="L40" s="27"/>
      <c r="M40" s="1" t="str">
        <f t="shared" si="27"/>
        <v/>
      </c>
      <c r="O40" s="13">
        <v>400</v>
      </c>
      <c r="P40" s="13">
        <v>18000000</v>
      </c>
      <c r="Q40" s="4">
        <v>22892.96636085627</v>
      </c>
      <c r="R40" s="18">
        <v>-2.5299999999999999E-6</v>
      </c>
      <c r="S40" s="18">
        <v>2.5000000000000002E-6</v>
      </c>
      <c r="T40" s="18">
        <v>7.4999999999999993E-5</v>
      </c>
      <c r="U40" s="24" t="str">
        <f t="shared" si="21"/>
        <v/>
      </c>
      <c r="V40" s="24" t="str">
        <f t="shared" si="22"/>
        <v/>
      </c>
      <c r="W40" s="20" t="str">
        <f t="shared" si="23"/>
        <v/>
      </c>
      <c r="X40" s="20" t="str">
        <f t="shared" si="24"/>
        <v/>
      </c>
      <c r="Y40" s="20" t="str">
        <f t="shared" si="24"/>
        <v/>
      </c>
      <c r="Z40" s="27"/>
      <c r="AA40" s="93"/>
      <c r="AB40" s="18"/>
      <c r="AC40" s="5"/>
      <c r="AD40" s="18"/>
      <c r="AE40" s="5"/>
      <c r="AF40" s="18"/>
      <c r="AG40" s="5"/>
      <c r="AH40" s="126"/>
      <c r="AI40" s="126"/>
      <c r="AJ40" s="27"/>
      <c r="AK40" s="19" t="e">
        <f t="shared" si="25"/>
        <v>#VALUE!</v>
      </c>
      <c r="AL40" s="198" t="e">
        <f t="shared" si="26"/>
        <v>#VALUE!</v>
      </c>
      <c r="AM40" s="269"/>
    </row>
    <row r="41" spans="1:39" ht="14.4" customHeight="1" x14ac:dyDescent="0.3">
      <c r="A41" s="214"/>
      <c r="B41" s="215"/>
      <c r="C41" s="215"/>
      <c r="D41" s="215"/>
      <c r="E41" s="216"/>
      <c r="F41" s="27"/>
      <c r="L41" s="27"/>
      <c r="M41" s="1" t="str">
        <f t="shared" si="27"/>
        <v/>
      </c>
      <c r="O41" s="13">
        <v>500</v>
      </c>
      <c r="P41" s="13">
        <v>17000000</v>
      </c>
      <c r="Q41" s="4">
        <v>15151.529051987767</v>
      </c>
      <c r="R41" s="18">
        <v>-2.5299999999999999E-6</v>
      </c>
      <c r="S41" s="18">
        <v>2.5000000000000002E-6</v>
      </c>
      <c r="T41" s="18">
        <v>7.4999999999999993E-5</v>
      </c>
      <c r="U41" s="24" t="str">
        <f t="shared" si="21"/>
        <v/>
      </c>
      <c r="V41" s="24" t="str">
        <f t="shared" si="22"/>
        <v/>
      </c>
      <c r="W41" s="20" t="str">
        <f t="shared" si="23"/>
        <v/>
      </c>
      <c r="X41" s="20" t="str">
        <f t="shared" si="24"/>
        <v/>
      </c>
      <c r="Y41" s="20" t="str">
        <f t="shared" si="24"/>
        <v/>
      </c>
      <c r="Z41" s="27"/>
      <c r="AA41" s="93"/>
      <c r="AB41" s="18"/>
      <c r="AC41" s="5"/>
      <c r="AD41" s="18"/>
      <c r="AE41" s="5"/>
      <c r="AF41" s="18"/>
      <c r="AG41" s="5"/>
      <c r="AH41" s="126"/>
      <c r="AI41" s="126"/>
      <c r="AJ41" s="27"/>
      <c r="AK41" s="19" t="e">
        <f t="shared" si="25"/>
        <v>#VALUE!</v>
      </c>
      <c r="AL41" s="198" t="e">
        <f t="shared" si="26"/>
        <v>#VALUE!</v>
      </c>
      <c r="AM41" s="269"/>
    </row>
    <row r="42" spans="1:39" ht="14.4" customHeight="1" x14ac:dyDescent="0.3">
      <c r="A42" s="214"/>
      <c r="B42" s="215"/>
      <c r="C42" s="215"/>
      <c r="D42" s="215"/>
      <c r="E42" s="216"/>
      <c r="F42" s="27"/>
      <c r="L42" s="27"/>
      <c r="Z42" s="27"/>
      <c r="AB42" s="1"/>
      <c r="AC42" s="1">
        <f>SUM(AC35:AC41)</f>
        <v>0</v>
      </c>
      <c r="AD42" s="1"/>
      <c r="AE42" s="1">
        <f>SUM(AE35:AE41)</f>
        <v>0</v>
      </c>
      <c r="AG42" s="1">
        <f>SUM(AG35:AG41)</f>
        <v>1.2999999999999999E-3</v>
      </c>
      <c r="AJ42" s="27"/>
      <c r="AM42" s="269"/>
    </row>
    <row r="43" spans="1:39" ht="14.4" customHeight="1" x14ac:dyDescent="0.3">
      <c r="A43" s="214"/>
      <c r="B43" s="215"/>
      <c r="C43" s="215"/>
      <c r="D43" s="215"/>
      <c r="E43" s="216"/>
      <c r="F43" s="27"/>
      <c r="L43" s="27"/>
      <c r="O43" s="6" t="s">
        <v>3</v>
      </c>
      <c r="P43" s="208" t="s">
        <v>190</v>
      </c>
      <c r="Q43" s="210"/>
      <c r="R43" s="208" t="s">
        <v>191</v>
      </c>
      <c r="S43" s="209"/>
      <c r="T43" s="210"/>
      <c r="U43" s="208" t="s">
        <v>236</v>
      </c>
      <c r="V43" s="209"/>
      <c r="W43" s="209"/>
      <c r="X43" s="209"/>
      <c r="Y43" s="210"/>
      <c r="Z43" s="27"/>
      <c r="AA43" s="1" t="s">
        <v>194</v>
      </c>
      <c r="AB43" s="1"/>
      <c r="AC43" s="1">
        <f>AC52</f>
        <v>0</v>
      </c>
      <c r="AD43" s="1"/>
      <c r="AE43" s="1"/>
      <c r="AG43" s="1">
        <v>0</v>
      </c>
      <c r="AJ43" s="27"/>
      <c r="AK43" s="238" t="s">
        <v>164</v>
      </c>
      <c r="AL43" s="208"/>
      <c r="AM43" s="269"/>
    </row>
    <row r="44" spans="1:39" ht="14.4" customHeight="1" x14ac:dyDescent="0.3">
      <c r="A44" s="214"/>
      <c r="B44" s="215"/>
      <c r="C44" s="215"/>
      <c r="D44" s="215"/>
      <c r="E44" s="216"/>
      <c r="F44" s="27"/>
      <c r="L44" s="27"/>
      <c r="O44" s="36" t="s">
        <v>17</v>
      </c>
      <c r="P44" s="36" t="s">
        <v>81</v>
      </c>
      <c r="Q44" s="36" t="s">
        <v>82</v>
      </c>
      <c r="R44" s="36" t="s">
        <v>80</v>
      </c>
      <c r="S44" s="36" t="s">
        <v>83</v>
      </c>
      <c r="T44" s="36" t="s">
        <v>84</v>
      </c>
      <c r="U44" s="37" t="s">
        <v>111</v>
      </c>
      <c r="V44" s="37" t="s">
        <v>112</v>
      </c>
      <c r="W44" s="37" t="s">
        <v>113</v>
      </c>
      <c r="X44" s="13" t="s">
        <v>132</v>
      </c>
      <c r="Y44" s="13" t="s">
        <v>133</v>
      </c>
      <c r="Z44" s="27"/>
      <c r="AA44" s="85" t="s">
        <v>189</v>
      </c>
      <c r="AB44" s="85" t="s">
        <v>80</v>
      </c>
      <c r="AC44" s="85" t="s">
        <v>193</v>
      </c>
      <c r="AD44" s="85" t="s">
        <v>83</v>
      </c>
      <c r="AE44" s="85" t="s">
        <v>193</v>
      </c>
      <c r="AF44" s="85" t="s">
        <v>84</v>
      </c>
      <c r="AG44" s="85" t="s">
        <v>193</v>
      </c>
      <c r="AH44" s="125"/>
      <c r="AI44" s="125"/>
      <c r="AJ44" s="27"/>
      <c r="AK44" s="64" t="s">
        <v>60</v>
      </c>
      <c r="AL44" s="190" t="s">
        <v>59</v>
      </c>
      <c r="AM44" s="269"/>
    </row>
    <row r="45" spans="1:39" ht="14.4" customHeight="1" x14ac:dyDescent="0.3">
      <c r="A45" s="214"/>
      <c r="B45" s="215"/>
      <c r="C45" s="215"/>
      <c r="D45" s="215"/>
      <c r="E45" s="216"/>
      <c r="F45" s="27"/>
      <c r="L45" s="27"/>
      <c r="M45" s="1" t="str">
        <f>IF(C$7=$O$43,IF(D$20=75,C$7,""),"")</f>
        <v/>
      </c>
      <c r="N45" s="1" t="str">
        <f>IF(C$7=$O$43,C$7,"")</f>
        <v/>
      </c>
      <c r="O45" s="13">
        <v>75</v>
      </c>
      <c r="P45" s="13">
        <v>2655000</v>
      </c>
      <c r="Q45" s="13">
        <v>6500</v>
      </c>
      <c r="R45" s="18">
        <v>3.9999999999999998E-6</v>
      </c>
      <c r="S45" s="18">
        <v>5.4999999999999999E-6</v>
      </c>
      <c r="T45" s="18">
        <v>4.6E-5</v>
      </c>
      <c r="U45" s="24" t="str">
        <f t="shared" ref="U45:U51" si="30">IF(M45=O$43,IF(D$20&gt;500,"Check Temperature",D$14-0.002),"")</f>
        <v/>
      </c>
      <c r="V45" s="24" t="str">
        <f t="shared" ref="V45:V51" si="31">IF(M45=O$43,IF(AK45&gt;AL45,AK45,AL45),"")</f>
        <v/>
      </c>
      <c r="W45" s="20" t="str">
        <f t="shared" ref="W45:W51" si="32">IF(M45=O$43,IF(D$20&gt;500,"Check Temp Range",IF(D$20&gt;300,D$18-J$34,D$18)),"")</f>
        <v/>
      </c>
      <c r="X45" s="20" t="str">
        <f t="shared" ref="X45:Y51" si="33">IF(U45="","",IF(U45&lt;3,0.002,IF(U45&lt;6,0.003,IF(U45&lt;12,0.004,"Check"))))</f>
        <v/>
      </c>
      <c r="Y45" s="20" t="str">
        <f t="shared" si="33"/>
        <v/>
      </c>
      <c r="Z45" s="27"/>
      <c r="AA45" s="85">
        <v>75</v>
      </c>
      <c r="AB45" s="18">
        <v>3.9999999999999998E-6</v>
      </c>
      <c r="AC45" s="138">
        <f>IF(AA45&gt;D$20,0,IF(D$20&gt;AA46,(AA46-AA45)*D$11*AB46,(D$20-AA45)*AB46*D$11))</f>
        <v>0</v>
      </c>
      <c r="AD45" s="18">
        <v>5.4999999999999999E-6</v>
      </c>
      <c r="AE45" s="114">
        <f>IF(AA45&gt;D$20,0,IF(D$20&gt;AA46,(AA46-AA45)*D$15*AD46,(D$20-AA45)*AD46*D$15))</f>
        <v>0</v>
      </c>
      <c r="AF45" s="18">
        <v>4.6E-5</v>
      </c>
      <c r="AG45" s="138">
        <f>IF(AA45&gt;D$20,0,IF(D$20&gt;AA46,(AA46-AA45)*D$18*AF46,(D$20-AA45)*AF46*D$18))</f>
        <v>2.3E-3</v>
      </c>
      <c r="AH45" s="126"/>
      <c r="AI45" s="126"/>
      <c r="AJ45" s="27"/>
      <c r="AK45" s="19" t="e">
        <f t="shared" ref="AK45:AK51" si="34">D$11+J$37-J$21+J$9</f>
        <v>#VALUE!</v>
      </c>
      <c r="AL45" s="198" t="e">
        <f t="shared" ref="AL45:AL51" si="35">D$11+J$37-J$24+J$11-J$17+J$31-0.002</f>
        <v>#VALUE!</v>
      </c>
      <c r="AM45" s="269"/>
    </row>
    <row r="46" spans="1:39" ht="14.4" customHeight="1" x14ac:dyDescent="0.3">
      <c r="A46" s="214"/>
      <c r="B46" s="215"/>
      <c r="C46" s="215"/>
      <c r="D46" s="215"/>
      <c r="E46" s="216"/>
      <c r="F46" s="27"/>
      <c r="L46" s="27"/>
      <c r="M46" s="1" t="str">
        <f t="shared" ref="M46:M51" si="36">IF(C$7=$O$43,IF($O45&lt;D$20,IF(D$20&lt;=$O46,C$7,""),""),"")</f>
        <v/>
      </c>
      <c r="O46" s="13">
        <v>200</v>
      </c>
      <c r="P46" s="13">
        <v>2418000</v>
      </c>
      <c r="Q46" s="13">
        <v>5921</v>
      </c>
      <c r="R46" s="18">
        <v>3.9999999999999998E-6</v>
      </c>
      <c r="S46" s="18">
        <v>5.4999999999999999E-6</v>
      </c>
      <c r="T46" s="18">
        <v>4.6E-5</v>
      </c>
      <c r="U46" s="24" t="str">
        <f t="shared" si="30"/>
        <v/>
      </c>
      <c r="V46" s="24" t="str">
        <f t="shared" si="31"/>
        <v/>
      </c>
      <c r="W46" s="20" t="str">
        <f t="shared" si="32"/>
        <v/>
      </c>
      <c r="X46" s="20" t="str">
        <f t="shared" si="33"/>
        <v/>
      </c>
      <c r="Y46" s="20" t="str">
        <f t="shared" si="33"/>
        <v/>
      </c>
      <c r="Z46" s="27"/>
      <c r="AA46" s="85">
        <v>250</v>
      </c>
      <c r="AB46" s="18">
        <v>3.9999999999999998E-6</v>
      </c>
      <c r="AC46" s="138">
        <f t="shared" ref="AC46:AC51" si="37">IF(AA46&gt;D$20,0,IF(D$20&gt;AA47,(AA47-AA46)*D$11*AB47,(D$20-AA46)*AB47*D$11))</f>
        <v>0</v>
      </c>
      <c r="AD46" s="18">
        <v>6.7000000000000002E-6</v>
      </c>
      <c r="AE46" s="114">
        <f t="shared" ref="AE46:AE50" si="38">IF(AA46&gt;D$20,0,IF(D$20&gt;AA47,(AA47-AA46)*D$15*AD47,(D$20-AA46)*AD47*D$15))</f>
        <v>0</v>
      </c>
      <c r="AF46" s="18">
        <v>4.6E-5</v>
      </c>
      <c r="AG46" s="138">
        <f t="shared" ref="AG46:AG51" si="39">IF(AA46&gt;D$20,0,IF(D$20&gt;AA47,(AA47-AA46)*D$18*AF47,(D$20-AA46)*AF47*D$18))</f>
        <v>0</v>
      </c>
      <c r="AH46" s="126"/>
      <c r="AI46" s="126"/>
      <c r="AJ46" s="27"/>
      <c r="AK46" s="19" t="e">
        <f t="shared" si="34"/>
        <v>#VALUE!</v>
      </c>
      <c r="AL46" s="198" t="e">
        <f t="shared" si="35"/>
        <v>#VALUE!</v>
      </c>
      <c r="AM46" s="269"/>
    </row>
    <row r="47" spans="1:39" ht="14.4" customHeight="1" x14ac:dyDescent="0.3">
      <c r="A47" s="214"/>
      <c r="B47" s="215"/>
      <c r="C47" s="215"/>
      <c r="D47" s="215"/>
      <c r="E47" s="216"/>
      <c r="F47" s="27"/>
      <c r="L47" s="27"/>
      <c r="M47" s="1" t="str">
        <f t="shared" si="36"/>
        <v/>
      </c>
      <c r="O47" s="13">
        <v>250</v>
      </c>
      <c r="P47" s="13">
        <v>2362000</v>
      </c>
      <c r="Q47" s="13">
        <v>5921</v>
      </c>
      <c r="R47" s="18">
        <v>3.9999999999999998E-6</v>
      </c>
      <c r="S47" s="18">
        <v>6.7000000000000002E-6</v>
      </c>
      <c r="T47" s="18">
        <v>7.4999999999999993E-5</v>
      </c>
      <c r="U47" s="24" t="str">
        <f t="shared" si="30"/>
        <v/>
      </c>
      <c r="V47" s="24" t="str">
        <f t="shared" si="31"/>
        <v/>
      </c>
      <c r="W47" s="20" t="str">
        <f t="shared" si="32"/>
        <v/>
      </c>
      <c r="X47" s="20" t="str">
        <f t="shared" si="33"/>
        <v/>
      </c>
      <c r="Y47" s="20" t="str">
        <f t="shared" si="33"/>
        <v/>
      </c>
      <c r="Z47" s="27"/>
      <c r="AA47" s="85">
        <v>289</v>
      </c>
      <c r="AB47" s="18">
        <v>5.4999999999999999E-6</v>
      </c>
      <c r="AC47" s="138">
        <f t="shared" si="37"/>
        <v>0</v>
      </c>
      <c r="AD47" s="18">
        <v>6.7000000000000002E-6</v>
      </c>
      <c r="AE47" s="114">
        <f t="shared" si="38"/>
        <v>0</v>
      </c>
      <c r="AF47" s="18">
        <v>7.4999999999999993E-5</v>
      </c>
      <c r="AG47" s="138">
        <f t="shared" si="39"/>
        <v>0</v>
      </c>
      <c r="AH47" s="126"/>
      <c r="AI47" s="126"/>
      <c r="AJ47" s="27"/>
      <c r="AK47" s="19" t="e">
        <f t="shared" si="34"/>
        <v>#VALUE!</v>
      </c>
      <c r="AL47" s="198" t="e">
        <f t="shared" si="35"/>
        <v>#VALUE!</v>
      </c>
      <c r="AM47" s="269"/>
    </row>
    <row r="48" spans="1:39" ht="14.4" customHeight="1" x14ac:dyDescent="0.3">
      <c r="A48" s="214"/>
      <c r="B48" s="215"/>
      <c r="C48" s="215"/>
      <c r="D48" s="215"/>
      <c r="E48" s="216"/>
      <c r="F48" s="27"/>
      <c r="L48" s="27"/>
      <c r="M48" s="1" t="str">
        <f t="shared" si="36"/>
        <v/>
      </c>
      <c r="O48" s="13">
        <v>300</v>
      </c>
      <c r="P48" s="13">
        <v>1327000</v>
      </c>
      <c r="Q48" s="13">
        <v>3250</v>
      </c>
      <c r="R48" s="18">
        <v>5.4999999999999999E-6</v>
      </c>
      <c r="S48" s="18">
        <v>6.7000000000000002E-6</v>
      </c>
      <c r="T48" s="18">
        <v>1E-4</v>
      </c>
      <c r="U48" s="24" t="str">
        <f t="shared" si="30"/>
        <v/>
      </c>
      <c r="V48" s="24" t="str">
        <f t="shared" si="31"/>
        <v/>
      </c>
      <c r="W48" s="20" t="str">
        <f t="shared" si="32"/>
        <v/>
      </c>
      <c r="X48" s="20" t="str">
        <f t="shared" si="33"/>
        <v/>
      </c>
      <c r="Y48" s="20" t="str">
        <f t="shared" si="33"/>
        <v/>
      </c>
      <c r="Z48" s="27"/>
      <c r="AA48" s="85">
        <v>300</v>
      </c>
      <c r="AB48" s="18">
        <v>5.4999999999999999E-6</v>
      </c>
      <c r="AC48" s="138">
        <f t="shared" si="37"/>
        <v>0</v>
      </c>
      <c r="AD48" s="18">
        <v>6.7000000000000002E-6</v>
      </c>
      <c r="AE48" s="114">
        <f t="shared" si="38"/>
        <v>0</v>
      </c>
      <c r="AF48" s="18">
        <v>1E-4</v>
      </c>
      <c r="AG48" s="138">
        <f t="shared" si="39"/>
        <v>0</v>
      </c>
      <c r="AH48" s="126"/>
      <c r="AI48" s="126"/>
      <c r="AJ48" s="27"/>
      <c r="AK48" s="19" t="e">
        <f t="shared" si="34"/>
        <v>#VALUE!</v>
      </c>
      <c r="AL48" s="198" t="e">
        <f t="shared" si="35"/>
        <v>#VALUE!</v>
      </c>
      <c r="AM48" s="269"/>
    </row>
    <row r="49" spans="1:42" ht="14.4" customHeight="1" x14ac:dyDescent="0.3">
      <c r="A49" s="214"/>
      <c r="B49" s="215"/>
      <c r="C49" s="215"/>
      <c r="D49" s="215"/>
      <c r="E49" s="216"/>
      <c r="F49" s="27"/>
      <c r="L49" s="27"/>
      <c r="M49" s="1" t="str">
        <f t="shared" si="36"/>
        <v/>
      </c>
      <c r="O49" s="13">
        <v>350</v>
      </c>
      <c r="P49" s="13">
        <v>1062000</v>
      </c>
      <c r="Q49" s="13">
        <v>2600</v>
      </c>
      <c r="R49" s="18">
        <v>5.4999999999999999E-6</v>
      </c>
      <c r="S49" s="18">
        <v>7.9999999999999996E-6</v>
      </c>
      <c r="T49" s="18">
        <v>1.2E-4</v>
      </c>
      <c r="U49" s="24" t="str">
        <f t="shared" si="30"/>
        <v/>
      </c>
      <c r="V49" s="24" t="str">
        <f t="shared" si="31"/>
        <v/>
      </c>
      <c r="W49" s="20" t="str">
        <f t="shared" si="32"/>
        <v/>
      </c>
      <c r="X49" s="20" t="str">
        <f t="shared" si="33"/>
        <v/>
      </c>
      <c r="Y49" s="20" t="str">
        <f t="shared" si="33"/>
        <v/>
      </c>
      <c r="Z49" s="27"/>
      <c r="AA49" s="85">
        <v>400</v>
      </c>
      <c r="AB49" s="18">
        <v>6.9999999999999999E-6</v>
      </c>
      <c r="AC49" s="138">
        <f t="shared" si="37"/>
        <v>0</v>
      </c>
      <c r="AD49" s="18">
        <v>7.9999999999999996E-6</v>
      </c>
      <c r="AE49" s="114">
        <f t="shared" si="38"/>
        <v>0</v>
      </c>
      <c r="AF49" s="18">
        <v>1.2999999999999999E-4</v>
      </c>
      <c r="AG49" s="138">
        <f t="shared" si="39"/>
        <v>0</v>
      </c>
      <c r="AH49" s="126"/>
      <c r="AI49" s="126"/>
      <c r="AJ49" s="27"/>
      <c r="AK49" s="19" t="e">
        <f t="shared" si="34"/>
        <v>#VALUE!</v>
      </c>
      <c r="AL49" s="198" t="e">
        <f t="shared" si="35"/>
        <v>#VALUE!</v>
      </c>
      <c r="AM49" s="269"/>
    </row>
    <row r="50" spans="1:42" ht="14.4" customHeight="1" x14ac:dyDescent="0.3">
      <c r="A50" s="260"/>
      <c r="B50" s="261"/>
      <c r="C50" s="261"/>
      <c r="D50" s="261"/>
      <c r="E50" s="262"/>
      <c r="F50" s="27"/>
      <c r="L50" s="27"/>
      <c r="M50" s="1" t="str">
        <f t="shared" si="36"/>
        <v/>
      </c>
      <c r="O50" s="13">
        <v>400</v>
      </c>
      <c r="P50" s="13">
        <v>796000</v>
      </c>
      <c r="Q50" s="13">
        <v>1950</v>
      </c>
      <c r="R50" s="18">
        <v>6.9999999999999999E-6</v>
      </c>
      <c r="S50" s="18">
        <v>7.9999999999999996E-6</v>
      </c>
      <c r="T50" s="18">
        <v>1.2999999999999999E-4</v>
      </c>
      <c r="U50" s="24" t="str">
        <f t="shared" si="30"/>
        <v/>
      </c>
      <c r="V50" s="24" t="str">
        <f t="shared" si="31"/>
        <v/>
      </c>
      <c r="W50" s="20" t="str">
        <f t="shared" si="32"/>
        <v/>
      </c>
      <c r="X50" s="20" t="str">
        <f t="shared" si="33"/>
        <v/>
      </c>
      <c r="Y50" s="20" t="str">
        <f t="shared" si="33"/>
        <v/>
      </c>
      <c r="Z50" s="27"/>
      <c r="AA50" s="85">
        <v>500</v>
      </c>
      <c r="AB50" s="18">
        <v>9.0000000000000002E-6</v>
      </c>
      <c r="AC50" s="138">
        <f t="shared" si="37"/>
        <v>0</v>
      </c>
      <c r="AD50" s="18">
        <v>1.0200000000000001E-5</v>
      </c>
      <c r="AE50" s="114">
        <f t="shared" si="38"/>
        <v>0</v>
      </c>
      <c r="AF50" s="18">
        <v>1.7000000000000001E-4</v>
      </c>
      <c r="AG50" s="138">
        <f t="shared" si="39"/>
        <v>0</v>
      </c>
      <c r="AH50" s="126"/>
      <c r="AI50" s="126"/>
      <c r="AJ50" s="27"/>
      <c r="AK50" s="19" t="e">
        <f t="shared" si="34"/>
        <v>#VALUE!</v>
      </c>
      <c r="AL50" s="198" t="e">
        <f t="shared" si="35"/>
        <v>#VALUE!</v>
      </c>
      <c r="AM50" s="269"/>
    </row>
    <row r="51" spans="1:42" ht="14.4" customHeight="1" x14ac:dyDescent="0.3">
      <c r="F51" s="27"/>
      <c r="L51" s="27"/>
      <c r="M51" s="1" t="str">
        <f t="shared" si="36"/>
        <v/>
      </c>
      <c r="O51" s="13">
        <v>500</v>
      </c>
      <c r="P51" s="13">
        <v>667000</v>
      </c>
      <c r="Q51" s="13">
        <v>1655</v>
      </c>
      <c r="R51" s="18">
        <v>9.0000000000000002E-6</v>
      </c>
      <c r="S51" s="18">
        <v>1.0200000000000001E-5</v>
      </c>
      <c r="T51" s="18">
        <v>1.7000000000000001E-4</v>
      </c>
      <c r="U51" s="24" t="str">
        <f t="shared" si="30"/>
        <v/>
      </c>
      <c r="V51" s="24" t="str">
        <f t="shared" si="31"/>
        <v/>
      </c>
      <c r="W51" s="20" t="str">
        <f t="shared" si="32"/>
        <v/>
      </c>
      <c r="X51" s="20" t="str">
        <f t="shared" si="33"/>
        <v/>
      </c>
      <c r="Y51" s="20" t="str">
        <f t="shared" si="33"/>
        <v/>
      </c>
      <c r="Z51" s="27"/>
      <c r="AA51" s="85">
        <v>550</v>
      </c>
      <c r="AB51" s="18">
        <v>9.0000000000000002E-6</v>
      </c>
      <c r="AC51" s="138">
        <f t="shared" si="37"/>
        <v>0</v>
      </c>
      <c r="AD51" s="18">
        <v>1.0200000000000001E-5</v>
      </c>
      <c r="AE51" s="114">
        <f>IF(AA51&gt;D$20,0,IF(D$20&gt;AA52,(AA52-AA51)*D$15*AD51,(D$20-AA51)*AD51*D$15))</f>
        <v>0</v>
      </c>
      <c r="AF51" s="18">
        <v>1.7000000000000001E-4</v>
      </c>
      <c r="AG51" s="138">
        <f t="shared" si="39"/>
        <v>0</v>
      </c>
      <c r="AH51" s="126"/>
      <c r="AI51" s="126"/>
      <c r="AJ51" s="27"/>
      <c r="AK51" s="19" t="e">
        <f t="shared" si="34"/>
        <v>#VALUE!</v>
      </c>
      <c r="AL51" s="198" t="e">
        <f t="shared" si="35"/>
        <v>#VALUE!</v>
      </c>
      <c r="AM51" s="269"/>
    </row>
    <row r="52" spans="1:42" ht="14.4" customHeight="1" x14ac:dyDescent="0.3">
      <c r="F52" s="26"/>
      <c r="G52" s="35"/>
      <c r="H52" s="35"/>
      <c r="I52" s="35"/>
      <c r="J52" s="35"/>
      <c r="K52" s="35"/>
      <c r="L52" s="26"/>
      <c r="Z52" s="27"/>
      <c r="AB52" s="1"/>
      <c r="AC52" s="1">
        <f>SUM(AC45:AC51)</f>
        <v>0</v>
      </c>
      <c r="AD52" s="1"/>
      <c r="AE52" s="1">
        <f>SUM(AE45:AE51)</f>
        <v>0</v>
      </c>
      <c r="AG52" s="1">
        <f>SUM(AG45:AG51)</f>
        <v>2.3E-3</v>
      </c>
      <c r="AJ52" s="27"/>
      <c r="AM52" s="269"/>
    </row>
    <row r="53" spans="1:42" ht="14.4" customHeight="1" x14ac:dyDescent="0.3">
      <c r="F53" s="27"/>
      <c r="L53" s="27"/>
      <c r="O53" s="6" t="s">
        <v>199</v>
      </c>
      <c r="P53" s="208" t="s">
        <v>190</v>
      </c>
      <c r="Q53" s="210"/>
      <c r="R53" s="208" t="s">
        <v>191</v>
      </c>
      <c r="S53" s="209"/>
      <c r="T53" s="210"/>
      <c r="U53" s="208" t="s">
        <v>236</v>
      </c>
      <c r="V53" s="209"/>
      <c r="W53" s="209"/>
      <c r="X53" s="209"/>
      <c r="Y53" s="210"/>
      <c r="Z53" s="27"/>
      <c r="AA53" s="1" t="s">
        <v>200</v>
      </c>
      <c r="AB53" s="1"/>
      <c r="AC53" s="1">
        <f>AC62</f>
        <v>0</v>
      </c>
      <c r="AD53" s="1"/>
      <c r="AE53" s="1">
        <f t="shared" ref="AE53:AG53" si="40">AE62</f>
        <v>0</v>
      </c>
      <c r="AG53" s="1">
        <f t="shared" si="40"/>
        <v>6.0708866386602594E-3</v>
      </c>
      <c r="AJ53" s="27"/>
      <c r="AK53" s="238" t="s">
        <v>164</v>
      </c>
      <c r="AL53" s="208"/>
      <c r="AM53" s="269"/>
      <c r="AN53" s="276" t="s">
        <v>207</v>
      </c>
      <c r="AO53" s="277"/>
      <c r="AP53" s="277"/>
    </row>
    <row r="54" spans="1:42" ht="14.4" customHeight="1" x14ac:dyDescent="0.3">
      <c r="F54" s="27"/>
      <c r="L54" s="27"/>
      <c r="O54" s="120" t="s">
        <v>17</v>
      </c>
      <c r="P54" s="120" t="s">
        <v>81</v>
      </c>
      <c r="Q54" s="120" t="s">
        <v>82</v>
      </c>
      <c r="R54" s="120" t="s">
        <v>80</v>
      </c>
      <c r="S54" s="120" t="s">
        <v>83</v>
      </c>
      <c r="T54" s="120" t="s">
        <v>84</v>
      </c>
      <c r="U54" s="37" t="s">
        <v>111</v>
      </c>
      <c r="V54" s="37" t="s">
        <v>112</v>
      </c>
      <c r="W54" s="37" t="s">
        <v>113</v>
      </c>
      <c r="X54" s="117" t="s">
        <v>132</v>
      </c>
      <c r="Y54" s="117" t="s">
        <v>133</v>
      </c>
      <c r="Z54" s="27"/>
      <c r="AA54" s="123" t="s">
        <v>189</v>
      </c>
      <c r="AB54" s="123" t="s">
        <v>80</v>
      </c>
      <c r="AC54" s="123" t="s">
        <v>193</v>
      </c>
      <c r="AD54" s="123" t="s">
        <v>83</v>
      </c>
      <c r="AE54" s="123" t="s">
        <v>193</v>
      </c>
      <c r="AF54" s="123" t="s">
        <v>84</v>
      </c>
      <c r="AG54" s="123" t="s">
        <v>193</v>
      </c>
      <c r="AH54" s="5" t="s">
        <v>201</v>
      </c>
      <c r="AI54" s="122" t="s">
        <v>193</v>
      </c>
      <c r="AK54" s="117" t="s">
        <v>60</v>
      </c>
      <c r="AL54" s="190" t="s">
        <v>59</v>
      </c>
      <c r="AM54" s="269"/>
      <c r="AN54" s="200" t="s">
        <v>204</v>
      </c>
      <c r="AO54" s="114" t="s">
        <v>205</v>
      </c>
      <c r="AP54" s="114" t="s">
        <v>206</v>
      </c>
    </row>
    <row r="55" spans="1:42" ht="14.4" customHeight="1" x14ac:dyDescent="0.3">
      <c r="F55" s="27"/>
      <c r="L55" s="27"/>
      <c r="M55" s="1" t="str">
        <f>IF(C$7=$O$53,IF(D$20=75,C$7,""),"")</f>
        <v/>
      </c>
      <c r="N55" s="1" t="str">
        <f>IF(C$7=$O$53,C$7,"")</f>
        <v/>
      </c>
      <c r="O55" s="117">
        <v>75</v>
      </c>
      <c r="P55" s="117">
        <v>1710000</v>
      </c>
      <c r="Q55" s="7">
        <f t="shared" ref="Q55:Q61" si="41">-23.375*O55+11953.125</f>
        <v>10200</v>
      </c>
      <c r="R55" s="121"/>
      <c r="S55" s="18">
        <v>3.8835343603109317E-6</v>
      </c>
      <c r="T55" s="18">
        <v>9.8552851085962489E-5</v>
      </c>
      <c r="U55" s="24" t="str">
        <f t="shared" ref="U55:U61" si="42">IF(M55=$O$53,IF(D$20&gt;500,"Check Temperature",D$14-0.002),"")</f>
        <v/>
      </c>
      <c r="V55" s="24" t="str">
        <f t="shared" ref="V55:V61" si="43">IF(M55=$O$53,IF(AK55&gt;AL55,AK55,AL55),"")</f>
        <v/>
      </c>
      <c r="W55" s="150" t="str">
        <f>IF(M55=$O$53,IF(D$20&gt;500,"Check Temp Range",IF(D$20&gt;150,D$18-AG$62,D$18)),"")</f>
        <v/>
      </c>
      <c r="X55" s="20" t="str">
        <f t="shared" ref="X55:Y61" si="44">IF(U55="","",IF(U55&lt;3,0.002,IF(U55&lt;6,0.003,IF(U55&lt;12,0.004,"Check"))))</f>
        <v/>
      </c>
      <c r="Y55" s="20" t="str">
        <f t="shared" si="44"/>
        <v/>
      </c>
      <c r="Z55" s="27"/>
      <c r="AA55" s="123">
        <v>75</v>
      </c>
      <c r="AB55" s="111"/>
      <c r="AC55" s="112">
        <f>AE55-2*AI55</f>
        <v>0</v>
      </c>
      <c r="AD55" s="18">
        <v>3.8835343603109317E-6</v>
      </c>
      <c r="AE55" s="5">
        <f t="shared" ref="AE55:AE59" si="45">IF(AA55&gt;D$20,0,IF(D$20&gt;AA56,(AA56-AA55)*D$15*AD56,(D$20-AA55)*AD56*D$15))</f>
        <v>0</v>
      </c>
      <c r="AF55" s="18">
        <v>9.8552851085962489E-5</v>
      </c>
      <c r="AG55" s="147">
        <f>IF(AA55&gt;D$20,0,IF(D$20&gt;AA56,(AA56-AA55)*D$18*AF56,(D$20-AA55)*AF56*D$18))</f>
        <v>6.0708866386602594E-3</v>
      </c>
      <c r="AH55" s="144">
        <v>2.3484546993598512E-5</v>
      </c>
      <c r="AI55" s="153">
        <f>IF(AA55&gt;D$20,0,IF(D$20&gt;AA56,(AA56-AA55)*($D$15-$D$11)/2*AH56,(D$20-AA55)*AH56*($D$15-$D$11)/2))</f>
        <v>0</v>
      </c>
      <c r="AK55" s="19" t="e">
        <f t="shared" ref="AK55:AK61" si="46">D$11+J$37-J$21+J$9</f>
        <v>#VALUE!</v>
      </c>
      <c r="AL55" s="199" t="e">
        <f>D$11+J$37-$AN$55+J$11-J$17+J$31-0.002</f>
        <v>#VALUE!</v>
      </c>
      <c r="AM55" s="269"/>
      <c r="AN55" s="201">
        <f>AO55-2*AP55</f>
        <v>0</v>
      </c>
      <c r="AO55" s="127">
        <f>AD55*D15*J4</f>
        <v>0</v>
      </c>
      <c r="AP55" s="114">
        <f>(D15-D11)/2*J4*AH55</f>
        <v>0</v>
      </c>
    </row>
    <row r="56" spans="1:42" ht="14.4" customHeight="1" x14ac:dyDescent="0.3">
      <c r="F56" s="27"/>
      <c r="L56" s="27"/>
      <c r="M56" s="1" t="str">
        <f t="shared" ref="M56:M61" si="47">IF(C$7=$O$53,IF($O55&lt;D$20,IF(D$20&lt;=$O56,C$7,""),""),"")</f>
        <v/>
      </c>
      <c r="O56" s="117">
        <v>200</v>
      </c>
      <c r="P56" s="117">
        <v>1319227.5</v>
      </c>
      <c r="Q56" s="7">
        <f t="shared" si="41"/>
        <v>7278.125</v>
      </c>
      <c r="R56" s="121"/>
      <c r="S56" s="18">
        <v>3.0600452656607222E-6</v>
      </c>
      <c r="T56" s="18">
        <v>1.2141773277320519E-4</v>
      </c>
      <c r="U56" s="24" t="str">
        <f t="shared" si="42"/>
        <v/>
      </c>
      <c r="V56" s="24" t="str">
        <f t="shared" si="43"/>
        <v/>
      </c>
      <c r="W56" s="150" t="str">
        <f t="shared" ref="W56:W61" si="48">IF(M56=$O$53,IF(D$20&gt;500,"Check Temp Range",IF(D$20&gt;150,D$18-AG$62,D$18)),"")</f>
        <v/>
      </c>
      <c r="X56" s="20" t="str">
        <f t="shared" si="44"/>
        <v/>
      </c>
      <c r="Y56" s="20" t="str">
        <f t="shared" si="44"/>
        <v/>
      </c>
      <c r="Z56" s="27"/>
      <c r="AA56" s="124">
        <v>200</v>
      </c>
      <c r="AB56" s="111"/>
      <c r="AC56" s="112">
        <f t="shared" ref="AC56:AC61" si="49">AE56-2*AI56</f>
        <v>0</v>
      </c>
      <c r="AD56" s="18">
        <v>3.0600452656607222E-6</v>
      </c>
      <c r="AE56" s="5">
        <f t="shared" si="45"/>
        <v>0</v>
      </c>
      <c r="AF56" s="18">
        <v>1.2141773277320519E-4</v>
      </c>
      <c r="AG56" s="147">
        <f t="shared" ref="AG56:AG61" si="50">IF(AA56&gt;D$20,0,IF(D$20&gt;AA57,(AA57-AA56)*D$18*AF57,(D$20-AA56)*AF57*D$18))</f>
        <v>0</v>
      </c>
      <c r="AH56" s="144">
        <v>1.9266650903063553E-5</v>
      </c>
      <c r="AI56" s="153">
        <f t="shared" ref="AI56:AI61" si="51">IF(AA56&gt;D$20,0,IF(D$20&gt;AA57,(AA57-AA56)*($D$15-$D$11)/2*AH57,(D$20-AA56)*AH57*($D$15-$D$11)/2))</f>
        <v>0</v>
      </c>
      <c r="AK56" s="19" t="e">
        <f t="shared" si="46"/>
        <v>#VALUE!</v>
      </c>
      <c r="AL56" s="199" t="e">
        <f t="shared" ref="AL56:AL61" si="52">D$11+J$37-$AN$55+J$11-J$17+J$31-0.002</f>
        <v>#VALUE!</v>
      </c>
      <c r="AM56" s="269"/>
    </row>
    <row r="57" spans="1:42" ht="14.4" customHeight="1" x14ac:dyDescent="0.3">
      <c r="F57" s="27"/>
      <c r="L57" s="27"/>
      <c r="M57" s="1" t="str">
        <f t="shared" si="47"/>
        <v/>
      </c>
      <c r="O57" s="117">
        <v>250</v>
      </c>
      <c r="P57" s="117">
        <v>1162918.5</v>
      </c>
      <c r="Q57" s="7">
        <f t="shared" si="41"/>
        <v>6109.375</v>
      </c>
      <c r="R57" s="121"/>
      <c r="S57" s="18">
        <v>3.1091192025605829E-6</v>
      </c>
      <c r="T57" s="18">
        <v>1.3474838006401446E-4</v>
      </c>
      <c r="U57" s="24" t="str">
        <f t="shared" si="42"/>
        <v/>
      </c>
      <c r="V57" s="24" t="str">
        <f t="shared" si="43"/>
        <v/>
      </c>
      <c r="W57" s="150" t="str">
        <f t="shared" si="48"/>
        <v/>
      </c>
      <c r="X57" s="20" t="str">
        <f t="shared" si="44"/>
        <v/>
      </c>
      <c r="Y57" s="20" t="str">
        <f t="shared" si="44"/>
        <v/>
      </c>
      <c r="Z57" s="27"/>
      <c r="AA57" s="123">
        <v>250</v>
      </c>
      <c r="AB57" s="111"/>
      <c r="AC57" s="112">
        <f t="shared" si="49"/>
        <v>0</v>
      </c>
      <c r="AD57" s="18">
        <v>3.1091192025605829E-6</v>
      </c>
      <c r="AE57" s="5">
        <f t="shared" si="45"/>
        <v>0</v>
      </c>
      <c r="AF57" s="18">
        <v>1.3474838006401446E-4</v>
      </c>
      <c r="AG57" s="147">
        <f t="shared" si="50"/>
        <v>0</v>
      </c>
      <c r="AH57" s="144">
        <v>2.0177289620484754E-5</v>
      </c>
      <c r="AI57" s="153">
        <f t="shared" si="51"/>
        <v>0</v>
      </c>
      <c r="AK57" s="19" t="e">
        <f t="shared" si="46"/>
        <v>#VALUE!</v>
      </c>
      <c r="AL57" s="199" t="e">
        <f t="shared" si="52"/>
        <v>#VALUE!</v>
      </c>
      <c r="AM57" s="269"/>
    </row>
    <row r="58" spans="1:42" ht="14.4" customHeight="1" x14ac:dyDescent="0.3">
      <c r="F58" s="27"/>
      <c r="L58" s="27"/>
      <c r="M58" s="1" t="str">
        <f t="shared" si="47"/>
        <v/>
      </c>
      <c r="O58" s="117">
        <v>300</v>
      </c>
      <c r="P58" s="117">
        <v>1006609.5</v>
      </c>
      <c r="Q58" s="7">
        <f t="shared" si="41"/>
        <v>4940.625</v>
      </c>
      <c r="R58" s="121"/>
      <c r="S58" s="18">
        <v>3.3747089144947325E-6</v>
      </c>
      <c r="T58" s="18">
        <v>1.5047301740969324E-4</v>
      </c>
      <c r="U58" s="24" t="str">
        <f t="shared" si="42"/>
        <v/>
      </c>
      <c r="V58" s="24" t="str">
        <f t="shared" si="43"/>
        <v/>
      </c>
      <c r="W58" s="150" t="str">
        <f t="shared" si="48"/>
        <v/>
      </c>
      <c r="X58" s="20" t="str">
        <f t="shared" si="44"/>
        <v/>
      </c>
      <c r="Y58" s="20" t="str">
        <f t="shared" si="44"/>
        <v/>
      </c>
      <c r="Z58" s="27"/>
      <c r="AA58" s="123">
        <v>300</v>
      </c>
      <c r="AB58" s="111"/>
      <c r="AC58" s="112">
        <f t="shared" si="49"/>
        <v>0</v>
      </c>
      <c r="AD58" s="18">
        <v>3.3747089144947325E-6</v>
      </c>
      <c r="AE58" s="5">
        <f t="shared" si="45"/>
        <v>0</v>
      </c>
      <c r="AF58" s="18">
        <v>1.5047301740969324E-4</v>
      </c>
      <c r="AG58" s="147">
        <f t="shared" si="50"/>
        <v>0</v>
      </c>
      <c r="AH58" s="144">
        <v>2.2574082315957813E-5</v>
      </c>
      <c r="AI58" s="153">
        <f t="shared" si="51"/>
        <v>0</v>
      </c>
      <c r="AK58" s="19" t="e">
        <f t="shared" si="46"/>
        <v>#VALUE!</v>
      </c>
      <c r="AL58" s="199" t="e">
        <f t="shared" si="52"/>
        <v>#VALUE!</v>
      </c>
      <c r="AM58" s="269"/>
    </row>
    <row r="59" spans="1:42" ht="14.4" customHeight="1" x14ac:dyDescent="0.3">
      <c r="F59" s="27"/>
      <c r="L59" s="27"/>
      <c r="M59" s="1" t="str">
        <f t="shared" si="47"/>
        <v/>
      </c>
      <c r="O59" s="117">
        <v>350</v>
      </c>
      <c r="P59" s="117">
        <v>850300.5</v>
      </c>
      <c r="Q59" s="7">
        <f t="shared" si="41"/>
        <v>3771.875</v>
      </c>
      <c r="R59" s="121"/>
      <c r="S59" s="18">
        <v>3.8568144014631814E-6</v>
      </c>
      <c r="T59" s="18">
        <v>1.5047301740969324E-4</v>
      </c>
      <c r="U59" s="24" t="str">
        <f t="shared" si="42"/>
        <v/>
      </c>
      <c r="V59" s="24" t="str">
        <f t="shared" si="43"/>
        <v/>
      </c>
      <c r="W59" s="150" t="str">
        <f t="shared" si="48"/>
        <v/>
      </c>
      <c r="X59" s="20" t="str">
        <f t="shared" si="44"/>
        <v/>
      </c>
      <c r="Y59" s="20" t="str">
        <f t="shared" si="44"/>
        <v/>
      </c>
      <c r="Z59" s="27"/>
      <c r="AA59" s="123">
        <v>350</v>
      </c>
      <c r="AB59" s="111"/>
      <c r="AC59" s="112">
        <f t="shared" si="49"/>
        <v>0</v>
      </c>
      <c r="AD59" s="18">
        <v>3.8568144014631814E-6</v>
      </c>
      <c r="AE59" s="5">
        <f t="shared" si="45"/>
        <v>0</v>
      </c>
      <c r="AF59" s="18">
        <v>1.5047301740969324E-4</v>
      </c>
      <c r="AG59" s="147">
        <f t="shared" si="50"/>
        <v>0</v>
      </c>
      <c r="AH59" s="144">
        <v>2.6457028989483253E-5</v>
      </c>
      <c r="AI59" s="153">
        <f t="shared" si="51"/>
        <v>0</v>
      </c>
      <c r="AK59" s="19" t="e">
        <f t="shared" si="46"/>
        <v>#VALUE!</v>
      </c>
      <c r="AL59" s="199" t="e">
        <f t="shared" si="52"/>
        <v>#VALUE!</v>
      </c>
      <c r="AM59" s="269"/>
    </row>
    <row r="60" spans="1:42" ht="14.4" customHeight="1" x14ac:dyDescent="0.3">
      <c r="F60" s="27"/>
      <c r="L60" s="27"/>
      <c r="M60" s="1" t="str">
        <f t="shared" si="47"/>
        <v/>
      </c>
      <c r="O60" s="117">
        <v>400</v>
      </c>
      <c r="P60" s="117">
        <v>693991.5</v>
      </c>
      <c r="Q60" s="7">
        <f t="shared" si="41"/>
        <v>2603.125</v>
      </c>
      <c r="R60" s="121"/>
      <c r="S60" s="18">
        <v>4.5554356634659366E-6</v>
      </c>
      <c r="T60" s="18">
        <v>1.5047301740969324E-4</v>
      </c>
      <c r="U60" s="24" t="str">
        <f t="shared" si="42"/>
        <v/>
      </c>
      <c r="V60" s="24" t="str">
        <f t="shared" si="43"/>
        <v/>
      </c>
      <c r="W60" s="150" t="str">
        <f t="shared" si="48"/>
        <v/>
      </c>
      <c r="X60" s="20" t="str">
        <f t="shared" si="44"/>
        <v/>
      </c>
      <c r="Y60" s="20" t="str">
        <f t="shared" si="44"/>
        <v/>
      </c>
      <c r="Z60" s="27"/>
      <c r="AA60" s="123">
        <v>400</v>
      </c>
      <c r="AB60" s="111"/>
      <c r="AC60" s="112">
        <f t="shared" si="49"/>
        <v>0</v>
      </c>
      <c r="AD60" s="18">
        <v>4.5554356634659366E-6</v>
      </c>
      <c r="AE60" s="5">
        <f>IF(AA60&gt;D$20,0,IF(D$20&gt;AA61,(AA61-AA60)*D$15*AD61,(D$20-AA60)*AD61*D$15))</f>
        <v>0</v>
      </c>
      <c r="AF60" s="18">
        <v>1.5047301740969324E-4</v>
      </c>
      <c r="AG60" s="147">
        <f t="shared" si="50"/>
        <v>0</v>
      </c>
      <c r="AH60" s="144">
        <v>3.1826129641060809E-5</v>
      </c>
      <c r="AI60" s="153">
        <f t="shared" si="51"/>
        <v>0</v>
      </c>
      <c r="AK60" s="19" t="e">
        <f t="shared" si="46"/>
        <v>#VALUE!</v>
      </c>
      <c r="AL60" s="199" t="e">
        <f t="shared" si="52"/>
        <v>#VALUE!</v>
      </c>
      <c r="AM60" s="269"/>
    </row>
    <row r="61" spans="1:42" ht="14.4" customHeight="1" thickBot="1" x14ac:dyDescent="0.35">
      <c r="F61" s="27"/>
      <c r="L61" s="27"/>
      <c r="M61" s="1" t="str">
        <f t="shared" si="47"/>
        <v/>
      </c>
      <c r="O61" s="117">
        <v>500</v>
      </c>
      <c r="P61" s="104">
        <v>459528.00000000402</v>
      </c>
      <c r="Q61" s="131">
        <f t="shared" si="41"/>
        <v>265.625</v>
      </c>
      <c r="R61" s="128"/>
      <c r="S61" s="121">
        <v>6.6022299999999996E-6</v>
      </c>
      <c r="T61" s="121">
        <v>2.3731146734110655E-4</v>
      </c>
      <c r="U61" s="24" t="str">
        <f t="shared" si="42"/>
        <v/>
      </c>
      <c r="V61" s="24" t="str">
        <f t="shared" si="43"/>
        <v/>
      </c>
      <c r="W61" s="150" t="str">
        <f t="shared" si="48"/>
        <v/>
      </c>
      <c r="X61" s="20" t="str">
        <f t="shared" si="44"/>
        <v/>
      </c>
      <c r="Y61" s="20" t="str">
        <f t="shared" si="44"/>
        <v/>
      </c>
      <c r="Z61" s="27"/>
      <c r="AA61" s="123">
        <v>500</v>
      </c>
      <c r="AB61" s="132"/>
      <c r="AC61" s="112">
        <f t="shared" si="49"/>
        <v>0</v>
      </c>
      <c r="AD61" s="133">
        <v>4.7022792878372297E-5</v>
      </c>
      <c r="AE61" s="5">
        <f>IF(AA61&gt;D$20,0,IF(D$20&gt;AA62,(AA62-AA61)*D$15*AD61,(D$20-AA61)*AD61*D$15))</f>
        <v>0</v>
      </c>
      <c r="AF61" s="18">
        <v>2.3731146734110655E-4</v>
      </c>
      <c r="AG61" s="147">
        <f t="shared" si="50"/>
        <v>0</v>
      </c>
      <c r="AH61" s="144">
        <v>4.7022792878372283E-5</v>
      </c>
      <c r="AI61" s="153">
        <f t="shared" si="51"/>
        <v>0</v>
      </c>
      <c r="AK61" s="19" t="e">
        <f t="shared" si="46"/>
        <v>#VALUE!</v>
      </c>
      <c r="AL61" s="199" t="e">
        <f t="shared" si="52"/>
        <v>#VALUE!</v>
      </c>
      <c r="AM61" s="270"/>
    </row>
    <row r="62" spans="1:42" ht="14.4" customHeight="1" x14ac:dyDescent="0.3">
      <c r="F62" s="27"/>
      <c r="L62" s="27"/>
      <c r="Z62" s="27"/>
      <c r="AA62" s="1">
        <v>550</v>
      </c>
      <c r="AB62" s="1"/>
      <c r="AC62" s="1">
        <f>SUM(AC55:AC61)</f>
        <v>0</v>
      </c>
      <c r="AD62" s="1"/>
      <c r="AE62" s="142">
        <f>SUM(AE55:AE61)</f>
        <v>0</v>
      </c>
      <c r="AG62" s="1">
        <f>SUM(AG55:AG61)</f>
        <v>6.0708866386602594E-3</v>
      </c>
      <c r="AI62" s="1">
        <f>SUM(AI55:AI61)</f>
        <v>0</v>
      </c>
      <c r="AM62" s="202"/>
    </row>
    <row r="63" spans="1:42" ht="14.4" customHeight="1" x14ac:dyDescent="0.3">
      <c r="F63" s="27"/>
      <c r="L63" s="27"/>
      <c r="O63" s="21" t="s">
        <v>89</v>
      </c>
      <c r="P63" s="21" t="s">
        <v>90</v>
      </c>
      <c r="Q63" s="21" t="s">
        <v>91</v>
      </c>
      <c r="R63" s="21" t="s">
        <v>92</v>
      </c>
      <c r="S63" s="21" t="s">
        <v>92</v>
      </c>
      <c r="Z63" s="27"/>
    </row>
    <row r="64" spans="1:42" ht="14.4" customHeight="1" x14ac:dyDescent="0.3">
      <c r="F64" s="27"/>
      <c r="L64" s="27"/>
      <c r="O64" s="21" t="s">
        <v>129</v>
      </c>
      <c r="P64" s="21">
        <f>P65</f>
        <v>0.28999999999999998</v>
      </c>
      <c r="Q64" s="21">
        <f>Q65</f>
        <v>28000000</v>
      </c>
      <c r="R64" s="31" t="str">
        <f>C13</f>
        <v/>
      </c>
      <c r="S64" s="31" t="str">
        <f>C17</f>
        <v/>
      </c>
      <c r="Z64" s="27"/>
      <c r="AD64" s="206"/>
      <c r="AE64" s="204"/>
      <c r="AF64" s="207"/>
    </row>
    <row r="65" spans="4:36" ht="14.4" customHeight="1" x14ac:dyDescent="0.3">
      <c r="F65" s="27"/>
      <c r="L65" s="27"/>
      <c r="O65" s="21" t="s">
        <v>93</v>
      </c>
      <c r="P65" s="21">
        <v>0.28999999999999998</v>
      </c>
      <c r="Q65" s="21">
        <v>28000000</v>
      </c>
      <c r="R65" s="31">
        <v>9.0000000000000002E-6</v>
      </c>
      <c r="S65" s="31">
        <v>9.0000000000000002E-6</v>
      </c>
      <c r="Z65" s="27"/>
      <c r="AD65" s="206"/>
      <c r="AE65" s="204"/>
      <c r="AF65" s="207"/>
    </row>
    <row r="66" spans="4:36" ht="14.4" customHeight="1" x14ac:dyDescent="0.3">
      <c r="F66" s="27"/>
      <c r="L66" s="27"/>
      <c r="O66" s="21" t="s">
        <v>94</v>
      </c>
      <c r="P66" s="21">
        <v>0.3</v>
      </c>
      <c r="Q66" s="21">
        <v>29000000</v>
      </c>
      <c r="R66" s="32">
        <v>6.0000000000000002E-6</v>
      </c>
      <c r="S66" s="32">
        <v>6.0000000000000002E-6</v>
      </c>
      <c r="Z66" s="27"/>
      <c r="AD66" s="206"/>
      <c r="AE66" s="205"/>
      <c r="AF66" s="207"/>
    </row>
    <row r="67" spans="4:36" ht="14.4" customHeight="1" x14ac:dyDescent="0.3">
      <c r="F67" s="27"/>
      <c r="L67" s="27"/>
      <c r="O67" s="21" t="s">
        <v>95</v>
      </c>
      <c r="P67" s="21">
        <v>0.28999999999999998</v>
      </c>
      <c r="Q67" s="21">
        <v>29700000</v>
      </c>
      <c r="R67" s="31">
        <v>5.8000000000000004E-6</v>
      </c>
      <c r="S67" s="31">
        <v>5.8000000000000004E-6</v>
      </c>
      <c r="Z67" s="27"/>
      <c r="AD67" s="206"/>
      <c r="AE67" s="205"/>
      <c r="AF67" s="207"/>
    </row>
    <row r="68" spans="4:36" ht="14.4" customHeight="1" x14ac:dyDescent="0.3">
      <c r="D68" s="166"/>
      <c r="F68" s="27"/>
      <c r="L68" s="27"/>
      <c r="O68" s="21" t="s">
        <v>209</v>
      </c>
      <c r="P68" s="21">
        <v>0.28999999999999998</v>
      </c>
      <c r="Q68" s="21">
        <v>28572434</v>
      </c>
      <c r="R68" s="31">
        <v>7.6109999999999996E-6</v>
      </c>
      <c r="S68" s="31">
        <v>7.6109999999999996E-6</v>
      </c>
      <c r="T68" s="166"/>
      <c r="Z68" s="27"/>
      <c r="AD68" s="206"/>
      <c r="AE68" s="205"/>
      <c r="AF68" s="207"/>
    </row>
    <row r="69" spans="4:36" ht="14.4" customHeight="1" x14ac:dyDescent="0.3">
      <c r="F69" s="27"/>
      <c r="L69" s="27"/>
      <c r="O69" s="21" t="s">
        <v>96</v>
      </c>
      <c r="P69" s="21">
        <v>0.28999999999999998</v>
      </c>
      <c r="Q69" s="21">
        <v>29400000</v>
      </c>
      <c r="R69" s="31">
        <v>6.4999999999999996E-6</v>
      </c>
      <c r="S69" s="31">
        <v>6.4999999999999996E-6</v>
      </c>
      <c r="Z69" s="27"/>
      <c r="AD69" s="206"/>
      <c r="AE69" s="205"/>
      <c r="AF69" s="207"/>
    </row>
    <row r="70" spans="4:36" ht="14.4" customHeight="1" x14ac:dyDescent="0.3">
      <c r="F70" s="27"/>
      <c r="L70" s="27"/>
      <c r="O70" s="21" t="s">
        <v>97</v>
      </c>
      <c r="P70" s="21">
        <v>0.3</v>
      </c>
      <c r="Q70" s="21">
        <v>28000000</v>
      </c>
      <c r="R70" s="31">
        <v>8.3999999999999992E-6</v>
      </c>
      <c r="S70" s="31">
        <v>8.3999999999999992E-6</v>
      </c>
      <c r="Z70" s="27"/>
      <c r="AD70" s="206"/>
      <c r="AE70" s="205"/>
      <c r="AF70" s="207"/>
    </row>
    <row r="71" spans="4:36" ht="14.4" customHeight="1" x14ac:dyDescent="0.3">
      <c r="F71" s="27"/>
      <c r="L71" s="27"/>
      <c r="O71" s="21" t="s">
        <v>98</v>
      </c>
      <c r="P71" s="21">
        <v>0.3</v>
      </c>
      <c r="Q71" s="21">
        <v>28000000</v>
      </c>
      <c r="R71" s="31">
        <v>8.6000000000000007E-6</v>
      </c>
      <c r="S71" s="31">
        <v>8.6000000000000007E-6</v>
      </c>
      <c r="Z71" s="27"/>
      <c r="AD71" s="206"/>
      <c r="AE71" s="205"/>
      <c r="AF71" s="207"/>
      <c r="AJ71" s="27"/>
    </row>
    <row r="72" spans="4:36" ht="14.4" customHeight="1" x14ac:dyDescent="0.3">
      <c r="F72" s="27"/>
      <c r="L72" s="27"/>
      <c r="O72" s="21" t="s">
        <v>99</v>
      </c>
      <c r="P72" s="21">
        <v>0.28999999999999998</v>
      </c>
      <c r="Q72" s="21">
        <v>16800000</v>
      </c>
      <c r="R72" s="31">
        <v>5.8000000000000004E-6</v>
      </c>
      <c r="S72" s="31">
        <v>5.8000000000000004E-6</v>
      </c>
      <c r="T72" s="118"/>
      <c r="Z72" s="27"/>
      <c r="AD72" s="204"/>
      <c r="AE72" s="205"/>
      <c r="AF72" s="126"/>
    </row>
    <row r="73" spans="4:36" ht="14.4" customHeight="1" x14ac:dyDescent="0.3">
      <c r="F73" s="27"/>
      <c r="L73" s="27"/>
      <c r="O73" s="21" t="s">
        <v>100</v>
      </c>
      <c r="P73" s="21">
        <v>0.3</v>
      </c>
      <c r="Q73" s="21">
        <v>14500000</v>
      </c>
      <c r="R73" s="31">
        <v>1.0000000000000001E-5</v>
      </c>
      <c r="S73" s="31">
        <v>1.0000000000000001E-5</v>
      </c>
      <c r="T73" s="118"/>
      <c r="Z73" s="27"/>
    </row>
    <row r="74" spans="4:36" ht="14.4" customHeight="1" x14ac:dyDescent="0.3">
      <c r="F74" s="27"/>
      <c r="L74" s="27"/>
      <c r="O74" s="118"/>
      <c r="P74" s="118"/>
      <c r="Q74" s="118"/>
      <c r="R74" s="118"/>
      <c r="S74" s="118"/>
      <c r="T74" s="118"/>
      <c r="Z74" s="27"/>
    </row>
    <row r="75" spans="4:36" ht="14.4" customHeight="1" x14ac:dyDescent="0.3">
      <c r="F75" s="27"/>
      <c r="L75" s="27"/>
      <c r="O75" s="208" t="s">
        <v>4</v>
      </c>
      <c r="P75" s="210"/>
      <c r="Q75" s="119" t="s">
        <v>142</v>
      </c>
      <c r="R75" s="119" t="s">
        <v>129</v>
      </c>
      <c r="S75" s="23"/>
      <c r="T75" s="118"/>
      <c r="Z75" s="27"/>
    </row>
    <row r="76" spans="4:36" ht="14.4" customHeight="1" x14ac:dyDescent="0.3">
      <c r="F76" s="27"/>
      <c r="L76" s="27"/>
      <c r="O76" s="117" t="s">
        <v>78</v>
      </c>
      <c r="P76" s="20"/>
      <c r="Q76" s="119"/>
      <c r="R76" s="119"/>
      <c r="S76" s="118"/>
      <c r="T76" s="118"/>
      <c r="Z76" s="27"/>
    </row>
    <row r="77" spans="4:36" ht="14.4" customHeight="1" x14ac:dyDescent="0.3">
      <c r="F77" s="27"/>
      <c r="L77" s="27"/>
      <c r="O77" s="117" t="s">
        <v>1</v>
      </c>
      <c r="P77" s="20"/>
      <c r="Q77" s="119"/>
      <c r="R77" s="8"/>
      <c r="S77" s="118"/>
      <c r="T77" s="118"/>
      <c r="Z77" s="27"/>
    </row>
    <row r="78" spans="4:36" ht="14.4" customHeight="1" x14ac:dyDescent="0.3">
      <c r="L78" s="27"/>
      <c r="O78" s="117" t="s">
        <v>79</v>
      </c>
      <c r="P78" s="20"/>
      <c r="Q78" s="119"/>
      <c r="R78" s="8"/>
      <c r="S78" s="118"/>
      <c r="T78" s="118"/>
      <c r="Z78" s="27"/>
    </row>
    <row r="79" spans="4:36" ht="14.4" customHeight="1" x14ac:dyDescent="0.3">
      <c r="L79" s="27"/>
      <c r="O79" s="117" t="s">
        <v>2</v>
      </c>
      <c r="P79" s="20"/>
      <c r="Q79" s="119"/>
      <c r="R79" s="8"/>
      <c r="S79" s="118"/>
      <c r="T79" s="118"/>
      <c r="Z79" s="27"/>
    </row>
    <row r="80" spans="4:36" ht="14.4" customHeight="1" x14ac:dyDescent="0.3">
      <c r="D80" s="118"/>
      <c r="L80" s="27"/>
      <c r="O80" s="117" t="s">
        <v>199</v>
      </c>
      <c r="P80" s="20"/>
      <c r="Q80" s="119"/>
      <c r="R80" s="8"/>
      <c r="S80" s="118"/>
      <c r="T80" s="118"/>
      <c r="Z80" s="27"/>
    </row>
    <row r="81" spans="12:26" ht="14.4" customHeight="1" x14ac:dyDescent="0.3">
      <c r="L81" s="27"/>
      <c r="O81" s="117" t="s">
        <v>3</v>
      </c>
      <c r="P81" s="20"/>
      <c r="Q81" s="119"/>
      <c r="R81" s="8"/>
      <c r="S81" s="118"/>
      <c r="T81" s="118"/>
      <c r="Z81" s="27"/>
    </row>
    <row r="82" spans="12:26" ht="14.4" customHeight="1" x14ac:dyDescent="0.3">
      <c r="L82" s="27"/>
      <c r="O82" s="118"/>
      <c r="P82" s="118"/>
      <c r="Q82" s="118"/>
      <c r="R82" s="118"/>
      <c r="S82" s="118"/>
      <c r="T82" s="118"/>
      <c r="Z82" s="27"/>
    </row>
    <row r="83" spans="12:26" ht="14.4" customHeight="1" x14ac:dyDescent="0.3">
      <c r="L83" s="27"/>
      <c r="O83" s="208" t="s">
        <v>5</v>
      </c>
      <c r="P83" s="209"/>
      <c r="Q83" s="209"/>
      <c r="R83" s="210"/>
      <c r="S83" s="118"/>
      <c r="T83" s="118"/>
      <c r="Z83" s="27"/>
    </row>
    <row r="84" spans="12:26" ht="14.4" customHeight="1" x14ac:dyDescent="0.3">
      <c r="L84" s="27"/>
      <c r="O84" s="117" t="s">
        <v>103</v>
      </c>
      <c r="P84" s="117" t="s">
        <v>107</v>
      </c>
      <c r="Q84" s="117" t="s">
        <v>108</v>
      </c>
      <c r="R84" s="117" t="s">
        <v>109</v>
      </c>
      <c r="S84" s="118"/>
      <c r="T84" s="117" t="s">
        <v>129</v>
      </c>
      <c r="Z84" s="27"/>
    </row>
    <row r="85" spans="12:26" ht="14.4" customHeight="1" x14ac:dyDescent="0.3">
      <c r="L85" s="27"/>
      <c r="O85" s="157" t="s">
        <v>104</v>
      </c>
      <c r="P85" s="158">
        <f>IF(D$11&lt;5,0.003+(D$11*0.001),0.008+((D$11-5)*0.0005))</f>
        <v>3.0000000000000001E-3</v>
      </c>
      <c r="Q85" s="158">
        <f>R85</f>
        <v>4.0000000000000001E-3</v>
      </c>
      <c r="R85" s="158">
        <f>IF(D$11&lt;5,0.004+(D$11*0.0015),0.012+((D$11-5)*0.001))</f>
        <v>4.0000000000000001E-3</v>
      </c>
      <c r="S85" s="118">
        <v>2</v>
      </c>
      <c r="T85" s="117" t="str">
        <f>IF(C8=T84,C9,"")</f>
        <v/>
      </c>
      <c r="Z85" s="27"/>
    </row>
    <row r="86" spans="12:26" ht="14.4" customHeight="1" x14ac:dyDescent="0.3">
      <c r="L86" s="27"/>
      <c r="O86" s="157" t="s">
        <v>105</v>
      </c>
      <c r="P86" s="158">
        <f>IF(D$11&lt;5,0.003+(D$11*0.001),0.008+((D$11-5)*0.0005))</f>
        <v>3.0000000000000001E-3</v>
      </c>
      <c r="Q86" s="158">
        <f t="shared" ref="Q86:Q87" si="53">R86</f>
        <v>4.0000000000000001E-3</v>
      </c>
      <c r="R86" s="158">
        <f>IF(D$11&lt;5,0.004+(D$11*0.0015),0.012+((D$11-5)*0.001))</f>
        <v>4.0000000000000001E-3</v>
      </c>
      <c r="S86" s="118">
        <v>3</v>
      </c>
      <c r="T86" s="118"/>
      <c r="Z86" s="27"/>
    </row>
    <row r="87" spans="12:26" x14ac:dyDescent="0.3">
      <c r="L87" s="27"/>
      <c r="O87" s="157" t="s">
        <v>106</v>
      </c>
      <c r="P87" s="158">
        <f>R87+0.002</f>
        <v>6.0000000000000001E-3</v>
      </c>
      <c r="Q87" s="158">
        <f t="shared" si="53"/>
        <v>4.0000000000000001E-3</v>
      </c>
      <c r="R87" s="158">
        <f>IF(D$11&lt;5,0.004+(D$11*0.0015),0.012+((D$11-5)*0.001))</f>
        <v>4.0000000000000001E-3</v>
      </c>
      <c r="S87" s="118">
        <v>4</v>
      </c>
      <c r="T87" s="118"/>
      <c r="Z87" s="27"/>
    </row>
    <row r="88" spans="12:26" x14ac:dyDescent="0.3">
      <c r="L88" s="27"/>
      <c r="M88" s="27"/>
      <c r="N88" s="27"/>
      <c r="O88" s="118"/>
      <c r="P88" s="118"/>
      <c r="Q88" s="118"/>
      <c r="R88" s="118"/>
      <c r="S88" s="118"/>
      <c r="T88" s="118"/>
      <c r="U88" s="27"/>
      <c r="V88" s="27"/>
      <c r="W88" s="27"/>
      <c r="X88" s="27"/>
      <c r="Y88" s="27"/>
      <c r="Z88" s="27"/>
    </row>
    <row r="89" spans="12:26" x14ac:dyDescent="0.3">
      <c r="O89" s="117"/>
      <c r="P89" s="117" t="s">
        <v>107</v>
      </c>
      <c r="Q89" s="117" t="s">
        <v>108</v>
      </c>
      <c r="R89" s="117" t="s">
        <v>109</v>
      </c>
      <c r="S89" s="118"/>
      <c r="T89" s="118"/>
    </row>
    <row r="90" spans="12:26" x14ac:dyDescent="0.3">
      <c r="O90" s="117" t="s">
        <v>104</v>
      </c>
      <c r="P90" s="63" t="str">
        <f>""</f>
        <v/>
      </c>
      <c r="Q90" s="38" t="s">
        <v>165</v>
      </c>
      <c r="R90" s="38" t="s">
        <v>166</v>
      </c>
      <c r="S90" s="118">
        <v>2</v>
      </c>
      <c r="T90" s="118"/>
    </row>
    <row r="91" spans="12:26" x14ac:dyDescent="0.3">
      <c r="O91" s="117" t="s">
        <v>105</v>
      </c>
      <c r="P91" s="63" t="str">
        <f>""</f>
        <v/>
      </c>
      <c r="Q91" s="38" t="s">
        <v>165</v>
      </c>
      <c r="R91" s="38" t="s">
        <v>166</v>
      </c>
      <c r="S91" s="118">
        <v>3</v>
      </c>
      <c r="T91" s="118"/>
    </row>
    <row r="92" spans="12:26" x14ac:dyDescent="0.3">
      <c r="O92" s="117" t="s">
        <v>106</v>
      </c>
      <c r="P92" s="38" t="s">
        <v>186</v>
      </c>
      <c r="Q92" s="38" t="s">
        <v>165</v>
      </c>
      <c r="R92" s="38" t="s">
        <v>166</v>
      </c>
      <c r="S92" s="118">
        <v>4</v>
      </c>
      <c r="T92" s="118"/>
    </row>
  </sheetData>
  <sheetProtection sheet="1" selectLockedCells="1"/>
  <mergeCells count="117">
    <mergeCell ref="G29:H29"/>
    <mergeCell ref="C12:E12"/>
    <mergeCell ref="G8:H8"/>
    <mergeCell ref="A14:A15"/>
    <mergeCell ref="G9:H9"/>
    <mergeCell ref="G10:H10"/>
    <mergeCell ref="A16:B16"/>
    <mergeCell ref="C16:E16"/>
    <mergeCell ref="G11:H11"/>
    <mergeCell ref="A8:B8"/>
    <mergeCell ref="G19:H19"/>
    <mergeCell ref="A26:E26"/>
    <mergeCell ref="G20:H20"/>
    <mergeCell ref="G21:H21"/>
    <mergeCell ref="G14:H14"/>
    <mergeCell ref="A22:C22"/>
    <mergeCell ref="G16:H16"/>
    <mergeCell ref="A23:C23"/>
    <mergeCell ref="G17:H17"/>
    <mergeCell ref="A21:E21"/>
    <mergeCell ref="G15:H15"/>
    <mergeCell ref="G18:K18"/>
    <mergeCell ref="C8:E8"/>
    <mergeCell ref="A9:B9"/>
    <mergeCell ref="C17:E17"/>
    <mergeCell ref="G28:H28"/>
    <mergeCell ref="A28:E28"/>
    <mergeCell ref="G23:H23"/>
    <mergeCell ref="A24:C24"/>
    <mergeCell ref="G25:K25"/>
    <mergeCell ref="G26:H26"/>
    <mergeCell ref="A27:E27"/>
    <mergeCell ref="G27:H27"/>
    <mergeCell ref="G24:H24"/>
    <mergeCell ref="A25:C25"/>
    <mergeCell ref="G22:H22"/>
    <mergeCell ref="O83:R83"/>
    <mergeCell ref="A1:E1"/>
    <mergeCell ref="A4:E4"/>
    <mergeCell ref="A5:B5"/>
    <mergeCell ref="C5:E5"/>
    <mergeCell ref="G3:K3"/>
    <mergeCell ref="A2:E2"/>
    <mergeCell ref="A6:B6"/>
    <mergeCell ref="C6:E6"/>
    <mergeCell ref="G4:H4"/>
    <mergeCell ref="A7:B7"/>
    <mergeCell ref="C7:E7"/>
    <mergeCell ref="G5:H5"/>
    <mergeCell ref="M3:N3"/>
    <mergeCell ref="B3:D3"/>
    <mergeCell ref="G12:K12"/>
    <mergeCell ref="A19:A20"/>
    <mergeCell ref="G13:H13"/>
    <mergeCell ref="A10:A11"/>
    <mergeCell ref="G6:K6"/>
    <mergeCell ref="G7:H7"/>
    <mergeCell ref="A12:B12"/>
    <mergeCell ref="C9:E9"/>
    <mergeCell ref="C13:E13"/>
    <mergeCell ref="G32:K32"/>
    <mergeCell ref="A32:E32"/>
    <mergeCell ref="A33:E33"/>
    <mergeCell ref="A34:E34"/>
    <mergeCell ref="G34:H34"/>
    <mergeCell ref="G35:K35"/>
    <mergeCell ref="G33:H33"/>
    <mergeCell ref="A31:E31"/>
    <mergeCell ref="O75:P75"/>
    <mergeCell ref="A29:E29"/>
    <mergeCell ref="A30:E30"/>
    <mergeCell ref="AN53:AP53"/>
    <mergeCell ref="A43:E43"/>
    <mergeCell ref="A40:E40"/>
    <mergeCell ref="G37:H37"/>
    <mergeCell ref="A41:E41"/>
    <mergeCell ref="A42:E42"/>
    <mergeCell ref="A37:E37"/>
    <mergeCell ref="A38:E38"/>
    <mergeCell ref="A39:E39"/>
    <mergeCell ref="A36:E36"/>
    <mergeCell ref="A35:E35"/>
    <mergeCell ref="AK53:AL53"/>
    <mergeCell ref="A49:E49"/>
    <mergeCell ref="A50:E50"/>
    <mergeCell ref="A44:E44"/>
    <mergeCell ref="A45:E45"/>
    <mergeCell ref="A46:E46"/>
    <mergeCell ref="A47:E47"/>
    <mergeCell ref="A48:E48"/>
    <mergeCell ref="G30:H30"/>
    <mergeCell ref="G36:H36"/>
    <mergeCell ref="G31:H31"/>
    <mergeCell ref="AM2:AM61"/>
    <mergeCell ref="P3:Q3"/>
    <mergeCell ref="R3:T3"/>
    <mergeCell ref="P13:Q13"/>
    <mergeCell ref="R13:T13"/>
    <mergeCell ref="P23:Q23"/>
    <mergeCell ref="R23:T23"/>
    <mergeCell ref="P33:Q33"/>
    <mergeCell ref="R33:T33"/>
    <mergeCell ref="P43:Q43"/>
    <mergeCell ref="R43:T43"/>
    <mergeCell ref="P53:Q53"/>
    <mergeCell ref="R53:T53"/>
    <mergeCell ref="U23:Y23"/>
    <mergeCell ref="U33:Y33"/>
    <mergeCell ref="U43:Y43"/>
    <mergeCell ref="U53:Y53"/>
    <mergeCell ref="AK3:AL3"/>
    <mergeCell ref="AK13:AL13"/>
    <mergeCell ref="AK23:AL23"/>
    <mergeCell ref="AK33:AL33"/>
    <mergeCell ref="AK43:AL43"/>
    <mergeCell ref="U3:Y3"/>
    <mergeCell ref="U13:Y13"/>
  </mergeCells>
  <conditionalFormatting sqref="E3">
    <cfRule type="cellIs" dxfId="15" priority="13" operator="equal">
      <formula>""</formula>
    </cfRule>
  </conditionalFormatting>
  <conditionalFormatting sqref="C5:E8">
    <cfRule type="cellIs" dxfId="14" priority="12" operator="equal">
      <formula>""</formula>
    </cfRule>
  </conditionalFormatting>
  <conditionalFormatting sqref="C9:E9">
    <cfRule type="cellIs" dxfId="13" priority="7" operator="equal">
      <formula>"Enter Custom Value"</formula>
    </cfRule>
  </conditionalFormatting>
  <conditionalFormatting sqref="D10:D11 C12:E12 D14:D15 C16:E16 D18:D20">
    <cfRule type="cellIs" dxfId="12" priority="3" operator="equal">
      <formula>""</formula>
    </cfRule>
  </conditionalFormatting>
  <conditionalFormatting sqref="C13:E13">
    <cfRule type="cellIs" dxfId="11" priority="2" operator="equal">
      <formula>"Enter Custom Value"</formula>
    </cfRule>
  </conditionalFormatting>
  <conditionalFormatting sqref="C17:E17">
    <cfRule type="cellIs" dxfId="10" priority="1" operator="equal">
      <formula>"Enter Custom Value"</formula>
    </cfRule>
  </conditionalFormatting>
  <dataValidations count="9">
    <dataValidation type="whole" operator="lessThanOrEqual" allowBlank="1" showInputMessage="1" showErrorMessage="1" errorTitle="Minimum Temperature" error="Must be 75°F or less" sqref="D19" xr:uid="{CE2A45B7-E124-4288-8529-97FC42126C36}">
      <formula1>75</formula1>
    </dataValidation>
    <dataValidation type="decimal" allowBlank="1" showInputMessage="1" showErrorMessage="1" error="Value should be equal to minimum rotating element OD or up to .005&quot; over." sqref="D11" xr:uid="{1C9D6F3D-E28B-4648-9806-383FDF5D6776}">
      <formula1>D10</formula1>
      <formula2>D10+0.005</formula2>
    </dataValidation>
    <dataValidation type="decimal" allowBlank="1" showInputMessage="1" showErrorMessage="1" error="Value should be equal to minimum stationary bore ID or up to .005&quot; over." sqref="D15" xr:uid="{9E3B8A17-905E-4FD7-932F-4A235794F7C8}">
      <formula1>D14</formula1>
      <formula2>D14+0.005</formula2>
    </dataValidation>
    <dataValidation type="list" allowBlank="1" showInputMessage="1" showErrorMessage="1" sqref="C6" xr:uid="{00000000-0002-0000-0200-000002000000}">
      <formula1>$P$84:$R$84</formula1>
    </dataValidation>
    <dataValidation type="list" allowBlank="1" showInputMessage="1" showErrorMessage="1" sqref="C5" xr:uid="{00000000-0002-0000-0200-000003000000}">
      <formula1>$O$85:$O$87</formula1>
    </dataValidation>
    <dataValidation type="list" allowBlank="1" showInputMessage="1" showErrorMessage="1" sqref="C7:E7" xr:uid="{00000000-0002-0000-0200-000004000000}">
      <formula1>$O$76:$O$81</formula1>
    </dataValidation>
    <dataValidation type="list" allowBlank="1" showInputMessage="1" showErrorMessage="1" sqref="C8:E8" xr:uid="{00000000-0002-0000-0200-000005000000}">
      <formula1>$Q$75:$R$75</formula1>
    </dataValidation>
    <dataValidation type="list" allowBlank="1" showInputMessage="1" showErrorMessage="1" sqref="C16:E16 C12:E12" xr:uid="{DC74344E-DE99-4447-813D-3A323F451782}">
      <formula1>$O$64:$O$73</formula1>
    </dataValidation>
    <dataValidation type="whole" operator="greaterThanOrEqual" allowBlank="1" showInputMessage="1" showErrorMessage="1" errorTitle="Maximum" error="Must be 75°F or more" sqref="D20" xr:uid="{1A66887E-C7B6-4218-A18D-1CB07EABB29F}">
      <formula1>75</formula1>
    </dataValidation>
  </dataValidations>
  <pageMargins left="0.7" right="0.7" top="0.75" bottom="0.75" header="0.3" footer="0.3"/>
  <pageSetup orientation="portrait" r:id="rId1"/>
  <headerFooter>
    <oddFooter>&amp;C&amp;Z&amp;F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95C4-C3F3-4ABB-BFC2-286B96D39660}">
  <dimension ref="A1:AP94"/>
  <sheetViews>
    <sheetView topLeftCell="A39" workbookViewId="0">
      <selection activeCell="D18" sqref="D18:D20"/>
    </sheetView>
  </sheetViews>
  <sheetFormatPr defaultColWidth="8.88671875" defaultRowHeight="14.4" x14ac:dyDescent="0.3"/>
  <cols>
    <col min="1" max="1" width="54.6640625" style="1" customWidth="1"/>
    <col min="2" max="2" width="5.6640625" style="1" customWidth="1"/>
    <col min="3" max="3" width="7.44140625" style="16" customWidth="1"/>
    <col min="4" max="4" width="13.33203125" style="161" customWidth="1"/>
    <col min="5" max="5" width="7.44140625" style="1" customWidth="1"/>
    <col min="6" max="6" width="8.88671875" style="1" customWidth="1"/>
    <col min="7" max="7" width="36.33203125" style="1" customWidth="1"/>
    <col min="8" max="8" width="11.44140625" style="1" customWidth="1"/>
    <col min="9" max="11" width="10.6640625" style="1" customWidth="1"/>
    <col min="12" max="12" width="8.88671875" style="1" customWidth="1"/>
    <col min="13" max="14" width="9.109375" style="1" customWidth="1"/>
    <col min="15" max="15" width="10" style="161" customWidth="1"/>
    <col min="16" max="16" width="20.88671875" style="161" customWidth="1"/>
    <col min="17" max="17" width="17.6640625" style="161" customWidth="1"/>
    <col min="18" max="20" width="9.6640625" style="161" customWidth="1"/>
    <col min="21" max="25" width="9.6640625" style="1" customWidth="1"/>
    <col min="26" max="27" width="8.88671875" style="1" customWidth="1"/>
    <col min="28" max="29" width="8.88671875" customWidth="1"/>
    <col min="30" max="33" width="8.88671875" style="1" customWidth="1"/>
    <col min="34" max="34" width="9.5546875" style="1" bestFit="1" customWidth="1"/>
    <col min="35" max="36" width="9.6640625" style="1" customWidth="1"/>
    <col min="37" max="37" width="9.33203125" style="16" bestFit="1" customWidth="1"/>
    <col min="38" max="39" width="8.88671875" style="16"/>
    <col min="40" max="40" width="10.33203125" style="16" bestFit="1" customWidth="1"/>
    <col min="41" max="41" width="11.77734375" style="16" bestFit="1" customWidth="1"/>
    <col min="42" max="42" width="11.33203125" style="16" bestFit="1" customWidth="1"/>
    <col min="43" max="16384" width="8.88671875" style="16"/>
  </cols>
  <sheetData>
    <row r="1" spans="1:39" ht="60" customHeight="1" thickBot="1" x14ac:dyDescent="0.35">
      <c r="A1" s="235"/>
      <c r="B1" s="235"/>
      <c r="C1" s="235"/>
      <c r="D1" s="235"/>
      <c r="E1" s="235"/>
    </row>
    <row r="2" spans="1:39" ht="21" x14ac:dyDescent="0.3">
      <c r="A2" s="264" t="s">
        <v>172</v>
      </c>
      <c r="B2" s="264"/>
      <c r="C2" s="264"/>
      <c r="D2" s="264"/>
      <c r="E2" s="264"/>
      <c r="F2" s="26"/>
      <c r="G2" s="26"/>
      <c r="H2" s="26"/>
      <c r="I2" s="26"/>
      <c r="J2" s="26"/>
      <c r="K2" s="26"/>
      <c r="L2" s="26"/>
      <c r="M2" s="27"/>
      <c r="N2" s="27"/>
      <c r="O2" s="26"/>
      <c r="P2" s="26"/>
      <c r="Q2" s="26"/>
      <c r="R2" s="26"/>
      <c r="S2" s="26"/>
      <c r="T2" s="26"/>
      <c r="U2" s="27"/>
      <c r="V2" s="27"/>
      <c r="W2" s="27"/>
      <c r="X2" s="27"/>
      <c r="Y2" s="27"/>
      <c r="Z2" s="27"/>
      <c r="AG2" s="113" t="s">
        <v>219</v>
      </c>
      <c r="AM2" s="268" t="s">
        <v>238</v>
      </c>
    </row>
    <row r="3" spans="1:39" ht="14.4" customHeight="1" x14ac:dyDescent="0.3">
      <c r="A3" s="161"/>
      <c r="B3" s="235" t="s">
        <v>171</v>
      </c>
      <c r="C3" s="235"/>
      <c r="D3" s="235"/>
      <c r="E3" s="161"/>
      <c r="F3" s="27"/>
      <c r="G3" s="238" t="s">
        <v>86</v>
      </c>
      <c r="H3" s="238"/>
      <c r="I3" s="238"/>
      <c r="J3" s="238"/>
      <c r="K3" s="238"/>
      <c r="L3" s="27"/>
      <c r="M3" s="235" t="s">
        <v>114</v>
      </c>
      <c r="N3" s="256"/>
      <c r="O3" s="5" t="s">
        <v>78</v>
      </c>
      <c r="P3" s="208" t="s">
        <v>190</v>
      </c>
      <c r="Q3" s="210"/>
      <c r="R3" s="208" t="s">
        <v>191</v>
      </c>
      <c r="S3" s="209"/>
      <c r="T3" s="210"/>
      <c r="U3" s="208" t="s">
        <v>238</v>
      </c>
      <c r="V3" s="209"/>
      <c r="W3" s="209"/>
      <c r="X3" s="209"/>
      <c r="Y3" s="210"/>
      <c r="Z3" s="27"/>
      <c r="AB3" s="130" t="s">
        <v>203</v>
      </c>
      <c r="AC3" s="129" t="e">
        <f>S5*$J$5*$D$15</f>
        <v>#VALUE!</v>
      </c>
      <c r="AG3" s="193" t="e">
        <f>D18*J5*J33</f>
        <v>#VALUE!</v>
      </c>
      <c r="AI3" s="238" t="s">
        <v>164</v>
      </c>
      <c r="AJ3" s="238"/>
      <c r="AM3" s="269"/>
    </row>
    <row r="4" spans="1:39" ht="14.4" customHeight="1" x14ac:dyDescent="0.3">
      <c r="A4" s="238" t="s">
        <v>167</v>
      </c>
      <c r="B4" s="238"/>
      <c r="C4" s="238"/>
      <c r="D4" s="238"/>
      <c r="E4" s="238"/>
      <c r="F4" s="27"/>
      <c r="G4" s="228" t="s">
        <v>29</v>
      </c>
      <c r="H4" s="228"/>
      <c r="I4" s="28" t="s">
        <v>35</v>
      </c>
      <c r="J4" s="4" t="str">
        <f>IF(D19="","",D19-24)</f>
        <v/>
      </c>
      <c r="K4" s="5" t="s">
        <v>149</v>
      </c>
      <c r="L4" s="27"/>
      <c r="M4" s="161" t="s">
        <v>60</v>
      </c>
      <c r="N4" s="161" t="s">
        <v>59</v>
      </c>
      <c r="O4" s="163" t="s">
        <v>151</v>
      </c>
      <c r="P4" s="163" t="s">
        <v>81</v>
      </c>
      <c r="Q4" s="163" t="s">
        <v>82</v>
      </c>
      <c r="R4" s="163" t="s">
        <v>80</v>
      </c>
      <c r="S4" s="163" t="s">
        <v>83</v>
      </c>
      <c r="T4" s="163" t="s">
        <v>84</v>
      </c>
      <c r="U4" s="37" t="s">
        <v>111</v>
      </c>
      <c r="V4" s="37" t="s">
        <v>112</v>
      </c>
      <c r="W4" s="37" t="s">
        <v>113</v>
      </c>
      <c r="X4" s="162" t="s">
        <v>132</v>
      </c>
      <c r="Y4" s="162" t="s">
        <v>133</v>
      </c>
      <c r="Z4" s="27"/>
      <c r="AI4" s="162" t="s">
        <v>60</v>
      </c>
      <c r="AJ4" s="162" t="s">
        <v>59</v>
      </c>
      <c r="AM4" s="269"/>
    </row>
    <row r="5" spans="1:39" ht="14.4" customHeight="1" x14ac:dyDescent="0.3">
      <c r="A5" s="218" t="s">
        <v>101</v>
      </c>
      <c r="B5" s="220"/>
      <c r="C5" s="251"/>
      <c r="D5" s="251"/>
      <c r="E5" s="251"/>
      <c r="F5" s="27"/>
      <c r="G5" s="228" t="s">
        <v>30</v>
      </c>
      <c r="H5" s="228"/>
      <c r="I5" s="28" t="s">
        <v>36</v>
      </c>
      <c r="J5" s="4" t="str">
        <f>IF(D20="","",D20-24)</f>
        <v/>
      </c>
      <c r="K5" s="5" t="s">
        <v>149</v>
      </c>
      <c r="L5" s="27"/>
      <c r="M5" s="113" t="str">
        <f>IF(C$7=$O$3,IF(D$20=24,C$7,""),"")</f>
        <v/>
      </c>
      <c r="N5" s="1" t="str">
        <f>IF(C$7=$O$3,C$7,"")</f>
        <v/>
      </c>
      <c r="O5" s="162">
        <v>24</v>
      </c>
      <c r="P5" s="4">
        <v>1080</v>
      </c>
      <c r="Q5" s="7">
        <v>18.615844691554575</v>
      </c>
      <c r="R5" s="18">
        <v>1.206E-4</v>
      </c>
      <c r="S5" s="18">
        <f>R5</f>
        <v>1.206E-4</v>
      </c>
      <c r="T5" s="18">
        <f>S5</f>
        <v>1.206E-4</v>
      </c>
      <c r="U5" s="24" t="str">
        <f t="shared" ref="U5:U11" si="0">IF(M5=O$3,IF(D$20&gt;49,"Check Temperature",D$14-0.05),"")</f>
        <v/>
      </c>
      <c r="V5" s="24" t="str">
        <f t="shared" ref="V5:V11" si="1">IF(M5=O$3,IF(AI5&gt;AJ5,AI5,AJ5),"")</f>
        <v/>
      </c>
      <c r="W5" s="20" t="str">
        <f t="shared" ref="W5:W11" si="2">IF(M5=O$3,IF(D$20&gt;49,"Check Temp Range",IF(D$20&gt;149,D$18-J$34,D$18)),"")</f>
        <v/>
      </c>
      <c r="X5" s="56" t="str">
        <f>IF(U5="","",IF(U5&lt;75,0.08,IF(U5&lt;152.4,0.1,IF(U5&lt;304.8,0.13,"Check"))))</f>
        <v/>
      </c>
      <c r="Y5" s="56" t="str">
        <f>IF(V5="","",IF(V5&lt;75,0.08,IF(V5&lt;152.4,0.1,IF(V5&lt;304.8,0.13,"Check"))))</f>
        <v/>
      </c>
      <c r="Z5" s="27"/>
      <c r="AI5" s="191" t="e">
        <f t="shared" ref="AI5:AI11" si="3">D$11+J$37+J$28-J$15-J$21+J$9-0.05</f>
        <v>#VALUE!</v>
      </c>
      <c r="AJ5" s="19" t="e">
        <f t="shared" ref="AJ5:AJ11" si="4">D$11+J$37+J$24-J$11</f>
        <v>#VALUE!</v>
      </c>
      <c r="AM5" s="269"/>
    </row>
    <row r="6" spans="1:39" ht="14.4" customHeight="1" x14ac:dyDescent="0.3">
      <c r="A6" s="228" t="s">
        <v>102</v>
      </c>
      <c r="B6" s="228"/>
      <c r="C6" s="252"/>
      <c r="D6" s="253"/>
      <c r="E6" s="254"/>
      <c r="F6" s="27"/>
      <c r="G6" s="238" t="s">
        <v>123</v>
      </c>
      <c r="H6" s="238"/>
      <c r="I6" s="238"/>
      <c r="J6" s="238"/>
      <c r="K6" s="238"/>
      <c r="L6" s="27"/>
      <c r="M6" s="1" t="str">
        <f t="shared" ref="M6:M11" si="5">IF(C$7=$O$3,IF($O5&lt;D$20,IF(D$20&lt;=$O6,C$7,""),""),"")</f>
        <v/>
      </c>
      <c r="O6" s="162">
        <v>93</v>
      </c>
      <c r="P6" s="4">
        <v>875</v>
      </c>
      <c r="Q6" s="7">
        <v>15.093928128287494</v>
      </c>
      <c r="R6" s="18">
        <v>1.206E-4</v>
      </c>
      <c r="S6" s="18">
        <f t="shared" ref="S6:T10" si="6">R6</f>
        <v>1.206E-4</v>
      </c>
      <c r="T6" s="18">
        <f t="shared" si="6"/>
        <v>1.206E-4</v>
      </c>
      <c r="U6" s="24" t="str">
        <f t="shared" si="0"/>
        <v/>
      </c>
      <c r="V6" s="24" t="str">
        <f>IF(M6=O$3,IF(AI6&gt;AJ6,AI6,AJ6),"")</f>
        <v/>
      </c>
      <c r="W6" s="20" t="str">
        <f t="shared" si="2"/>
        <v/>
      </c>
      <c r="X6" s="56" t="str">
        <f t="shared" ref="X6:Y11" si="7">IF(U6="","",IF(U6&lt;75,0.08,IF(U6&lt;152.4,0.1,IF(U6&lt;304.8,0.13,"Check"))))</f>
        <v/>
      </c>
      <c r="Y6" s="56" t="str">
        <f t="shared" si="7"/>
        <v/>
      </c>
      <c r="Z6" s="27"/>
      <c r="AI6" s="191" t="e">
        <f t="shared" si="3"/>
        <v>#VALUE!</v>
      </c>
      <c r="AJ6" s="19" t="e">
        <f t="shared" si="4"/>
        <v>#VALUE!</v>
      </c>
      <c r="AM6" s="269"/>
    </row>
    <row r="7" spans="1:39" ht="14.4" customHeight="1" x14ac:dyDescent="0.3">
      <c r="A7" s="228" t="s">
        <v>52</v>
      </c>
      <c r="B7" s="228"/>
      <c r="C7" s="247"/>
      <c r="D7" s="248"/>
      <c r="E7" s="249"/>
      <c r="F7" s="27"/>
      <c r="G7" s="228" t="s">
        <v>74</v>
      </c>
      <c r="H7" s="228"/>
      <c r="I7" s="29" t="s">
        <v>32</v>
      </c>
      <c r="J7" s="30" t="str">
        <f>IF(C$12="","",VLOOKUP(C$12,O$64:R$73,4,FALSE))</f>
        <v/>
      </c>
      <c r="K7" s="160" t="s">
        <v>150</v>
      </c>
      <c r="L7" s="27"/>
      <c r="M7" s="1" t="str">
        <f t="shared" si="5"/>
        <v/>
      </c>
      <c r="O7" s="162">
        <v>121</v>
      </c>
      <c r="P7" s="4">
        <v>700</v>
      </c>
      <c r="Q7" s="7">
        <v>12.075142502629998</v>
      </c>
      <c r="R7" s="18">
        <v>1.206E-4</v>
      </c>
      <c r="S7" s="18">
        <f t="shared" si="6"/>
        <v>1.206E-4</v>
      </c>
      <c r="T7" s="18">
        <f t="shared" si="6"/>
        <v>1.206E-4</v>
      </c>
      <c r="U7" s="24" t="str">
        <f t="shared" si="0"/>
        <v/>
      </c>
      <c r="V7" s="24" t="str">
        <f t="shared" si="1"/>
        <v/>
      </c>
      <c r="W7" s="20" t="str">
        <f t="shared" si="2"/>
        <v/>
      </c>
      <c r="X7" s="56" t="str">
        <f t="shared" si="7"/>
        <v/>
      </c>
      <c r="Y7" s="56" t="str">
        <f t="shared" si="7"/>
        <v/>
      </c>
      <c r="Z7" s="27"/>
      <c r="AI7" s="191" t="e">
        <f t="shared" si="3"/>
        <v>#VALUE!</v>
      </c>
      <c r="AJ7" s="19" t="e">
        <f t="shared" si="4"/>
        <v>#VALUE!</v>
      </c>
      <c r="AM7" s="269"/>
    </row>
    <row r="8" spans="1:39" ht="14.4" customHeight="1" x14ac:dyDescent="0.3">
      <c r="A8" s="218" t="s">
        <v>163</v>
      </c>
      <c r="B8" s="220"/>
      <c r="C8" s="247"/>
      <c r="D8" s="248"/>
      <c r="E8" s="249"/>
      <c r="F8" s="27"/>
      <c r="G8" s="228" t="s">
        <v>56</v>
      </c>
      <c r="H8" s="228"/>
      <c r="I8" s="14" t="s">
        <v>65</v>
      </c>
      <c r="J8" s="20" t="str">
        <f>IF(D20="","",J9+D11)</f>
        <v/>
      </c>
      <c r="K8" s="160" t="s">
        <v>0</v>
      </c>
      <c r="L8" s="27"/>
      <c r="M8" s="1" t="str">
        <f t="shared" si="5"/>
        <v/>
      </c>
      <c r="O8" s="162">
        <v>149</v>
      </c>
      <c r="P8" s="4">
        <v>630</v>
      </c>
      <c r="Q8" s="7">
        <v>10.817315158606036</v>
      </c>
      <c r="R8" s="18">
        <v>1.206E-4</v>
      </c>
      <c r="S8" s="18">
        <f t="shared" si="6"/>
        <v>1.206E-4</v>
      </c>
      <c r="T8" s="18">
        <f t="shared" si="6"/>
        <v>1.206E-4</v>
      </c>
      <c r="U8" s="24" t="str">
        <f t="shared" si="0"/>
        <v/>
      </c>
      <c r="V8" s="24" t="str">
        <f t="shared" si="1"/>
        <v/>
      </c>
      <c r="W8" s="20" t="str">
        <f t="shared" si="2"/>
        <v/>
      </c>
      <c r="X8" s="56" t="str">
        <f t="shared" si="7"/>
        <v/>
      </c>
      <c r="Y8" s="56" t="str">
        <f t="shared" si="7"/>
        <v/>
      </c>
      <c r="Z8" s="27"/>
      <c r="AI8" s="191" t="e">
        <f t="shared" si="3"/>
        <v>#VALUE!</v>
      </c>
      <c r="AJ8" s="19" t="e">
        <f t="shared" si="4"/>
        <v>#VALUE!</v>
      </c>
      <c r="AM8" s="269"/>
    </row>
    <row r="9" spans="1:39" ht="14.4" customHeight="1" x14ac:dyDescent="0.3">
      <c r="A9" s="221" t="str">
        <f>IF(C8="","",IF(C8="Custom","Clearance",CONCATENATE("Standard Clearance = ",FIXED(J37,2))))</f>
        <v/>
      </c>
      <c r="B9" s="223"/>
      <c r="C9" s="244"/>
      <c r="D9" s="245"/>
      <c r="E9" s="246"/>
      <c r="F9" s="27"/>
      <c r="G9" s="228" t="s">
        <v>69</v>
      </c>
      <c r="H9" s="228"/>
      <c r="I9" s="14" t="s">
        <v>37</v>
      </c>
      <c r="J9" s="20" t="str">
        <f>IF(D20="","",D11*J5*J7)</f>
        <v/>
      </c>
      <c r="K9" s="160" t="s">
        <v>0</v>
      </c>
      <c r="L9" s="27"/>
      <c r="M9" s="1" t="str">
        <f t="shared" si="5"/>
        <v/>
      </c>
      <c r="O9" s="162">
        <v>177</v>
      </c>
      <c r="P9" s="4">
        <v>615</v>
      </c>
      <c r="Q9" s="7">
        <v>10.565749689801246</v>
      </c>
      <c r="R9" s="18">
        <v>1.8000000000000001E-4</v>
      </c>
      <c r="S9" s="18">
        <f t="shared" si="6"/>
        <v>1.8000000000000001E-4</v>
      </c>
      <c r="T9" s="18">
        <f t="shared" si="6"/>
        <v>1.8000000000000001E-4</v>
      </c>
      <c r="U9" s="24" t="str">
        <f t="shared" si="0"/>
        <v/>
      </c>
      <c r="V9" s="24" t="str">
        <f t="shared" si="1"/>
        <v/>
      </c>
      <c r="W9" s="20" t="str">
        <f t="shared" si="2"/>
        <v/>
      </c>
      <c r="X9" s="56" t="str">
        <f t="shared" si="7"/>
        <v/>
      </c>
      <c r="Y9" s="56" t="str">
        <f t="shared" si="7"/>
        <v/>
      </c>
      <c r="Z9" s="27"/>
      <c r="AI9" s="191" t="e">
        <f t="shared" si="3"/>
        <v>#VALUE!</v>
      </c>
      <c r="AJ9" s="19" t="e">
        <f t="shared" si="4"/>
        <v>#VALUE!</v>
      </c>
      <c r="AM9" s="269"/>
    </row>
    <row r="10" spans="1:39" ht="14.4" customHeight="1" x14ac:dyDescent="0.3">
      <c r="A10" s="228" t="s">
        <v>25</v>
      </c>
      <c r="B10" s="5" t="s">
        <v>21</v>
      </c>
      <c r="C10" s="169" t="s">
        <v>130</v>
      </c>
      <c r="D10" s="81"/>
      <c r="E10" s="162" t="s">
        <v>0</v>
      </c>
      <c r="F10" s="27"/>
      <c r="G10" s="228" t="s">
        <v>53</v>
      </c>
      <c r="H10" s="228"/>
      <c r="I10" s="14" t="s">
        <v>61</v>
      </c>
      <c r="J10" s="20" t="str">
        <f>IF(D19="","",D11+J11)</f>
        <v/>
      </c>
      <c r="K10" s="160" t="s">
        <v>0</v>
      </c>
      <c r="L10" s="27"/>
      <c r="M10" s="1" t="str">
        <f t="shared" si="5"/>
        <v/>
      </c>
      <c r="O10" s="162">
        <v>204</v>
      </c>
      <c r="P10" s="4">
        <v>550</v>
      </c>
      <c r="Q10" s="7">
        <v>9.559487814582079</v>
      </c>
      <c r="R10" s="18">
        <v>1.8000000000000001E-4</v>
      </c>
      <c r="S10" s="18">
        <f t="shared" si="6"/>
        <v>1.8000000000000001E-4</v>
      </c>
      <c r="T10" s="18">
        <f t="shared" si="6"/>
        <v>1.8000000000000001E-4</v>
      </c>
      <c r="U10" s="24" t="str">
        <f t="shared" si="0"/>
        <v/>
      </c>
      <c r="V10" s="24" t="str">
        <f t="shared" si="1"/>
        <v/>
      </c>
      <c r="W10" s="20" t="str">
        <f t="shared" si="2"/>
        <v/>
      </c>
      <c r="X10" s="56" t="str">
        <f t="shared" si="7"/>
        <v/>
      </c>
      <c r="Y10" s="56" t="str">
        <f t="shared" si="7"/>
        <v/>
      </c>
      <c r="Z10" s="27"/>
      <c r="AI10" s="191" t="e">
        <f t="shared" si="3"/>
        <v>#VALUE!</v>
      </c>
      <c r="AJ10" s="19" t="e">
        <f t="shared" si="4"/>
        <v>#VALUE!</v>
      </c>
      <c r="AM10" s="269"/>
    </row>
    <row r="11" spans="1:39" ht="14.4" customHeight="1" x14ac:dyDescent="0.3">
      <c r="A11" s="228"/>
      <c r="B11" s="5" t="s">
        <v>22</v>
      </c>
      <c r="C11" s="14" t="s">
        <v>31</v>
      </c>
      <c r="D11" s="81"/>
      <c r="E11" s="162" t="s">
        <v>0</v>
      </c>
      <c r="F11" s="27"/>
      <c r="G11" s="228" t="s">
        <v>70</v>
      </c>
      <c r="H11" s="228"/>
      <c r="I11" s="14" t="s">
        <v>38</v>
      </c>
      <c r="J11" s="20" t="str">
        <f>IF(D19="","",D11*J4*J7)</f>
        <v/>
      </c>
      <c r="K11" s="160" t="s">
        <v>0</v>
      </c>
      <c r="L11" s="27"/>
      <c r="M11" s="1" t="str">
        <f t="shared" si="5"/>
        <v/>
      </c>
      <c r="O11" s="162">
        <v>260</v>
      </c>
      <c r="P11" s="162" t="s">
        <v>85</v>
      </c>
      <c r="Q11" s="162" t="s">
        <v>85</v>
      </c>
      <c r="R11" s="162" t="s">
        <v>85</v>
      </c>
      <c r="S11" s="162" t="s">
        <v>85</v>
      </c>
      <c r="T11" s="162" t="s">
        <v>85</v>
      </c>
      <c r="U11" s="24" t="str">
        <f t="shared" si="0"/>
        <v/>
      </c>
      <c r="V11" s="24" t="str">
        <f t="shared" si="1"/>
        <v/>
      </c>
      <c r="W11" s="20" t="str">
        <f t="shared" si="2"/>
        <v/>
      </c>
      <c r="X11" s="56" t="str">
        <f t="shared" si="7"/>
        <v/>
      </c>
      <c r="Y11" s="56" t="str">
        <f t="shared" si="7"/>
        <v/>
      </c>
      <c r="Z11" s="27"/>
      <c r="AI11" s="191" t="e">
        <f t="shared" si="3"/>
        <v>#VALUE!</v>
      </c>
      <c r="AJ11" s="19" t="e">
        <f t="shared" si="4"/>
        <v>#VALUE!</v>
      </c>
      <c r="AM11" s="269"/>
    </row>
    <row r="12" spans="1:39" ht="14.4" customHeight="1" x14ac:dyDescent="0.3">
      <c r="A12" s="228" t="s">
        <v>27</v>
      </c>
      <c r="B12" s="228"/>
      <c r="C12" s="252"/>
      <c r="D12" s="253"/>
      <c r="E12" s="254"/>
      <c r="F12" s="27"/>
      <c r="G12" s="238" t="s">
        <v>124</v>
      </c>
      <c r="H12" s="238"/>
      <c r="I12" s="238"/>
      <c r="J12" s="238"/>
      <c r="K12" s="238"/>
      <c r="L12" s="27"/>
      <c r="Z12" s="27"/>
      <c r="AG12" s="113" t="s">
        <v>219</v>
      </c>
      <c r="AM12" s="269"/>
    </row>
    <row r="13" spans="1:39" ht="14.4" customHeight="1" x14ac:dyDescent="0.3">
      <c r="A13" s="159" t="str">
        <f>IF(C12="","",IF(C12=O64,"Custom Rotor CTE",CONCATENATE("Rotor CTE = ",(J7*1000000)," X 10")))</f>
        <v/>
      </c>
      <c r="B13" s="170" t="str">
        <f>IF(C12="","",IF(C12=O64,"","-6"))</f>
        <v/>
      </c>
      <c r="C13" s="232"/>
      <c r="D13" s="233"/>
      <c r="E13" s="234"/>
      <c r="F13" s="27"/>
      <c r="G13" s="228" t="s">
        <v>75</v>
      </c>
      <c r="H13" s="228"/>
      <c r="I13" s="29" t="s">
        <v>34</v>
      </c>
      <c r="J13" s="30" t="str">
        <f>IF(C$16="","",VLOOKUP(C$16,O$64:S$73,5,FALSE))</f>
        <v/>
      </c>
      <c r="K13" s="160" t="s">
        <v>150</v>
      </c>
      <c r="L13" s="27"/>
      <c r="O13" s="5" t="s">
        <v>1</v>
      </c>
      <c r="P13" s="208" t="s">
        <v>190</v>
      </c>
      <c r="Q13" s="210"/>
      <c r="R13" s="208" t="s">
        <v>191</v>
      </c>
      <c r="S13" s="209"/>
      <c r="T13" s="210"/>
      <c r="U13" s="208" t="s">
        <v>238</v>
      </c>
      <c r="V13" s="209"/>
      <c r="W13" s="209"/>
      <c r="X13" s="209"/>
      <c r="Y13" s="210"/>
      <c r="Z13" s="27"/>
      <c r="AB13" s="130" t="s">
        <v>203</v>
      </c>
      <c r="AC13" s="129" t="e">
        <f>S15*$J$5*$D$15</f>
        <v>#VALUE!</v>
      </c>
      <c r="AG13" s="193" t="e">
        <f>D18*J5*J33</f>
        <v>#VALUE!</v>
      </c>
      <c r="AI13" s="238" t="s">
        <v>164</v>
      </c>
      <c r="AJ13" s="238"/>
      <c r="AM13" s="269"/>
    </row>
    <row r="14" spans="1:39" ht="14.4" customHeight="1" x14ac:dyDescent="0.3">
      <c r="A14" s="228" t="s">
        <v>24</v>
      </c>
      <c r="B14" s="5" t="s">
        <v>21</v>
      </c>
      <c r="C14" s="169" t="s">
        <v>130</v>
      </c>
      <c r="D14" s="81"/>
      <c r="E14" s="162" t="s">
        <v>0</v>
      </c>
      <c r="F14" s="27"/>
      <c r="G14" s="228" t="s">
        <v>57</v>
      </c>
      <c r="H14" s="228"/>
      <c r="I14" s="14" t="s">
        <v>66</v>
      </c>
      <c r="J14" s="20" t="str">
        <f>IF(D20="","",J15+D15)</f>
        <v/>
      </c>
      <c r="K14" s="160" t="s">
        <v>0</v>
      </c>
      <c r="L14" s="27"/>
      <c r="O14" s="163" t="s">
        <v>151</v>
      </c>
      <c r="P14" s="163" t="s">
        <v>81</v>
      </c>
      <c r="Q14" s="163" t="s">
        <v>82</v>
      </c>
      <c r="R14" s="163" t="s">
        <v>80</v>
      </c>
      <c r="S14" s="163" t="s">
        <v>83</v>
      </c>
      <c r="T14" s="163" t="s">
        <v>84</v>
      </c>
      <c r="U14" s="37" t="s">
        <v>111</v>
      </c>
      <c r="V14" s="37" t="s">
        <v>112</v>
      </c>
      <c r="W14" s="37" t="s">
        <v>113</v>
      </c>
      <c r="X14" s="162" t="s">
        <v>132</v>
      </c>
      <c r="Y14" s="162" t="s">
        <v>133</v>
      </c>
      <c r="Z14" s="27"/>
      <c r="AI14" s="162" t="s">
        <v>60</v>
      </c>
      <c r="AJ14" s="162" t="s">
        <v>59</v>
      </c>
      <c r="AM14" s="269"/>
    </row>
    <row r="15" spans="1:39" ht="14.4" customHeight="1" x14ac:dyDescent="0.3">
      <c r="A15" s="228"/>
      <c r="B15" s="5" t="s">
        <v>22</v>
      </c>
      <c r="C15" s="14" t="s">
        <v>33</v>
      </c>
      <c r="D15" s="81"/>
      <c r="E15" s="162" t="s">
        <v>0</v>
      </c>
      <c r="F15" s="27"/>
      <c r="G15" s="228" t="s">
        <v>71</v>
      </c>
      <c r="H15" s="228"/>
      <c r="I15" s="14" t="s">
        <v>39</v>
      </c>
      <c r="J15" s="20" t="str">
        <f>IF(D20="","",D15*J5*J13)</f>
        <v/>
      </c>
      <c r="K15" s="160" t="s">
        <v>0</v>
      </c>
      <c r="L15" s="27"/>
      <c r="M15" s="113" t="str">
        <f>IF(C$7=$O$13,IF(D$20=24,C$7,""),"")</f>
        <v/>
      </c>
      <c r="N15" s="1" t="str">
        <f>IF(C$7=$O$13,C$7,"")</f>
        <v/>
      </c>
      <c r="O15" s="162">
        <f>O5</f>
        <v>24</v>
      </c>
      <c r="P15" s="4">
        <v>1380</v>
      </c>
      <c r="Q15" s="7">
        <v>49.6</v>
      </c>
      <c r="R15" s="18">
        <v>2.8799999999999999E-5</v>
      </c>
      <c r="S15" s="18">
        <f>R15</f>
        <v>2.8799999999999999E-5</v>
      </c>
      <c r="T15" s="18">
        <f>S15</f>
        <v>2.8799999999999999E-5</v>
      </c>
      <c r="U15" s="24" t="str">
        <f t="shared" ref="U15:U21" si="8">IF(M15=O$13,IF(D$20&gt;121,"Check Temperature",D$14-0.05),"")</f>
        <v/>
      </c>
      <c r="V15" s="24" t="str">
        <f t="shared" ref="V15:V21" si="9">IF(M15=O$13,IF(AI15&gt;AJ15,AI15,AJ15),"")</f>
        <v/>
      </c>
      <c r="W15" s="20" t="str">
        <f t="shared" ref="W15:W21" si="10">IF(M15=O$13,IF(D$20&gt;121,"Check Temp Range",IF(D$20&gt;149,D$18-J$34,D$18)),"")</f>
        <v/>
      </c>
      <c r="X15" s="56" t="str">
        <f>IF(U15="","",IF(U15&lt;75,0.08,IF(U15&lt;152.4,0.1,IF(U15&lt;304.8,0.13,"Check"))))</f>
        <v/>
      </c>
      <c r="Y15" s="56" t="str">
        <f>IF(V15="","",IF(V15&lt;75,0.08,IF(V15&lt;152.4,0.1,IF(V15&lt;304.8,0.13,"Check"))))</f>
        <v/>
      </c>
      <c r="Z15" s="27"/>
      <c r="AI15" s="19" t="e">
        <f>D$11+J$37+J$28-J$15-J$21+J$9-0.05</f>
        <v>#VALUE!</v>
      </c>
      <c r="AJ15" s="19" t="e">
        <f t="shared" ref="AJ15:AJ21" si="11">D$11+J$37+J$24-J$11</f>
        <v>#VALUE!</v>
      </c>
      <c r="AM15" s="269"/>
    </row>
    <row r="16" spans="1:39" ht="14.4" customHeight="1" x14ac:dyDescent="0.3">
      <c r="A16" s="228" t="s">
        <v>28</v>
      </c>
      <c r="B16" s="228"/>
      <c r="C16" s="252"/>
      <c r="D16" s="253"/>
      <c r="E16" s="254"/>
      <c r="F16" s="26"/>
      <c r="G16" s="228" t="s">
        <v>54</v>
      </c>
      <c r="H16" s="228"/>
      <c r="I16" s="14" t="s">
        <v>62</v>
      </c>
      <c r="J16" s="20" t="str">
        <f>IF(D19="","",D15+J17)</f>
        <v/>
      </c>
      <c r="K16" s="160" t="s">
        <v>0</v>
      </c>
      <c r="L16" s="26"/>
      <c r="M16" s="1" t="str">
        <f t="shared" ref="M16:M21" si="12">IF(C$7=$O$13,IF($O15&lt;D$20,IF(D$20&lt;=$O16,C$7,""),""),"")</f>
        <v/>
      </c>
      <c r="O16" s="162">
        <f t="shared" ref="O16:O21" si="13">O6</f>
        <v>93</v>
      </c>
      <c r="P16" s="4">
        <v>1250</v>
      </c>
      <c r="Q16" s="7">
        <v>45</v>
      </c>
      <c r="R16" s="18">
        <v>2.8799999999999999E-5</v>
      </c>
      <c r="S16" s="18">
        <f t="shared" ref="S16:T20" si="14">R16</f>
        <v>2.8799999999999999E-5</v>
      </c>
      <c r="T16" s="18">
        <f t="shared" si="14"/>
        <v>2.8799999999999999E-5</v>
      </c>
      <c r="U16" s="24" t="str">
        <f t="shared" si="8"/>
        <v/>
      </c>
      <c r="V16" s="24" t="str">
        <f t="shared" si="9"/>
        <v/>
      </c>
      <c r="W16" s="20" t="str">
        <f t="shared" si="10"/>
        <v/>
      </c>
      <c r="X16" s="56" t="str">
        <f t="shared" ref="X16:Y21" si="15">IF(U16="","",IF(U16&lt;75,0.08,IF(U16&lt;152.4,0.1,IF(U16&lt;304.8,0.13,"Check"))))</f>
        <v/>
      </c>
      <c r="Y16" s="56" t="str">
        <f t="shared" si="15"/>
        <v/>
      </c>
      <c r="Z16" s="27"/>
      <c r="AI16" s="19" t="e">
        <f t="shared" ref="AI16:AI21" si="16">D$11+J$37+J$28-J$15-J$21+J$9-0.05</f>
        <v>#VALUE!</v>
      </c>
      <c r="AJ16" s="19" t="e">
        <f t="shared" si="11"/>
        <v>#VALUE!</v>
      </c>
      <c r="AM16" s="269"/>
    </row>
    <row r="17" spans="1:39" ht="14.4" customHeight="1" x14ac:dyDescent="0.3">
      <c r="A17" s="159" t="str">
        <f>IF(C16="","",IF(C16=O64,"Custom Stator CTE",CONCATENATE("Stator CTE = ",(J13*1000000)," X 10")))</f>
        <v/>
      </c>
      <c r="B17" s="170" t="str">
        <f>IF(A17="","",IF(C16=O64,"","-6"))</f>
        <v/>
      </c>
      <c r="C17" s="232"/>
      <c r="D17" s="233"/>
      <c r="E17" s="234"/>
      <c r="F17" s="27"/>
      <c r="G17" s="228" t="s">
        <v>72</v>
      </c>
      <c r="H17" s="228"/>
      <c r="I17" s="14" t="s">
        <v>40</v>
      </c>
      <c r="J17" s="20" t="str">
        <f>IF(D19="","",J4*D15*J13)</f>
        <v/>
      </c>
      <c r="K17" s="160" t="s">
        <v>0</v>
      </c>
      <c r="L17" s="27"/>
      <c r="M17" s="1" t="str">
        <f t="shared" si="12"/>
        <v/>
      </c>
      <c r="O17" s="162">
        <f t="shared" si="13"/>
        <v>121</v>
      </c>
      <c r="P17" s="4">
        <v>1200</v>
      </c>
      <c r="Q17" s="7">
        <v>44</v>
      </c>
      <c r="R17" s="18">
        <v>2.8799999999999999E-5</v>
      </c>
      <c r="S17" s="18">
        <f t="shared" si="14"/>
        <v>2.8799999999999999E-5</v>
      </c>
      <c r="T17" s="18">
        <f t="shared" si="14"/>
        <v>2.8799999999999999E-5</v>
      </c>
      <c r="U17" s="24" t="str">
        <f t="shared" si="8"/>
        <v/>
      </c>
      <c r="V17" s="24" t="str">
        <f t="shared" si="9"/>
        <v/>
      </c>
      <c r="W17" s="20" t="str">
        <f t="shared" si="10"/>
        <v/>
      </c>
      <c r="X17" s="56" t="str">
        <f t="shared" si="15"/>
        <v/>
      </c>
      <c r="Y17" s="56" t="str">
        <f t="shared" si="15"/>
        <v/>
      </c>
      <c r="Z17" s="27"/>
      <c r="AI17" s="19" t="e">
        <f t="shared" si="16"/>
        <v>#VALUE!</v>
      </c>
      <c r="AJ17" s="19" t="e">
        <f t="shared" si="11"/>
        <v>#VALUE!</v>
      </c>
      <c r="AM17" s="269"/>
    </row>
    <row r="18" spans="1:39" ht="14.4" customHeight="1" x14ac:dyDescent="0.3">
      <c r="A18" s="5" t="s">
        <v>88</v>
      </c>
      <c r="B18" s="5" t="s">
        <v>21</v>
      </c>
      <c r="C18" s="162" t="s">
        <v>46</v>
      </c>
      <c r="D18" s="81"/>
      <c r="E18" s="162" t="s">
        <v>0</v>
      </c>
      <c r="F18" s="27"/>
      <c r="G18" s="238" t="s">
        <v>125</v>
      </c>
      <c r="H18" s="238"/>
      <c r="I18" s="238"/>
      <c r="J18" s="238"/>
      <c r="K18" s="238"/>
      <c r="L18" s="27"/>
      <c r="M18" s="1" t="str">
        <f t="shared" si="12"/>
        <v/>
      </c>
      <c r="O18" s="162">
        <f t="shared" si="13"/>
        <v>149</v>
      </c>
      <c r="P18" s="4">
        <v>950</v>
      </c>
      <c r="Q18" s="7">
        <v>34</v>
      </c>
      <c r="R18" s="18">
        <v>8.3076923076923074E-5</v>
      </c>
      <c r="S18" s="18">
        <f t="shared" si="14"/>
        <v>8.3076923076923074E-5</v>
      </c>
      <c r="T18" s="18">
        <f t="shared" si="14"/>
        <v>8.3076923076923074E-5</v>
      </c>
      <c r="U18" s="24" t="str">
        <f t="shared" si="8"/>
        <v/>
      </c>
      <c r="V18" s="24" t="str">
        <f t="shared" si="9"/>
        <v/>
      </c>
      <c r="W18" s="20" t="str">
        <f t="shared" si="10"/>
        <v/>
      </c>
      <c r="X18" s="56" t="str">
        <f t="shared" si="15"/>
        <v/>
      </c>
      <c r="Y18" s="56" t="str">
        <f t="shared" si="15"/>
        <v/>
      </c>
      <c r="Z18" s="27"/>
      <c r="AI18" s="19" t="e">
        <f t="shared" si="16"/>
        <v>#VALUE!</v>
      </c>
      <c r="AJ18" s="19" t="e">
        <f t="shared" si="11"/>
        <v>#VALUE!</v>
      </c>
      <c r="AM18" s="269"/>
    </row>
    <row r="19" spans="1:39" ht="14.4" customHeight="1" x14ac:dyDescent="0.3">
      <c r="A19" s="228" t="s">
        <v>154</v>
      </c>
      <c r="B19" s="5" t="s">
        <v>21</v>
      </c>
      <c r="C19" s="162" t="s">
        <v>59</v>
      </c>
      <c r="D19" s="70"/>
      <c r="E19" s="162" t="s">
        <v>149</v>
      </c>
      <c r="F19" s="27"/>
      <c r="G19" s="228" t="s">
        <v>115</v>
      </c>
      <c r="H19" s="228"/>
      <c r="I19" s="29" t="s">
        <v>117</v>
      </c>
      <c r="J19" s="30" t="str">
        <f>IF(D20="","",IF(C$7="","",VLOOKUP(C$7,M$4:T$61,6,FALSE)))</f>
        <v/>
      </c>
      <c r="K19" s="160" t="s">
        <v>150</v>
      </c>
      <c r="L19" s="27"/>
      <c r="M19" s="1" t="str">
        <f t="shared" si="12"/>
        <v/>
      </c>
      <c r="O19" s="162">
        <f t="shared" si="13"/>
        <v>177</v>
      </c>
      <c r="P19" s="4">
        <v>185</v>
      </c>
      <c r="Q19" s="7">
        <v>6.6</v>
      </c>
      <c r="R19" s="18">
        <v>8.3076923076923074E-5</v>
      </c>
      <c r="S19" s="18">
        <f t="shared" si="14"/>
        <v>8.3076923076923074E-5</v>
      </c>
      <c r="T19" s="18">
        <f t="shared" si="14"/>
        <v>8.3076923076923074E-5</v>
      </c>
      <c r="U19" s="24" t="str">
        <f t="shared" si="8"/>
        <v/>
      </c>
      <c r="V19" s="24" t="str">
        <f t="shared" si="9"/>
        <v/>
      </c>
      <c r="W19" s="20" t="str">
        <f t="shared" si="10"/>
        <v/>
      </c>
      <c r="X19" s="56" t="str">
        <f t="shared" si="15"/>
        <v/>
      </c>
      <c r="Y19" s="56" t="str">
        <f t="shared" si="15"/>
        <v/>
      </c>
      <c r="Z19" s="27"/>
      <c r="AI19" s="19" t="e">
        <f t="shared" si="16"/>
        <v>#VALUE!</v>
      </c>
      <c r="AJ19" s="19" t="e">
        <f t="shared" si="11"/>
        <v>#VALUE!</v>
      </c>
      <c r="AM19" s="269"/>
    </row>
    <row r="20" spans="1:39" ht="14.4" customHeight="1" x14ac:dyDescent="0.3">
      <c r="A20" s="228"/>
      <c r="B20" s="5" t="s">
        <v>22</v>
      </c>
      <c r="C20" s="162" t="s">
        <v>60</v>
      </c>
      <c r="D20" s="70"/>
      <c r="E20" s="162" t="s">
        <v>149</v>
      </c>
      <c r="F20" s="27"/>
      <c r="G20" s="228" t="s">
        <v>58</v>
      </c>
      <c r="H20" s="228"/>
      <c r="I20" s="14" t="s">
        <v>68</v>
      </c>
      <c r="J20" s="20" t="str">
        <f>IF(D20="","",J21+D11)</f>
        <v/>
      </c>
      <c r="K20" s="160" t="s">
        <v>0</v>
      </c>
      <c r="L20" s="27"/>
      <c r="M20" s="1" t="str">
        <f t="shared" si="12"/>
        <v/>
      </c>
      <c r="O20" s="162">
        <f t="shared" si="13"/>
        <v>204</v>
      </c>
      <c r="P20" s="4">
        <v>160</v>
      </c>
      <c r="Q20" s="7">
        <v>5.8</v>
      </c>
      <c r="R20" s="18">
        <v>8.3076923076923074E-5</v>
      </c>
      <c r="S20" s="18">
        <f t="shared" si="14"/>
        <v>8.3076923076923074E-5</v>
      </c>
      <c r="T20" s="18">
        <f t="shared" si="14"/>
        <v>8.3076923076923074E-5</v>
      </c>
      <c r="U20" s="24" t="str">
        <f t="shared" si="8"/>
        <v/>
      </c>
      <c r="V20" s="24" t="str">
        <f t="shared" si="9"/>
        <v/>
      </c>
      <c r="W20" s="20" t="str">
        <f t="shared" si="10"/>
        <v/>
      </c>
      <c r="X20" s="56" t="str">
        <f t="shared" si="15"/>
        <v/>
      </c>
      <c r="Y20" s="56" t="str">
        <f t="shared" si="15"/>
        <v/>
      </c>
      <c r="Z20" s="27"/>
      <c r="AI20" s="19" t="e">
        <f t="shared" si="16"/>
        <v>#VALUE!</v>
      </c>
      <c r="AJ20" s="19" t="e">
        <f t="shared" si="11"/>
        <v>#VALUE!</v>
      </c>
      <c r="AM20" s="269"/>
    </row>
    <row r="21" spans="1:39" ht="14.4" customHeight="1" x14ac:dyDescent="0.3">
      <c r="A21" s="235"/>
      <c r="B21" s="235"/>
      <c r="C21" s="235"/>
      <c r="D21" s="235"/>
      <c r="E21" s="235"/>
      <c r="F21" s="27"/>
      <c r="G21" s="228" t="s">
        <v>50</v>
      </c>
      <c r="H21" s="228"/>
      <c r="I21" s="14" t="s">
        <v>43</v>
      </c>
      <c r="J21" s="115" t="str">
        <f>IF(D20="","",VLOOKUP(C7,O3:AC61,15,FALSE))</f>
        <v/>
      </c>
      <c r="K21" s="160" t="s">
        <v>0</v>
      </c>
      <c r="L21" s="27"/>
      <c r="M21" s="1" t="str">
        <f t="shared" si="12"/>
        <v/>
      </c>
      <c r="O21" s="162">
        <f t="shared" si="13"/>
        <v>260</v>
      </c>
      <c r="P21" s="4">
        <v>106</v>
      </c>
      <c r="Q21" s="7">
        <v>3.8</v>
      </c>
      <c r="R21" s="18">
        <v>8.3076923076923074E-5</v>
      </c>
      <c r="S21" s="18">
        <f>R21</f>
        <v>8.3076923076923074E-5</v>
      </c>
      <c r="T21" s="18">
        <f>S21</f>
        <v>8.3076923076923074E-5</v>
      </c>
      <c r="U21" s="24" t="str">
        <f t="shared" si="8"/>
        <v/>
      </c>
      <c r="V21" s="24" t="str">
        <f t="shared" si="9"/>
        <v/>
      </c>
      <c r="W21" s="20" t="str">
        <f t="shared" si="10"/>
        <v/>
      </c>
      <c r="X21" s="56" t="str">
        <f t="shared" si="15"/>
        <v/>
      </c>
      <c r="Y21" s="56" t="str">
        <f t="shared" si="15"/>
        <v/>
      </c>
      <c r="Z21" s="27"/>
      <c r="AI21" s="19" t="e">
        <f t="shared" si="16"/>
        <v>#VALUE!</v>
      </c>
      <c r="AJ21" s="19" t="e">
        <f t="shared" si="11"/>
        <v>#VALUE!</v>
      </c>
      <c r="AM21" s="269"/>
    </row>
    <row r="22" spans="1:39" ht="14.4" customHeight="1" x14ac:dyDescent="0.3">
      <c r="A22" s="208" t="s">
        <v>110</v>
      </c>
      <c r="B22" s="209"/>
      <c r="C22" s="210"/>
      <c r="D22" s="162" t="s">
        <v>0</v>
      </c>
      <c r="E22" s="162" t="s">
        <v>135</v>
      </c>
      <c r="F22" s="27"/>
      <c r="G22" s="228" t="s">
        <v>116</v>
      </c>
      <c r="H22" s="228"/>
      <c r="I22" s="29" t="s">
        <v>118</v>
      </c>
      <c r="J22" s="30" t="str">
        <f>IF(C$7="","",VLOOKUP(C$7,N$4:T$61,5,FALSE))</f>
        <v/>
      </c>
      <c r="K22" s="160" t="s">
        <v>150</v>
      </c>
      <c r="L22" s="27"/>
      <c r="Z22" s="27"/>
      <c r="AG22" s="113" t="s">
        <v>219</v>
      </c>
      <c r="AM22" s="269"/>
    </row>
    <row r="23" spans="1:39" ht="14.4" customHeight="1" x14ac:dyDescent="0.3">
      <c r="A23" s="218" t="s">
        <v>131</v>
      </c>
      <c r="B23" s="219"/>
      <c r="C23" s="220"/>
      <c r="D23" s="57" t="str">
        <f>IF(J26="","",VLOOKUP(C$7,M3:W61,9,FALSE))</f>
        <v/>
      </c>
      <c r="E23" s="180" t="str">
        <f>IF(D23="","",CONCATENATE("-",FIXED(VLOOKUP(C$7,M5:Y61,12,FALSE),2)))</f>
        <v/>
      </c>
      <c r="F23" s="27"/>
      <c r="G23" s="228" t="s">
        <v>55</v>
      </c>
      <c r="H23" s="228"/>
      <c r="I23" s="14" t="s">
        <v>64</v>
      </c>
      <c r="J23" s="20" t="str">
        <f>IF(D19="","",D11+J24)</f>
        <v/>
      </c>
      <c r="K23" s="160" t="s">
        <v>0</v>
      </c>
      <c r="L23" s="27"/>
      <c r="O23" s="5" t="s">
        <v>79</v>
      </c>
      <c r="P23" s="208" t="s">
        <v>190</v>
      </c>
      <c r="Q23" s="210"/>
      <c r="R23" s="208" t="s">
        <v>191</v>
      </c>
      <c r="S23" s="209"/>
      <c r="T23" s="210"/>
      <c r="U23" s="208" t="s">
        <v>238</v>
      </c>
      <c r="V23" s="209"/>
      <c r="W23" s="209"/>
      <c r="X23" s="209"/>
      <c r="Y23" s="210"/>
      <c r="Z23" s="27"/>
      <c r="AB23" s="130" t="s">
        <v>203</v>
      </c>
      <c r="AC23" s="129" t="e">
        <f>S25*$J$5*$D$15</f>
        <v>#VALUE!</v>
      </c>
      <c r="AG23" s="193" t="e">
        <f>D18*J5*J33</f>
        <v>#VALUE!</v>
      </c>
      <c r="AI23" s="238" t="s">
        <v>164</v>
      </c>
      <c r="AJ23" s="238"/>
      <c r="AM23" s="269"/>
    </row>
    <row r="24" spans="1:39" ht="14.4" customHeight="1" x14ac:dyDescent="0.3">
      <c r="A24" s="218" t="s">
        <v>137</v>
      </c>
      <c r="B24" s="219"/>
      <c r="C24" s="220"/>
      <c r="D24" s="57" t="str">
        <f>IF(J19="","",VLOOKUP(C$7,M3:W61,10,FALSE))</f>
        <v/>
      </c>
      <c r="E24" s="180" t="str">
        <f>IF(D24="","",CONCATENATE("+",FIXED(VLOOKUP(C$7,M5:Y61,13,FALSE),2)))</f>
        <v/>
      </c>
      <c r="F24" s="27"/>
      <c r="G24" s="228" t="s">
        <v>51</v>
      </c>
      <c r="H24" s="228"/>
      <c r="I24" s="14" t="s">
        <v>44</v>
      </c>
      <c r="J24" s="20" t="str">
        <f>IF(D19="","",J4*D11*J22)</f>
        <v/>
      </c>
      <c r="K24" s="160" t="s">
        <v>0</v>
      </c>
      <c r="L24" s="27"/>
      <c r="O24" s="163" t="s">
        <v>151</v>
      </c>
      <c r="P24" s="162" t="s">
        <v>81</v>
      </c>
      <c r="Q24" s="162" t="s">
        <v>82</v>
      </c>
      <c r="R24" s="162" t="s">
        <v>80</v>
      </c>
      <c r="S24" s="162" t="s">
        <v>83</v>
      </c>
      <c r="T24" s="162" t="s">
        <v>84</v>
      </c>
      <c r="U24" s="5" t="s">
        <v>111</v>
      </c>
      <c r="V24" s="5" t="s">
        <v>112</v>
      </c>
      <c r="W24" s="5" t="s">
        <v>113</v>
      </c>
      <c r="X24" s="162" t="s">
        <v>132</v>
      </c>
      <c r="Y24" s="162" t="s">
        <v>133</v>
      </c>
      <c r="Z24" s="27"/>
      <c r="AI24" s="162" t="s">
        <v>60</v>
      </c>
      <c r="AJ24" s="162" t="s">
        <v>59</v>
      </c>
      <c r="AM24" s="269"/>
    </row>
    <row r="25" spans="1:39" ht="14.4" customHeight="1" x14ac:dyDescent="0.3">
      <c r="A25" s="218" t="s">
        <v>136</v>
      </c>
      <c r="B25" s="219"/>
      <c r="C25" s="220"/>
      <c r="D25" s="57" t="str">
        <f>IF(J33="","",VLOOKUP(C$7,M3:W61,11,FALSE))</f>
        <v/>
      </c>
      <c r="E25" s="46" t="str">
        <f>IF(D25="","","-.25")</f>
        <v/>
      </c>
      <c r="F25" s="27"/>
      <c r="G25" s="238" t="s">
        <v>126</v>
      </c>
      <c r="H25" s="238"/>
      <c r="I25" s="238"/>
      <c r="J25" s="238"/>
      <c r="K25" s="238"/>
      <c r="L25" s="27"/>
      <c r="M25" s="113" t="str">
        <f>IF(C$7=$O$23,IF(D$20=24,C$7,""),"")</f>
        <v/>
      </c>
      <c r="N25" s="1" t="str">
        <f>IF(C$7=$O$23,C$7,"")</f>
        <v/>
      </c>
      <c r="O25" s="162">
        <f>O15</f>
        <v>24</v>
      </c>
      <c r="P25" s="4">
        <v>2750</v>
      </c>
      <c r="Q25" s="7">
        <v>162</v>
      </c>
      <c r="R25" s="18">
        <v>2.8799999999999999E-5</v>
      </c>
      <c r="S25" s="18">
        <f>R25</f>
        <v>2.8799999999999999E-5</v>
      </c>
      <c r="T25" s="18">
        <f>S25</f>
        <v>2.8799999999999999E-5</v>
      </c>
      <c r="U25" s="24" t="str">
        <f t="shared" ref="U25:U31" si="17">IF(M25=O$23,IF(D$20&gt;135,"Check Temperature",D$14-0.05),"")</f>
        <v/>
      </c>
      <c r="V25" s="24" t="str">
        <f t="shared" ref="V25:V31" si="18">IF(M25=O$23,IF(AI25&gt;AJ25,AI25,AJ25),"")</f>
        <v/>
      </c>
      <c r="W25" s="20" t="str">
        <f t="shared" ref="W25:W31" si="19">IF(M25=O$23,IF(D$20&gt;135,"Check Temp Range",IF(D$20&gt;149,D$18-J$34,D$18)),"")</f>
        <v/>
      </c>
      <c r="X25" s="56" t="str">
        <f>IF(U25="","",IF(U25&lt;75,0.08,IF(U25&lt;152.4,0.13,IF(U25&lt;304.8,0.15,"Check"))))</f>
        <v/>
      </c>
      <c r="Y25" s="56" t="str">
        <f>IF(V25="","",IF(V25&lt;75,0.08,IF(V25&lt;152.4,0.13,IF(V25&lt;304.8,0.15,"Check"))))</f>
        <v/>
      </c>
      <c r="Z25" s="27"/>
      <c r="AI25" s="19" t="e">
        <f>D$11+J$37+J$28-J$15-J$21+J$9-0.05</f>
        <v>#VALUE!</v>
      </c>
      <c r="AJ25" s="19" t="e">
        <f t="shared" ref="AJ25:AJ31" si="20">D$11+J$37+J$24-J$11</f>
        <v>#VALUE!</v>
      </c>
      <c r="AM25" s="269"/>
    </row>
    <row r="26" spans="1:39" ht="14.4" customHeight="1" x14ac:dyDescent="0.3">
      <c r="A26" s="217"/>
      <c r="B26" s="217"/>
      <c r="C26" s="217"/>
      <c r="D26" s="217"/>
      <c r="E26" s="217"/>
      <c r="F26" s="27"/>
      <c r="G26" s="228" t="s">
        <v>122</v>
      </c>
      <c r="H26" s="228"/>
      <c r="I26" s="29" t="s">
        <v>119</v>
      </c>
      <c r="J26" s="30" t="str">
        <f>IF(D20="","",IF(C$7="","",VLOOKUP(C$7,M$4:T$61,7,FALSE)))</f>
        <v/>
      </c>
      <c r="K26" s="160" t="s">
        <v>150</v>
      </c>
      <c r="L26" s="27"/>
      <c r="M26" s="1" t="str">
        <f t="shared" ref="M26:M31" si="21">IF(C$7=$O$23,IF($O25&lt;D$20,IF(D$20&lt;=$O26,C$7,""),""),"")</f>
        <v/>
      </c>
      <c r="O26" s="162">
        <f t="shared" ref="O26:O31" si="22">O16</f>
        <v>93</v>
      </c>
      <c r="P26" s="4">
        <v>2500</v>
      </c>
      <c r="Q26" s="7">
        <v>147</v>
      </c>
      <c r="R26" s="18">
        <v>2.8799999999999999E-5</v>
      </c>
      <c r="S26" s="18">
        <f t="shared" ref="S26:T30" si="23">R26</f>
        <v>2.8799999999999999E-5</v>
      </c>
      <c r="T26" s="18">
        <f t="shared" si="23"/>
        <v>2.8799999999999999E-5</v>
      </c>
      <c r="U26" s="24" t="str">
        <f t="shared" si="17"/>
        <v/>
      </c>
      <c r="V26" s="24" t="str">
        <f t="shared" si="18"/>
        <v/>
      </c>
      <c r="W26" s="20" t="str">
        <f t="shared" si="19"/>
        <v/>
      </c>
      <c r="X26" s="56" t="str">
        <f t="shared" ref="X26:Y31" si="24">IF(U26="","",IF(U26&lt;75,0.08,IF(U26&lt;152.4,0.13,IF(U26&lt;304.8,0.15,"Check"))))</f>
        <v/>
      </c>
      <c r="Y26" s="56" t="str">
        <f t="shared" si="24"/>
        <v/>
      </c>
      <c r="Z26" s="27"/>
      <c r="AI26" s="19" t="e">
        <f t="shared" ref="AI26:AI31" si="25">D$11+J$37+J$28-J$15-J$21+J$9-0.05</f>
        <v>#VALUE!</v>
      </c>
      <c r="AJ26" s="19" t="e">
        <f t="shared" si="20"/>
        <v>#VALUE!</v>
      </c>
      <c r="AM26" s="269"/>
    </row>
    <row r="27" spans="1:39" ht="14.4" customHeight="1" x14ac:dyDescent="0.3">
      <c r="A27" s="227" t="s">
        <v>147</v>
      </c>
      <c r="B27" s="243"/>
      <c r="C27" s="243"/>
      <c r="D27" s="243"/>
      <c r="E27" s="243"/>
      <c r="F27" s="27"/>
      <c r="G27" s="228" t="s">
        <v>217</v>
      </c>
      <c r="H27" s="228"/>
      <c r="I27" s="14" t="s">
        <v>67</v>
      </c>
      <c r="J27" s="20" t="str">
        <f>IF(D20="","",J28+J14)</f>
        <v/>
      </c>
      <c r="K27" s="160" t="s">
        <v>0</v>
      </c>
      <c r="L27" s="27"/>
      <c r="M27" s="1" t="str">
        <f t="shared" si="21"/>
        <v/>
      </c>
      <c r="O27" s="162">
        <f t="shared" si="22"/>
        <v>121</v>
      </c>
      <c r="P27" s="4">
        <v>2450</v>
      </c>
      <c r="Q27" s="7">
        <v>144</v>
      </c>
      <c r="R27" s="18">
        <v>2.8799999999999999E-5</v>
      </c>
      <c r="S27" s="18">
        <f t="shared" si="23"/>
        <v>2.8799999999999999E-5</v>
      </c>
      <c r="T27" s="18">
        <f t="shared" si="23"/>
        <v>2.8799999999999999E-5</v>
      </c>
      <c r="U27" s="24" t="str">
        <f t="shared" si="17"/>
        <v/>
      </c>
      <c r="V27" s="24" t="str">
        <f t="shared" si="18"/>
        <v/>
      </c>
      <c r="W27" s="20" t="str">
        <f t="shared" si="19"/>
        <v/>
      </c>
      <c r="X27" s="56" t="str">
        <f t="shared" si="24"/>
        <v/>
      </c>
      <c r="Y27" s="56" t="str">
        <f t="shared" si="24"/>
        <v/>
      </c>
      <c r="Z27" s="27"/>
      <c r="AI27" s="19" t="e">
        <f t="shared" si="25"/>
        <v>#VALUE!</v>
      </c>
      <c r="AJ27" s="19" t="e">
        <f t="shared" si="20"/>
        <v>#VALUE!</v>
      </c>
      <c r="AM27" s="269"/>
    </row>
    <row r="28" spans="1:39" ht="14.4" customHeight="1" x14ac:dyDescent="0.3">
      <c r="A28" s="218" t="str">
        <f>IF($C$6="","",HLOOKUP(C6,O89:R92,VLOOKUP(C5,O90:S92,5,FALSE),FALSE))</f>
        <v/>
      </c>
      <c r="B28" s="219"/>
      <c r="C28" s="219"/>
      <c r="D28" s="219"/>
      <c r="E28" s="220"/>
      <c r="F28" s="27"/>
      <c r="G28" s="228" t="s">
        <v>48</v>
      </c>
      <c r="H28" s="228"/>
      <c r="I28" s="14" t="s">
        <v>41</v>
      </c>
      <c r="J28" s="115" t="str">
        <f>IF(D23="","",VLOOKUP(C7,O3:AG61,17,FALSE))</f>
        <v/>
      </c>
      <c r="K28" s="160" t="s">
        <v>0</v>
      </c>
      <c r="L28" s="27"/>
      <c r="M28" s="1" t="str">
        <f t="shared" si="21"/>
        <v/>
      </c>
      <c r="O28" s="162">
        <f t="shared" si="22"/>
        <v>149</v>
      </c>
      <c r="P28" s="4">
        <v>1900</v>
      </c>
      <c r="Q28" s="7">
        <v>110</v>
      </c>
      <c r="R28" s="18">
        <v>8.3076923076923074E-5</v>
      </c>
      <c r="S28" s="18">
        <f t="shared" si="23"/>
        <v>8.3076923076923074E-5</v>
      </c>
      <c r="T28" s="18">
        <f t="shared" si="23"/>
        <v>8.3076923076923074E-5</v>
      </c>
      <c r="U28" s="24" t="str">
        <f t="shared" si="17"/>
        <v/>
      </c>
      <c r="V28" s="24" t="str">
        <f t="shared" si="18"/>
        <v/>
      </c>
      <c r="W28" s="20" t="str">
        <f t="shared" si="19"/>
        <v/>
      </c>
      <c r="X28" s="56" t="str">
        <f t="shared" si="24"/>
        <v/>
      </c>
      <c r="Y28" s="56" t="str">
        <f t="shared" si="24"/>
        <v/>
      </c>
      <c r="Z28" s="27"/>
      <c r="AI28" s="19" t="e">
        <f t="shared" si="25"/>
        <v>#VALUE!</v>
      </c>
      <c r="AJ28" s="19" t="e">
        <f t="shared" si="20"/>
        <v>#VALUE!</v>
      </c>
      <c r="AM28" s="269"/>
    </row>
    <row r="29" spans="1:39" ht="14.4" customHeight="1" x14ac:dyDescent="0.3">
      <c r="A29" s="218" t="str">
        <f>IF(D24="","",IF((D23-D24)&gt;0.6,"","Check cross section thickness"))</f>
        <v/>
      </c>
      <c r="B29" s="219"/>
      <c r="C29" s="219"/>
      <c r="D29" s="219"/>
      <c r="E29" s="220"/>
      <c r="F29" s="27"/>
      <c r="G29" s="228" t="s">
        <v>121</v>
      </c>
      <c r="H29" s="228"/>
      <c r="I29" s="29" t="s">
        <v>120</v>
      </c>
      <c r="J29" s="30" t="str">
        <f>IF(C$7="","",VLOOKUP(C$7,N$4:T$61,6,FALSE))</f>
        <v/>
      </c>
      <c r="K29" s="160" t="s">
        <v>150</v>
      </c>
      <c r="L29" s="27"/>
      <c r="M29" s="1" t="str">
        <f t="shared" si="21"/>
        <v/>
      </c>
      <c r="O29" s="162">
        <f t="shared" si="22"/>
        <v>177</v>
      </c>
      <c r="P29" s="4">
        <v>365</v>
      </c>
      <c r="Q29" s="7">
        <v>21.7</v>
      </c>
      <c r="R29" s="18">
        <v>8.3076923076923074E-5</v>
      </c>
      <c r="S29" s="18">
        <f t="shared" si="23"/>
        <v>8.3076923076923074E-5</v>
      </c>
      <c r="T29" s="18">
        <f t="shared" si="23"/>
        <v>8.3076923076923074E-5</v>
      </c>
      <c r="U29" s="24" t="str">
        <f t="shared" si="17"/>
        <v/>
      </c>
      <c r="V29" s="24" t="str">
        <f t="shared" si="18"/>
        <v/>
      </c>
      <c r="W29" s="20" t="str">
        <f t="shared" si="19"/>
        <v/>
      </c>
      <c r="X29" s="56" t="str">
        <f t="shared" si="24"/>
        <v/>
      </c>
      <c r="Y29" s="56" t="str">
        <f t="shared" si="24"/>
        <v/>
      </c>
      <c r="Z29" s="27"/>
      <c r="AI29" s="19" t="e">
        <f t="shared" si="25"/>
        <v>#VALUE!</v>
      </c>
      <c r="AJ29" s="19" t="e">
        <f t="shared" si="20"/>
        <v>#VALUE!</v>
      </c>
      <c r="AM29" s="269"/>
    </row>
    <row r="30" spans="1:39" ht="14.4" customHeight="1" x14ac:dyDescent="0.3">
      <c r="A30" s="263" t="s">
        <v>148</v>
      </c>
      <c r="B30" s="235"/>
      <c r="C30" s="235"/>
      <c r="D30" s="235"/>
      <c r="E30" s="235"/>
      <c r="F30" s="27"/>
      <c r="G30" s="228" t="s">
        <v>218</v>
      </c>
      <c r="H30" s="228"/>
      <c r="I30" s="14" t="s">
        <v>63</v>
      </c>
      <c r="J30" s="20" t="str">
        <f>IF(D19="","",J36+J16)</f>
        <v/>
      </c>
      <c r="K30" s="160" t="s">
        <v>0</v>
      </c>
      <c r="L30" s="27"/>
      <c r="M30" s="1" t="str">
        <f t="shared" si="21"/>
        <v/>
      </c>
      <c r="O30" s="162">
        <f t="shared" si="22"/>
        <v>204</v>
      </c>
      <c r="P30" s="4">
        <v>320</v>
      </c>
      <c r="Q30" s="7">
        <v>18.8</v>
      </c>
      <c r="R30" s="18">
        <v>8.3076923076923074E-5</v>
      </c>
      <c r="S30" s="18">
        <f t="shared" si="23"/>
        <v>8.3076923076923074E-5</v>
      </c>
      <c r="T30" s="18">
        <f t="shared" si="23"/>
        <v>8.3076923076923074E-5</v>
      </c>
      <c r="U30" s="24" t="str">
        <f t="shared" si="17"/>
        <v/>
      </c>
      <c r="V30" s="24" t="str">
        <f t="shared" si="18"/>
        <v/>
      </c>
      <c r="W30" s="20" t="str">
        <f t="shared" si="19"/>
        <v/>
      </c>
      <c r="X30" s="56" t="str">
        <f t="shared" si="24"/>
        <v/>
      </c>
      <c r="Y30" s="56" t="str">
        <f t="shared" si="24"/>
        <v/>
      </c>
      <c r="Z30" s="27"/>
      <c r="AI30" s="19" t="e">
        <f t="shared" si="25"/>
        <v>#VALUE!</v>
      </c>
      <c r="AJ30" s="19" t="e">
        <f t="shared" si="20"/>
        <v>#VALUE!</v>
      </c>
      <c r="AM30" s="269"/>
    </row>
    <row r="31" spans="1:39" ht="14.4" customHeight="1" x14ac:dyDescent="0.3">
      <c r="A31" s="224"/>
      <c r="B31" s="225"/>
      <c r="C31" s="225"/>
      <c r="D31" s="225"/>
      <c r="E31" s="226"/>
      <c r="F31" s="27"/>
      <c r="G31" s="228" t="s">
        <v>49</v>
      </c>
      <c r="H31" s="228"/>
      <c r="I31" s="14" t="s">
        <v>42</v>
      </c>
      <c r="J31" s="102" t="str">
        <f>IF(D19="","",J4*D15*J29)</f>
        <v/>
      </c>
      <c r="K31" s="160" t="s">
        <v>0</v>
      </c>
      <c r="L31" s="27"/>
      <c r="M31" s="1" t="str">
        <f t="shared" si="21"/>
        <v/>
      </c>
      <c r="O31" s="162">
        <f t="shared" si="22"/>
        <v>260</v>
      </c>
      <c r="P31" s="4">
        <v>200</v>
      </c>
      <c r="Q31" s="7">
        <v>12.5</v>
      </c>
      <c r="R31" s="18">
        <v>8.3076923076923074E-5</v>
      </c>
      <c r="S31" s="18">
        <f>R31</f>
        <v>8.3076923076923074E-5</v>
      </c>
      <c r="T31" s="18">
        <f>S31</f>
        <v>8.3076923076923074E-5</v>
      </c>
      <c r="U31" s="24" t="str">
        <f t="shared" si="17"/>
        <v/>
      </c>
      <c r="V31" s="24" t="str">
        <f t="shared" si="18"/>
        <v/>
      </c>
      <c r="W31" s="20" t="str">
        <f t="shared" si="19"/>
        <v/>
      </c>
      <c r="X31" s="56" t="str">
        <f t="shared" si="24"/>
        <v/>
      </c>
      <c r="Y31" s="56" t="str">
        <f t="shared" si="24"/>
        <v/>
      </c>
      <c r="Z31" s="27"/>
      <c r="AI31" s="19" t="e">
        <f t="shared" si="25"/>
        <v>#VALUE!</v>
      </c>
      <c r="AJ31" s="19" t="e">
        <f t="shared" si="20"/>
        <v>#VALUE!</v>
      </c>
      <c r="AM31" s="269"/>
    </row>
    <row r="32" spans="1:39" ht="14.4" customHeight="1" x14ac:dyDescent="0.3">
      <c r="A32" s="214"/>
      <c r="B32" s="215"/>
      <c r="C32" s="215"/>
      <c r="D32" s="215"/>
      <c r="E32" s="216"/>
      <c r="F32" s="27"/>
      <c r="G32" s="238" t="s">
        <v>127</v>
      </c>
      <c r="H32" s="238"/>
      <c r="I32" s="238"/>
      <c r="J32" s="238"/>
      <c r="K32" s="238"/>
      <c r="L32" s="27"/>
      <c r="Z32" s="27"/>
      <c r="AA32" s="27"/>
      <c r="AB32" s="27"/>
      <c r="AC32" s="27"/>
      <c r="AD32" s="27"/>
      <c r="AE32" s="27"/>
      <c r="AF32" s="27"/>
      <c r="AG32" s="27"/>
      <c r="AH32" s="27"/>
      <c r="AM32" s="269"/>
    </row>
    <row r="33" spans="1:39" ht="14.4" customHeight="1" x14ac:dyDescent="0.3">
      <c r="A33" s="214"/>
      <c r="B33" s="215"/>
      <c r="C33" s="215"/>
      <c r="D33" s="215"/>
      <c r="E33" s="216"/>
      <c r="F33" s="27"/>
      <c r="G33" s="228" t="s">
        <v>76</v>
      </c>
      <c r="H33" s="228"/>
      <c r="I33" s="29" t="s">
        <v>47</v>
      </c>
      <c r="J33" s="30" t="str">
        <f>IF(D20="","",IF(C$7="","",VLOOKUP(C$7,M$4:T$61,8,FALSE)))</f>
        <v/>
      </c>
      <c r="K33" s="160" t="s">
        <v>150</v>
      </c>
      <c r="L33" s="27"/>
      <c r="O33" s="5" t="s">
        <v>2</v>
      </c>
      <c r="P33" s="208" t="s">
        <v>190</v>
      </c>
      <c r="Q33" s="210"/>
      <c r="R33" s="208" t="s">
        <v>191</v>
      </c>
      <c r="S33" s="209"/>
      <c r="T33" s="210"/>
      <c r="U33" s="208" t="s">
        <v>238</v>
      </c>
      <c r="V33" s="209"/>
      <c r="W33" s="209"/>
      <c r="X33" s="209"/>
      <c r="Y33" s="210"/>
      <c r="Z33" s="27"/>
      <c r="AA33" s="1" t="s">
        <v>192</v>
      </c>
      <c r="AB33" s="1"/>
      <c r="AC33" s="1">
        <f>AC42</f>
        <v>0</v>
      </c>
      <c r="AE33" s="1">
        <f>AE42</f>
        <v>0</v>
      </c>
      <c r="AG33" s="1">
        <f>AG42</f>
        <v>0</v>
      </c>
      <c r="AH33" s="27"/>
      <c r="AI33" s="238" t="s">
        <v>164</v>
      </c>
      <c r="AJ33" s="238"/>
      <c r="AM33" s="269"/>
    </row>
    <row r="34" spans="1:39" ht="14.4" customHeight="1" x14ac:dyDescent="0.3">
      <c r="A34" s="214"/>
      <c r="B34" s="215"/>
      <c r="C34" s="215"/>
      <c r="D34" s="215"/>
      <c r="E34" s="216"/>
      <c r="F34" s="27"/>
      <c r="G34" s="228" t="s">
        <v>73</v>
      </c>
      <c r="H34" s="228"/>
      <c r="I34" s="14" t="s">
        <v>77</v>
      </c>
      <c r="J34" s="115" t="str">
        <f>IF(J33="","",VLOOKUP(C$7,O3:AG61,19,FALSE))</f>
        <v/>
      </c>
      <c r="K34" s="160" t="s">
        <v>0</v>
      </c>
      <c r="L34" s="27"/>
      <c r="O34" s="163" t="s">
        <v>151</v>
      </c>
      <c r="P34" s="163" t="s">
        <v>81</v>
      </c>
      <c r="Q34" s="163" t="s">
        <v>82</v>
      </c>
      <c r="R34" s="163" t="s">
        <v>80</v>
      </c>
      <c r="S34" s="163" t="s">
        <v>83</v>
      </c>
      <c r="T34" s="163" t="s">
        <v>84</v>
      </c>
      <c r="U34" s="37" t="s">
        <v>111</v>
      </c>
      <c r="V34" s="37" t="s">
        <v>112</v>
      </c>
      <c r="W34" s="37" t="s">
        <v>113</v>
      </c>
      <c r="X34" s="162" t="s">
        <v>132</v>
      </c>
      <c r="Y34" s="162" t="s">
        <v>133</v>
      </c>
      <c r="Z34" s="27"/>
      <c r="AA34" s="162" t="s">
        <v>189</v>
      </c>
      <c r="AB34" s="162" t="s">
        <v>80</v>
      </c>
      <c r="AC34" s="162" t="s">
        <v>193</v>
      </c>
      <c r="AD34" s="162" t="s">
        <v>83</v>
      </c>
      <c r="AE34" s="162" t="s">
        <v>193</v>
      </c>
      <c r="AF34" s="162" t="s">
        <v>84</v>
      </c>
      <c r="AG34" s="162" t="s">
        <v>193</v>
      </c>
      <c r="AH34" s="27"/>
      <c r="AI34" s="162" t="s">
        <v>60</v>
      </c>
      <c r="AJ34" s="162" t="s">
        <v>59</v>
      </c>
      <c r="AM34" s="269"/>
    </row>
    <row r="35" spans="1:39" ht="14.4" customHeight="1" x14ac:dyDescent="0.3">
      <c r="A35" s="214"/>
      <c r="B35" s="215"/>
      <c r="C35" s="215"/>
      <c r="D35" s="215"/>
      <c r="E35" s="216"/>
      <c r="F35" s="27"/>
      <c r="G35" s="238" t="s">
        <v>128</v>
      </c>
      <c r="H35" s="238"/>
      <c r="I35" s="238"/>
      <c r="J35" s="238"/>
      <c r="K35" s="238"/>
      <c r="L35" s="27"/>
      <c r="M35" s="176" t="str">
        <f>IF(C$7=$O$33,IF(D$20=24,C$7,""),"")</f>
        <v/>
      </c>
      <c r="N35" s="1" t="str">
        <f>IF(C$7=$O$33,C$7,"")</f>
        <v/>
      </c>
      <c r="O35" s="162">
        <f>O25</f>
        <v>24</v>
      </c>
      <c r="P35" s="4">
        <v>124105.63127703052</v>
      </c>
      <c r="Q35" s="4">
        <v>1358.2671867541674</v>
      </c>
      <c r="R35" s="18">
        <v>-3.4740000000000005E-6</v>
      </c>
      <c r="S35" s="18">
        <v>3.0240000000000002E-6</v>
      </c>
      <c r="T35" s="18">
        <v>4.6799999999999999E-5</v>
      </c>
      <c r="U35" s="24" t="str">
        <f t="shared" ref="U35:U41" si="26">IF(M35=O$33,IF(D$20&gt;274,"Check Temperature",D$14-0.05),"")</f>
        <v/>
      </c>
      <c r="V35" s="24" t="str">
        <f t="shared" ref="V35:V41" si="27">IF(M35=O$33,IF(AI35&gt;AJ35,AI35,AJ35),"")</f>
        <v/>
      </c>
      <c r="W35" s="20" t="str">
        <f>IF(M35=O$33,IF(D$20&gt;274,"Check Temp Range",IF(D$20&gt;149,D$18-$AG$42,D$18)),"")</f>
        <v/>
      </c>
      <c r="X35" s="56" t="str">
        <f>IF(U35="","",IF(U35&lt;75,0.05,IF(U35&lt;152.4,0.08,IF(U35&lt;304.8,0.1,"Check"))))</f>
        <v/>
      </c>
      <c r="Y35" s="56" t="str">
        <f>IF(V35="","",IF(V35&lt;75,0.05,IF(V35&lt;152.4,0.08,IF(V35&lt;304.8,0.1,"Check"))))</f>
        <v/>
      </c>
      <c r="Z35" s="27"/>
      <c r="AA35" s="4">
        <v>23.888888888888889</v>
      </c>
      <c r="AB35" s="18">
        <v>-3.4740000000000005E-6</v>
      </c>
      <c r="AC35" s="114">
        <f>IF(AA35&gt;D$20,0,IF(D$20&gt;AA36,(AA36-AA35)*D$11*AB36,(D$20-AA35)*AB36*D$11))</f>
        <v>0</v>
      </c>
      <c r="AD35" s="18">
        <v>3.0240000000000002E-6</v>
      </c>
      <c r="AE35" s="114">
        <f>IF(AA35&gt;D$20,0,IF(D$20&gt;AA36,(AA36-AA35)*D$15*AD36,(D$20-AA35)*AD36*D$15))</f>
        <v>0</v>
      </c>
      <c r="AF35" s="18">
        <v>4.6799999999999999E-5</v>
      </c>
      <c r="AG35" s="114">
        <f>IF(AA35&gt;D$20,0,IF(D$20&gt;AA36,(AA36-AA35)*D$18*AF36,(D$20-AA35)*AF36*D$18))</f>
        <v>0</v>
      </c>
      <c r="AH35" s="27"/>
      <c r="AI35" s="19" t="e">
        <f t="shared" ref="AI35:AI41" si="28">D$11+J$37-J$21+J$9</f>
        <v>#VALUE!</v>
      </c>
      <c r="AJ35" s="19" t="e">
        <f t="shared" ref="AJ35:AJ41" si="29">D$11+J$37-J$24+J$11-J$17+J$31-0.002</f>
        <v>#VALUE!</v>
      </c>
      <c r="AM35" s="269"/>
    </row>
    <row r="36" spans="1:39" ht="14.4" customHeight="1" x14ac:dyDescent="0.3">
      <c r="A36" s="214"/>
      <c r="B36" s="215"/>
      <c r="C36" s="215"/>
      <c r="D36" s="215"/>
      <c r="E36" s="216"/>
      <c r="F36" s="27"/>
      <c r="G36" s="228" t="s">
        <v>4</v>
      </c>
      <c r="H36" s="228"/>
      <c r="I36" s="14" t="s">
        <v>18</v>
      </c>
      <c r="J36" s="20" t="str">
        <f>IF(D20="","",IF(C$7="","",VLOOKUP(C$7,O$76:R$81,2,FALSE)))</f>
        <v/>
      </c>
      <c r="K36" s="160" t="s">
        <v>0</v>
      </c>
      <c r="L36" s="27"/>
      <c r="M36" s="1" t="str">
        <f t="shared" ref="M36:M41" si="30">IF(C$7=$O$33,IF($O35&lt;D$20,IF(D$20&lt;=$O36,C$7,""),""),"")</f>
        <v/>
      </c>
      <c r="O36" s="162">
        <f t="shared" ref="O36:O41" si="31">O26</f>
        <v>93</v>
      </c>
      <c r="P36" s="4">
        <v>124105.63127703052</v>
      </c>
      <c r="Q36" s="4">
        <v>1237.1861821857149</v>
      </c>
      <c r="R36" s="18">
        <v>-3.4740000000000005E-6</v>
      </c>
      <c r="S36" s="18">
        <v>3.0240000000000002E-6</v>
      </c>
      <c r="T36" s="18">
        <v>4.6799999999999999E-5</v>
      </c>
      <c r="U36" s="24" t="str">
        <f t="shared" si="26"/>
        <v/>
      </c>
      <c r="V36" s="24" t="str">
        <f t="shared" si="27"/>
        <v/>
      </c>
      <c r="W36" s="20" t="str">
        <f t="shared" ref="W36:W41" si="32">IF(M36=O$33,IF(D$20&gt;274,"Check Temp Range",IF(D$20&gt;149,D$18-$AG$42,D$18)),"")</f>
        <v/>
      </c>
      <c r="X36" s="56" t="str">
        <f>IF(U36="","",IF(U36&lt;75,0.05,IF(U36&lt;152.4,0.08,IF(U36&lt;304.8,0.1,"Check"))))</f>
        <v/>
      </c>
      <c r="Y36" s="56" t="str">
        <f>IF(V36="","",IF(V36&lt;75,0.05,IF(V36&lt;152.4,0.08,IF(V36&lt;304.8,0.1,"Check"))))</f>
        <v/>
      </c>
      <c r="Z36" s="27"/>
      <c r="AA36" s="4">
        <v>142.77777777777777</v>
      </c>
      <c r="AB36" s="18">
        <v>-3.4740000000000005E-6</v>
      </c>
      <c r="AC36" s="114">
        <f>IF(AA36&gt;D$20,0,IF(D$20&gt;AA37,(AA37-AA36)*D$11*AB37,(D$20-AA36)*AB37*D$11))</f>
        <v>0</v>
      </c>
      <c r="AD36" s="18">
        <v>3.0240000000000002E-6</v>
      </c>
      <c r="AE36" s="114">
        <f>IF(AA36&gt;D$20,0,IF(D$20&gt;AA37,(AA37-AA36)*D$15*AD37,(D$20-AA36)*AD37*D$15))</f>
        <v>0</v>
      </c>
      <c r="AF36" s="18">
        <v>4.6799999999999999E-5</v>
      </c>
      <c r="AG36" s="114">
        <f>IF(AA36&gt;D$20,0,IF(D$20&gt;AA37,(AA37-AA36)*D$18*AF37,(D$20-AA36)*AF37*D$18))</f>
        <v>0</v>
      </c>
      <c r="AH36" s="27"/>
      <c r="AI36" s="19" t="e">
        <f t="shared" si="28"/>
        <v>#VALUE!</v>
      </c>
      <c r="AJ36" s="19" t="e">
        <f t="shared" si="29"/>
        <v>#VALUE!</v>
      </c>
      <c r="AM36" s="269"/>
    </row>
    <row r="37" spans="1:39" ht="14.4" customHeight="1" x14ac:dyDescent="0.3">
      <c r="A37" s="214"/>
      <c r="B37" s="215"/>
      <c r="C37" s="215"/>
      <c r="D37" s="215"/>
      <c r="E37" s="216"/>
      <c r="F37" s="27"/>
      <c r="G37" s="228" t="s">
        <v>5</v>
      </c>
      <c r="H37" s="228"/>
      <c r="I37" s="14" t="s">
        <v>45</v>
      </c>
      <c r="J37" s="24" t="str">
        <f>IF(C8="","",IF(C8=T84,T85,HLOOKUP(C6,O84:R87,VLOOKUP(C5,O85:S87,5,FALSE),FALSE)))</f>
        <v/>
      </c>
      <c r="K37" s="160" t="s">
        <v>0</v>
      </c>
      <c r="L37" s="27"/>
      <c r="M37" s="1" t="str">
        <f t="shared" si="30"/>
        <v/>
      </c>
      <c r="O37" s="162">
        <f t="shared" si="31"/>
        <v>121</v>
      </c>
      <c r="P37" s="4">
        <v>124105.63127703052</v>
      </c>
      <c r="Q37" s="4">
        <v>1208.7331845426993</v>
      </c>
      <c r="R37" s="18">
        <v>-3.4740000000000005E-6</v>
      </c>
      <c r="S37" s="18">
        <v>3.0240000000000002E-6</v>
      </c>
      <c r="T37" s="18">
        <v>4.6799999999999999E-5</v>
      </c>
      <c r="U37" s="24" t="str">
        <f t="shared" si="26"/>
        <v/>
      </c>
      <c r="V37" s="24" t="str">
        <f t="shared" si="27"/>
        <v/>
      </c>
      <c r="W37" s="20" t="str">
        <f t="shared" si="32"/>
        <v/>
      </c>
      <c r="X37" s="56" t="str">
        <f t="shared" ref="X37:Y41" si="33">IF(U37="","",IF(U37&lt;75,0.05,IF(U37&lt;152.4,0.08,IF(U37&lt;304.8,0.1,"Check"))))</f>
        <v/>
      </c>
      <c r="Y37" s="56" t="str">
        <f t="shared" si="33"/>
        <v/>
      </c>
      <c r="Z37" s="27"/>
      <c r="AA37" s="4">
        <v>287.77777777777777</v>
      </c>
      <c r="AB37" s="18">
        <v>-4.5539999999999999E-6</v>
      </c>
      <c r="AC37" s="5">
        <f t="shared" ref="AC37" si="34">IF(AA37&gt;D$20,0,IF(D$20&gt;AA38,(AA38-AA37)*D$11*AB37,(D$20-AA37)*AB37*D$11))</f>
        <v>0</v>
      </c>
      <c r="AD37" s="18">
        <v>4.5000000000000001E-6</v>
      </c>
      <c r="AE37" s="5">
        <f t="shared" ref="AE37" si="35">IF(AA37&gt;D$20,0,IF(D$20&gt;AA38,(AA38-AA37)*D$15*AD37,(D$20-AA37)*AD37*D$15))</f>
        <v>0</v>
      </c>
      <c r="AF37" s="18">
        <v>1.35E-4</v>
      </c>
      <c r="AG37" s="5">
        <f t="shared" ref="AG37" si="36">IF(AA37&gt;D$20,0,IF(D$20&gt;AA38,(AA38-AA37)*D$18*AF37,(D$20-AA37)*AF37*D$18))</f>
        <v>0</v>
      </c>
      <c r="AH37" s="27"/>
      <c r="AI37" s="19" t="e">
        <f t="shared" si="28"/>
        <v>#VALUE!</v>
      </c>
      <c r="AJ37" s="19" t="e">
        <f t="shared" si="29"/>
        <v>#VALUE!</v>
      </c>
      <c r="AM37" s="269"/>
    </row>
    <row r="38" spans="1:39" ht="14.4" customHeight="1" x14ac:dyDescent="0.3">
      <c r="A38" s="214"/>
      <c r="B38" s="215"/>
      <c r="C38" s="215"/>
      <c r="D38" s="215"/>
      <c r="E38" s="216"/>
      <c r="F38" s="27"/>
      <c r="L38" s="27"/>
      <c r="M38" s="1" t="str">
        <f t="shared" si="30"/>
        <v/>
      </c>
      <c r="O38" s="162">
        <f t="shared" si="31"/>
        <v>149</v>
      </c>
      <c r="P38" s="4">
        <v>124105.63127703052</v>
      </c>
      <c r="Q38" s="4">
        <v>940.81809724715254</v>
      </c>
      <c r="R38" s="18">
        <v>-4.5539999999999999E-6</v>
      </c>
      <c r="S38" s="18">
        <v>4.5000000000000001E-6</v>
      </c>
      <c r="T38" s="18">
        <v>1.35E-4</v>
      </c>
      <c r="U38" s="24" t="str">
        <f t="shared" si="26"/>
        <v/>
      </c>
      <c r="V38" s="24" t="str">
        <f t="shared" si="27"/>
        <v/>
      </c>
      <c r="W38" s="20" t="str">
        <f t="shared" si="32"/>
        <v/>
      </c>
      <c r="X38" s="56" t="str">
        <f t="shared" si="33"/>
        <v/>
      </c>
      <c r="Y38" s="56" t="str">
        <f t="shared" si="33"/>
        <v/>
      </c>
      <c r="Z38" s="27"/>
      <c r="AA38" s="4">
        <v>316</v>
      </c>
      <c r="AB38" s="18"/>
      <c r="AC38" s="5"/>
      <c r="AD38" s="18"/>
      <c r="AE38" s="5"/>
      <c r="AF38" s="18"/>
      <c r="AG38" s="5"/>
      <c r="AH38" s="27"/>
      <c r="AI38" s="19" t="e">
        <f t="shared" si="28"/>
        <v>#VALUE!</v>
      </c>
      <c r="AJ38" s="19" t="e">
        <f t="shared" si="29"/>
        <v>#VALUE!</v>
      </c>
      <c r="AM38" s="269"/>
    </row>
    <row r="39" spans="1:39" ht="14.4" customHeight="1" x14ac:dyDescent="0.3">
      <c r="A39" s="214"/>
      <c r="B39" s="215"/>
      <c r="C39" s="215"/>
      <c r="D39" s="215"/>
      <c r="E39" s="216"/>
      <c r="F39" s="27"/>
      <c r="L39" s="27"/>
      <c r="M39" s="1" t="str">
        <f t="shared" si="30"/>
        <v/>
      </c>
      <c r="O39" s="162">
        <f t="shared" si="31"/>
        <v>177</v>
      </c>
      <c r="P39" s="4">
        <v>124105.63127703052</v>
      </c>
      <c r="Q39" s="4">
        <v>181.93303602395267</v>
      </c>
      <c r="R39" s="18">
        <v>-4.5539999999999999E-6</v>
      </c>
      <c r="S39" s="18">
        <v>4.5000000000000001E-6</v>
      </c>
      <c r="T39" s="18">
        <v>1.35E-4</v>
      </c>
      <c r="U39" s="24" t="str">
        <f t="shared" si="26"/>
        <v/>
      </c>
      <c r="V39" s="24" t="str">
        <f t="shared" si="27"/>
        <v/>
      </c>
      <c r="W39" s="20" t="str">
        <f t="shared" si="32"/>
        <v/>
      </c>
      <c r="X39" s="56" t="str">
        <f t="shared" si="33"/>
        <v/>
      </c>
      <c r="Y39" s="56" t="str">
        <f t="shared" si="33"/>
        <v/>
      </c>
      <c r="Z39" s="27"/>
      <c r="AA39" s="4"/>
      <c r="AB39" s="18"/>
      <c r="AC39" s="5"/>
      <c r="AD39" s="18"/>
      <c r="AE39" s="5"/>
      <c r="AF39" s="18"/>
      <c r="AG39" s="5"/>
      <c r="AH39" s="27"/>
      <c r="AI39" s="19" t="e">
        <f t="shared" si="28"/>
        <v>#VALUE!</v>
      </c>
      <c r="AJ39" s="19" t="e">
        <f t="shared" si="29"/>
        <v>#VALUE!</v>
      </c>
      <c r="AM39" s="269"/>
    </row>
    <row r="40" spans="1:39" ht="14.4" customHeight="1" x14ac:dyDescent="0.3">
      <c r="A40" s="214"/>
      <c r="B40" s="215"/>
      <c r="C40" s="215"/>
      <c r="D40" s="215"/>
      <c r="E40" s="216"/>
      <c r="F40" s="27"/>
      <c r="L40" s="27"/>
      <c r="M40" s="1" t="str">
        <f t="shared" si="30"/>
        <v/>
      </c>
      <c r="O40" s="162">
        <f t="shared" si="31"/>
        <v>204</v>
      </c>
      <c r="P40" s="4">
        <v>124105.63127703052</v>
      </c>
      <c r="Q40" s="4">
        <v>157.84144677877174</v>
      </c>
      <c r="R40" s="18">
        <v>-4.5539999999999999E-6</v>
      </c>
      <c r="S40" s="18">
        <v>4.5000000000000001E-6</v>
      </c>
      <c r="T40" s="18">
        <v>1.35E-4</v>
      </c>
      <c r="U40" s="24" t="str">
        <f t="shared" si="26"/>
        <v/>
      </c>
      <c r="V40" s="24" t="str">
        <f t="shared" si="27"/>
        <v/>
      </c>
      <c r="W40" s="20" t="str">
        <f t="shared" si="32"/>
        <v/>
      </c>
      <c r="X40" s="56" t="str">
        <f t="shared" si="33"/>
        <v/>
      </c>
      <c r="Y40" s="56" t="str">
        <f t="shared" si="33"/>
        <v/>
      </c>
      <c r="Z40" s="27"/>
      <c r="AA40" s="4"/>
      <c r="AB40" s="18"/>
      <c r="AC40" s="5"/>
      <c r="AD40" s="18"/>
      <c r="AE40" s="5"/>
      <c r="AF40" s="18"/>
      <c r="AG40" s="5"/>
      <c r="AH40" s="27"/>
      <c r="AI40" s="19" t="e">
        <f t="shared" si="28"/>
        <v>#VALUE!</v>
      </c>
      <c r="AJ40" s="19" t="e">
        <f t="shared" si="29"/>
        <v>#VALUE!</v>
      </c>
      <c r="AM40" s="269"/>
    </row>
    <row r="41" spans="1:39" ht="14.4" customHeight="1" x14ac:dyDescent="0.3">
      <c r="A41" s="214"/>
      <c r="B41" s="215"/>
      <c r="C41" s="215"/>
      <c r="D41" s="215"/>
      <c r="E41" s="216"/>
      <c r="F41" s="27"/>
      <c r="L41" s="27"/>
      <c r="M41" s="1" t="str">
        <f t="shared" si="30"/>
        <v/>
      </c>
      <c r="O41" s="162">
        <f t="shared" si="31"/>
        <v>260</v>
      </c>
      <c r="P41" s="4">
        <v>117210.87398386216</v>
      </c>
      <c r="Q41" s="4">
        <v>104.46611543384496</v>
      </c>
      <c r="R41" s="18">
        <v>-4.5539999999999999E-6</v>
      </c>
      <c r="S41" s="18">
        <v>4.5000000000000001E-6</v>
      </c>
      <c r="T41" s="18">
        <v>1.35E-4</v>
      </c>
      <c r="U41" s="24" t="str">
        <f t="shared" si="26"/>
        <v/>
      </c>
      <c r="V41" s="24" t="str">
        <f t="shared" si="27"/>
        <v/>
      </c>
      <c r="W41" s="20" t="str">
        <f t="shared" si="32"/>
        <v/>
      </c>
      <c r="X41" s="56" t="str">
        <f t="shared" si="33"/>
        <v/>
      </c>
      <c r="Y41" s="56" t="str">
        <f t="shared" si="33"/>
        <v/>
      </c>
      <c r="Z41" s="27"/>
      <c r="AA41" s="4"/>
      <c r="AB41" s="18"/>
      <c r="AC41" s="5"/>
      <c r="AD41" s="18"/>
      <c r="AE41" s="5"/>
      <c r="AF41" s="18"/>
      <c r="AG41" s="5"/>
      <c r="AH41" s="27"/>
      <c r="AI41" s="19" t="e">
        <f t="shared" si="28"/>
        <v>#VALUE!</v>
      </c>
      <c r="AJ41" s="19" t="e">
        <f t="shared" si="29"/>
        <v>#VALUE!</v>
      </c>
      <c r="AM41" s="269"/>
    </row>
    <row r="42" spans="1:39" ht="14.4" customHeight="1" x14ac:dyDescent="0.3">
      <c r="A42" s="214"/>
      <c r="B42" s="215"/>
      <c r="C42" s="215"/>
      <c r="D42" s="215"/>
      <c r="E42" s="216"/>
      <c r="F42" s="27"/>
      <c r="L42" s="27"/>
      <c r="Z42" s="27"/>
      <c r="AB42" s="1"/>
      <c r="AC42" s="1">
        <f>SUM(AC35:AC41)</f>
        <v>0</v>
      </c>
      <c r="AE42" s="1">
        <f>SUM(AE35:AE41)</f>
        <v>0</v>
      </c>
      <c r="AG42" s="1">
        <f>SUM(AG35:AG41)</f>
        <v>0</v>
      </c>
      <c r="AH42" s="27"/>
      <c r="AM42" s="269"/>
    </row>
    <row r="43" spans="1:39" ht="14.4" customHeight="1" x14ac:dyDescent="0.3">
      <c r="A43" s="214"/>
      <c r="B43" s="215"/>
      <c r="C43" s="215"/>
      <c r="D43" s="215"/>
      <c r="E43" s="216"/>
      <c r="F43" s="27"/>
      <c r="L43" s="27"/>
      <c r="O43" s="5" t="s">
        <v>3</v>
      </c>
      <c r="P43" s="208" t="s">
        <v>190</v>
      </c>
      <c r="Q43" s="210"/>
      <c r="R43" s="208" t="s">
        <v>191</v>
      </c>
      <c r="S43" s="209"/>
      <c r="T43" s="210"/>
      <c r="U43" s="208" t="s">
        <v>238</v>
      </c>
      <c r="V43" s="209"/>
      <c r="W43" s="209"/>
      <c r="X43" s="209"/>
      <c r="Y43" s="210"/>
      <c r="Z43" s="27"/>
      <c r="AA43" s="1" t="s">
        <v>194</v>
      </c>
      <c r="AB43" s="1"/>
      <c r="AC43" s="1">
        <f>AC52</f>
        <v>0</v>
      </c>
      <c r="AE43" s="1">
        <f>AE52</f>
        <v>0</v>
      </c>
      <c r="AG43" s="1">
        <f>AG52</f>
        <v>0</v>
      </c>
      <c r="AH43" s="27"/>
      <c r="AI43" s="238" t="s">
        <v>164</v>
      </c>
      <c r="AJ43" s="238"/>
      <c r="AM43" s="269"/>
    </row>
    <row r="44" spans="1:39" ht="14.4" customHeight="1" x14ac:dyDescent="0.3">
      <c r="A44" s="214"/>
      <c r="B44" s="215"/>
      <c r="C44" s="215"/>
      <c r="D44" s="215"/>
      <c r="E44" s="216"/>
      <c r="F44" s="27"/>
      <c r="L44" s="27"/>
      <c r="O44" s="163" t="s">
        <v>151</v>
      </c>
      <c r="P44" s="163" t="s">
        <v>81</v>
      </c>
      <c r="Q44" s="163" t="s">
        <v>82</v>
      </c>
      <c r="R44" s="163" t="s">
        <v>80</v>
      </c>
      <c r="S44" s="163" t="s">
        <v>83</v>
      </c>
      <c r="T44" s="163" t="s">
        <v>84</v>
      </c>
      <c r="U44" s="37" t="s">
        <v>111</v>
      </c>
      <c r="V44" s="37" t="s">
        <v>112</v>
      </c>
      <c r="W44" s="37" t="s">
        <v>113</v>
      </c>
      <c r="X44" s="162" t="s">
        <v>132</v>
      </c>
      <c r="Y44" s="162" t="s">
        <v>133</v>
      </c>
      <c r="Z44" s="27"/>
      <c r="AA44" s="162" t="s">
        <v>189</v>
      </c>
      <c r="AB44" s="162" t="s">
        <v>80</v>
      </c>
      <c r="AC44" s="162" t="s">
        <v>193</v>
      </c>
      <c r="AD44" s="162" t="s">
        <v>83</v>
      </c>
      <c r="AE44" s="162" t="s">
        <v>193</v>
      </c>
      <c r="AF44" s="162" t="s">
        <v>84</v>
      </c>
      <c r="AG44" s="162" t="s">
        <v>193</v>
      </c>
      <c r="AH44" s="27"/>
      <c r="AI44" s="162" t="s">
        <v>60</v>
      </c>
      <c r="AJ44" s="162" t="s">
        <v>59</v>
      </c>
      <c r="AM44" s="269"/>
    </row>
    <row r="45" spans="1:39" ht="14.4" customHeight="1" x14ac:dyDescent="0.3">
      <c r="A45" s="214"/>
      <c r="B45" s="215"/>
      <c r="C45" s="215"/>
      <c r="D45" s="215"/>
      <c r="E45" s="216"/>
      <c r="F45" s="27"/>
      <c r="L45" s="27"/>
      <c r="M45" s="113" t="str">
        <f>IF(C$7=$O$43,IF(D$20=24,C$7,""),"")</f>
        <v/>
      </c>
      <c r="N45" s="1" t="str">
        <f>IF(C$7=$O$43,C$7,"")</f>
        <v/>
      </c>
      <c r="O45" s="162">
        <f>O35</f>
        <v>24</v>
      </c>
      <c r="P45" s="4">
        <v>18305.580613361999</v>
      </c>
      <c r="Q45" s="7">
        <v>44.81592240559435</v>
      </c>
      <c r="R45" s="18">
        <f>1.8*0.000004</f>
        <v>7.1999999999999997E-6</v>
      </c>
      <c r="S45" s="18">
        <f>1.8*0.0000055</f>
        <v>9.9000000000000001E-6</v>
      </c>
      <c r="T45" s="18">
        <f>1.8*0.000046</f>
        <v>8.2800000000000007E-5</v>
      </c>
      <c r="U45" s="24" t="str">
        <f t="shared" ref="U45:U51" si="37">IF(M45=O$43,IF(D$20&gt;260,"Check Temperature",D$14-0.05),"")</f>
        <v/>
      </c>
      <c r="V45" s="24" t="str">
        <f t="shared" ref="V45:V51" si="38">IF(M45=O$43,IF(AI45&gt;AJ45,AI45,AJ45),"")</f>
        <v/>
      </c>
      <c r="W45" s="20" t="str">
        <f>IF(M45=O$43,IF(D$20&gt;260,"Check Temp Range",IF(D$20&gt;149,D$18-$AG$52,D$18)),"")</f>
        <v/>
      </c>
      <c r="X45" s="56" t="str">
        <f>IF(U45="","",IF(U45&lt;75,0.05,IF(U45&lt;152.4,0.08,IF(U45&lt;304.8,0.1,"Check"))))</f>
        <v/>
      </c>
      <c r="Y45" s="56" t="str">
        <f>IF(V45="","",IF(V45&lt;75,0.05,IF(V45&lt;152.4,0.08,IF(V45&lt;304.8,0.1,"Check"))))</f>
        <v/>
      </c>
      <c r="Z45" s="27"/>
      <c r="AA45" s="4">
        <v>23.888888888888889</v>
      </c>
      <c r="AB45" s="18">
        <v>7.1999999999999997E-6</v>
      </c>
      <c r="AC45" s="114">
        <f>IF(AA45&gt;D$22,0,IF(D$22&gt;AA46,(AA46-AA45)*D$13*AB46,(D$22-AA45)*AB46*D$13))</f>
        <v>0</v>
      </c>
      <c r="AD45" s="18">
        <v>9.9000000000000001E-6</v>
      </c>
      <c r="AE45" s="114">
        <f>IF(AA45&gt;D$22,0,IF(D$22&gt;AA46,(AA46-AA45)*D$17*AD46,(D$22-AA45)*AD46*D$17))</f>
        <v>0</v>
      </c>
      <c r="AF45" s="18">
        <v>8.2800000000000007E-5</v>
      </c>
      <c r="AG45" s="114">
        <f>IF(AA45&gt;D$22,0,IF(D$22&gt;AA46,(AA46-AA45)*D$20*AF46,(D$22-AA45)*AF46*D$20))</f>
        <v>0</v>
      </c>
      <c r="AH45" s="27"/>
      <c r="AI45" s="19" t="e">
        <f t="shared" ref="AI45:AI51" si="39">D$11+J$37-J$21+J$9</f>
        <v>#VALUE!</v>
      </c>
      <c r="AJ45" s="19" t="e">
        <f t="shared" ref="AJ45:AJ51" si="40">D$11+J$37-J$24+J$11-J$17+J$31-0.002</f>
        <v>#VALUE!</v>
      </c>
      <c r="AM45" s="269"/>
    </row>
    <row r="46" spans="1:39" ht="14.4" customHeight="1" x14ac:dyDescent="0.3">
      <c r="A46" s="214"/>
      <c r="B46" s="215"/>
      <c r="C46" s="215"/>
      <c r="D46" s="215"/>
      <c r="E46" s="216"/>
      <c r="F46" s="27"/>
      <c r="L46" s="27"/>
      <c r="M46" s="1" t="str">
        <f t="shared" ref="M46:M51" si="41">IF(C$7=$O$43,IF($O45&lt;D$20,IF(D$20&lt;=$O46,C$7,""),""),"")</f>
        <v/>
      </c>
      <c r="O46" s="162">
        <f t="shared" ref="O46:O51" si="42">O36</f>
        <v>93</v>
      </c>
      <c r="P46" s="4">
        <v>16673.752861436915</v>
      </c>
      <c r="Q46" s="7">
        <v>40.820630599648808</v>
      </c>
      <c r="R46" s="18">
        <f>1.8*0.000004</f>
        <v>7.1999999999999997E-6</v>
      </c>
      <c r="S46" s="18">
        <f>1.8*0.0000055</f>
        <v>9.9000000000000001E-6</v>
      </c>
      <c r="T46" s="18">
        <f>1.8*0.000046</f>
        <v>8.2800000000000007E-5</v>
      </c>
      <c r="U46" s="24" t="str">
        <f t="shared" si="37"/>
        <v/>
      </c>
      <c r="V46" s="24" t="str">
        <f t="shared" si="38"/>
        <v/>
      </c>
      <c r="W46" s="20" t="str">
        <f t="shared" ref="W46:W51" si="43">IF(M46=O$43,IF(D$20&gt;260,"Check Temp Range",IF(D$20&gt;149,D$18-$AG$52,D$18)),"")</f>
        <v/>
      </c>
      <c r="X46" s="56" t="str">
        <f>IF(U46="","",IF(U46&lt;75,0.05,IF(U46&lt;152.4,0.08,IF(U46&lt;304.8,0.1,"Check"))))</f>
        <v/>
      </c>
      <c r="Y46" s="56" t="str">
        <f>IF(V46="","",IF(V46&lt;75,0.05,IF(V46&lt;152.4,0.08,IF(V46&lt;304.8,0.1,"Check"))))</f>
        <v/>
      </c>
      <c r="Z46" s="27"/>
      <c r="AA46" s="4">
        <v>93.333333333333329</v>
      </c>
      <c r="AB46" s="18">
        <v>7.1999999999999997E-6</v>
      </c>
      <c r="AC46" s="114">
        <f t="shared" ref="AC46:AC50" si="44">IF(AA46&gt;D$22,0,IF(D$22&gt;AA47,(AA47-AA46)*D$13*AB47,(D$22-AA46)*AB47*D$13))</f>
        <v>0</v>
      </c>
      <c r="AD46" s="18">
        <v>9.9000000000000001E-6</v>
      </c>
      <c r="AE46" s="114">
        <f t="shared" ref="AE46:AE50" si="45">IF(AA46&gt;D$22,0,IF(D$22&gt;AA47,(AA47-AA46)*D$17*AD47,(D$22-AA46)*AD47*D$17))</f>
        <v>0</v>
      </c>
      <c r="AF46" s="18">
        <v>8.2800000000000007E-5</v>
      </c>
      <c r="AG46" s="114">
        <f t="shared" ref="AG46:AG50" si="46">IF(AA46&gt;D$22,0,IF(D$22&gt;AA47,(AA47-AA46)*D$20*AF47,(D$22-AA46)*AF47*D$20))</f>
        <v>0</v>
      </c>
      <c r="AH46" s="27"/>
      <c r="AI46" s="19" t="e">
        <f t="shared" si="39"/>
        <v>#VALUE!</v>
      </c>
      <c r="AJ46" s="19" t="e">
        <f t="shared" si="40"/>
        <v>#VALUE!</v>
      </c>
      <c r="AM46" s="269"/>
    </row>
    <row r="47" spans="1:39" ht="14.4" customHeight="1" x14ac:dyDescent="0.3">
      <c r="A47" s="214"/>
      <c r="B47" s="215"/>
      <c r="C47" s="215"/>
      <c r="D47" s="215"/>
      <c r="E47" s="216"/>
      <c r="F47" s="27"/>
      <c r="L47" s="27"/>
      <c r="M47" s="1" t="str">
        <f t="shared" si="41"/>
        <v/>
      </c>
      <c r="O47" s="162">
        <f t="shared" si="42"/>
        <v>121</v>
      </c>
      <c r="P47" s="4">
        <v>16290.287334826735</v>
      </c>
      <c r="Q47" s="7">
        <v>40.820630599648808</v>
      </c>
      <c r="R47" s="18">
        <f>1.8*0.000004</f>
        <v>7.1999999999999997E-6</v>
      </c>
      <c r="S47" s="18">
        <f>1.8*0.0000067</f>
        <v>1.2060000000000001E-5</v>
      </c>
      <c r="T47" s="18">
        <f>1.8*0.000075</f>
        <v>1.35E-4</v>
      </c>
      <c r="U47" s="24" t="str">
        <f t="shared" si="37"/>
        <v/>
      </c>
      <c r="V47" s="24" t="str">
        <f t="shared" si="38"/>
        <v/>
      </c>
      <c r="W47" s="20" t="str">
        <f t="shared" si="43"/>
        <v/>
      </c>
      <c r="X47" s="56" t="str">
        <f t="shared" ref="X47:Y51" si="47">IF(U47="","",IF(U47&lt;75,0.05,IF(U47&lt;152.4,0.08,IF(U47&lt;304.8,0.1,"Check"))))</f>
        <v/>
      </c>
      <c r="Y47" s="56" t="str">
        <f t="shared" si="47"/>
        <v/>
      </c>
      <c r="Z47" s="27"/>
      <c r="AA47" s="4">
        <v>121.11111111111111</v>
      </c>
      <c r="AB47" s="18">
        <v>9.9000000000000001E-6</v>
      </c>
      <c r="AC47" s="114">
        <f t="shared" si="44"/>
        <v>0</v>
      </c>
      <c r="AD47" s="18">
        <v>1.2060000000000001E-5</v>
      </c>
      <c r="AE47" s="114">
        <f t="shared" si="45"/>
        <v>0</v>
      </c>
      <c r="AF47" s="18">
        <v>1.35E-4</v>
      </c>
      <c r="AG47" s="114">
        <f t="shared" si="46"/>
        <v>0</v>
      </c>
      <c r="AH47" s="27"/>
      <c r="AI47" s="19" t="e">
        <f t="shared" si="39"/>
        <v>#VALUE!</v>
      </c>
      <c r="AJ47" s="19" t="e">
        <f t="shared" si="40"/>
        <v>#VALUE!</v>
      </c>
      <c r="AM47" s="269"/>
    </row>
    <row r="48" spans="1:39" ht="14.4" customHeight="1" x14ac:dyDescent="0.3">
      <c r="A48" s="214"/>
      <c r="B48" s="215"/>
      <c r="C48" s="215"/>
      <c r="D48" s="215"/>
      <c r="E48" s="216"/>
      <c r="F48" s="27"/>
      <c r="L48" s="27"/>
      <c r="M48" s="1" t="str">
        <f t="shared" si="41"/>
        <v/>
      </c>
      <c r="O48" s="162">
        <f t="shared" si="42"/>
        <v>149</v>
      </c>
      <c r="P48" s="4">
        <v>9152.7903066809995</v>
      </c>
      <c r="Q48" s="7">
        <v>22.407961202797175</v>
      </c>
      <c r="R48" s="18">
        <f>1.8*0.0000055</f>
        <v>9.9000000000000001E-6</v>
      </c>
      <c r="S48" s="18">
        <f>1.8*0.0000067</f>
        <v>1.2060000000000001E-5</v>
      </c>
      <c r="T48" s="18">
        <f>1.8*0.0001</f>
        <v>1.8000000000000001E-4</v>
      </c>
      <c r="U48" s="24" t="str">
        <f t="shared" si="37"/>
        <v/>
      </c>
      <c r="V48" s="24" t="str">
        <f t="shared" si="38"/>
        <v/>
      </c>
      <c r="W48" s="20" t="str">
        <f t="shared" si="43"/>
        <v/>
      </c>
      <c r="X48" s="56" t="str">
        <f t="shared" si="47"/>
        <v/>
      </c>
      <c r="Y48" s="56" t="str">
        <f t="shared" si="47"/>
        <v/>
      </c>
      <c r="Z48" s="27"/>
      <c r="AA48" s="4">
        <v>148.88888888888889</v>
      </c>
      <c r="AB48" s="18">
        <v>9.9000000000000001E-6</v>
      </c>
      <c r="AC48" s="114">
        <f t="shared" si="44"/>
        <v>0</v>
      </c>
      <c r="AD48" s="18">
        <v>1.2060000000000001E-5</v>
      </c>
      <c r="AE48" s="114">
        <f t="shared" si="45"/>
        <v>0</v>
      </c>
      <c r="AF48" s="18">
        <v>1.8000000000000001E-4</v>
      </c>
      <c r="AG48" s="114">
        <f t="shared" si="46"/>
        <v>0</v>
      </c>
      <c r="AH48" s="27"/>
      <c r="AI48" s="19" t="e">
        <f t="shared" si="39"/>
        <v>#VALUE!</v>
      </c>
      <c r="AJ48" s="19" t="e">
        <f t="shared" si="40"/>
        <v>#VALUE!</v>
      </c>
      <c r="AM48" s="269"/>
    </row>
    <row r="49" spans="1:42" ht="14.4" customHeight="1" x14ac:dyDescent="0.3">
      <c r="A49" s="214"/>
      <c r="B49" s="215"/>
      <c r="C49" s="215"/>
      <c r="D49" s="215"/>
      <c r="E49" s="216"/>
      <c r="F49" s="27"/>
      <c r="L49" s="27"/>
      <c r="M49" s="1" t="str">
        <f t="shared" si="41"/>
        <v/>
      </c>
      <c r="O49" s="162">
        <f t="shared" si="42"/>
        <v>177</v>
      </c>
      <c r="P49" s="4">
        <v>7322.2322453447996</v>
      </c>
      <c r="Q49" s="7">
        <v>17.926368962237742</v>
      </c>
      <c r="R49" s="18">
        <f>1.8*0.0000055</f>
        <v>9.9000000000000001E-6</v>
      </c>
      <c r="S49" s="18">
        <f>1.8*0.000008</f>
        <v>1.4399999999999999E-5</v>
      </c>
      <c r="T49" s="18">
        <f>1.8*0.00012</f>
        <v>2.1600000000000002E-4</v>
      </c>
      <c r="U49" s="24" t="str">
        <f t="shared" si="37"/>
        <v/>
      </c>
      <c r="V49" s="24" t="str">
        <f t="shared" si="38"/>
        <v/>
      </c>
      <c r="W49" s="20" t="str">
        <f t="shared" si="43"/>
        <v/>
      </c>
      <c r="X49" s="56" t="str">
        <f t="shared" si="47"/>
        <v/>
      </c>
      <c r="Y49" s="56" t="str">
        <f t="shared" si="47"/>
        <v/>
      </c>
      <c r="Z49" s="27"/>
      <c r="AA49" s="4">
        <v>176.66666666666666</v>
      </c>
      <c r="AB49" s="18">
        <v>1.26E-5</v>
      </c>
      <c r="AC49" s="114">
        <f t="shared" si="44"/>
        <v>0</v>
      </c>
      <c r="AD49" s="18">
        <v>1.4399999999999999E-5</v>
      </c>
      <c r="AE49" s="114">
        <f t="shared" si="45"/>
        <v>0</v>
      </c>
      <c r="AF49" s="18">
        <v>2.34E-4</v>
      </c>
      <c r="AG49" s="114">
        <f t="shared" si="46"/>
        <v>0</v>
      </c>
      <c r="AH49" s="27"/>
      <c r="AI49" s="19" t="e">
        <f t="shared" si="39"/>
        <v>#VALUE!</v>
      </c>
      <c r="AJ49" s="19" t="e">
        <f t="shared" si="40"/>
        <v>#VALUE!</v>
      </c>
      <c r="AM49" s="269"/>
    </row>
    <row r="50" spans="1:42" ht="14.4" customHeight="1" x14ac:dyDescent="0.3">
      <c r="A50" s="260"/>
      <c r="B50" s="261"/>
      <c r="C50" s="261"/>
      <c r="D50" s="261"/>
      <c r="E50" s="262"/>
      <c r="F50" s="27"/>
      <c r="L50" s="27"/>
      <c r="M50" s="1" t="str">
        <f t="shared" si="41"/>
        <v/>
      </c>
      <c r="O50" s="162">
        <f t="shared" si="42"/>
        <v>204</v>
      </c>
      <c r="P50" s="4">
        <v>5491.6741840086006</v>
      </c>
      <c r="Q50" s="7">
        <v>13.444776721678306</v>
      </c>
      <c r="R50" s="18">
        <f>1.8*0.000007</f>
        <v>1.26E-5</v>
      </c>
      <c r="S50" s="18">
        <f>1.8*0.000008</f>
        <v>1.4399999999999999E-5</v>
      </c>
      <c r="T50" s="18">
        <f>1.8*0.00013</f>
        <v>2.34E-4</v>
      </c>
      <c r="U50" s="24" t="str">
        <f t="shared" si="37"/>
        <v/>
      </c>
      <c r="V50" s="24" t="str">
        <f t="shared" si="38"/>
        <v/>
      </c>
      <c r="W50" s="20" t="str">
        <f t="shared" si="43"/>
        <v/>
      </c>
      <c r="X50" s="56" t="str">
        <f t="shared" si="47"/>
        <v/>
      </c>
      <c r="Y50" s="56" t="str">
        <f t="shared" si="47"/>
        <v/>
      </c>
      <c r="Z50" s="27"/>
      <c r="AA50" s="4">
        <v>204.44444444444443</v>
      </c>
      <c r="AB50" s="18">
        <v>1.6200000000000001E-5</v>
      </c>
      <c r="AC50" s="114">
        <f t="shared" si="44"/>
        <v>0</v>
      </c>
      <c r="AD50" s="18">
        <v>1.4399999999999999E-5</v>
      </c>
      <c r="AE50" s="114">
        <f t="shared" si="45"/>
        <v>0</v>
      </c>
      <c r="AF50" s="18">
        <v>3.0600000000000001E-4</v>
      </c>
      <c r="AG50" s="114">
        <f t="shared" si="46"/>
        <v>0</v>
      </c>
      <c r="AH50" s="27"/>
      <c r="AI50" s="19" t="e">
        <f t="shared" si="39"/>
        <v>#VALUE!</v>
      </c>
      <c r="AJ50" s="19" t="e">
        <f t="shared" si="40"/>
        <v>#VALUE!</v>
      </c>
      <c r="AM50" s="269"/>
    </row>
    <row r="51" spans="1:42" ht="14.4" customHeight="1" x14ac:dyDescent="0.3">
      <c r="F51" s="27"/>
      <c r="L51" s="27"/>
      <c r="M51" s="1" t="str">
        <f t="shared" si="41"/>
        <v/>
      </c>
      <c r="O51" s="162">
        <f t="shared" si="42"/>
        <v>260</v>
      </c>
      <c r="P51" s="4">
        <v>4598.8031145432969</v>
      </c>
      <c r="Q51" s="7">
        <v>11.479770893125322</v>
      </c>
      <c r="R51" s="18">
        <f>1.8*0.000009</f>
        <v>1.6200000000000001E-5</v>
      </c>
      <c r="S51" s="18">
        <f>1.8*0.0000102</f>
        <v>1.836E-5</v>
      </c>
      <c r="T51" s="18">
        <f>1.8*0.00017</f>
        <v>3.0600000000000001E-4</v>
      </c>
      <c r="U51" s="24" t="str">
        <f t="shared" si="37"/>
        <v/>
      </c>
      <c r="V51" s="24" t="str">
        <f t="shared" si="38"/>
        <v/>
      </c>
      <c r="W51" s="20" t="str">
        <f t="shared" si="43"/>
        <v/>
      </c>
      <c r="X51" s="56" t="str">
        <f t="shared" si="47"/>
        <v/>
      </c>
      <c r="Y51" s="56" t="str">
        <f t="shared" si="47"/>
        <v/>
      </c>
      <c r="Z51" s="27"/>
      <c r="AA51" s="4">
        <v>260</v>
      </c>
      <c r="AB51" s="18">
        <v>1.6200000000000001E-5</v>
      </c>
      <c r="AC51" s="5">
        <f t="shared" ref="AC51" si="48">IF(AA51&gt;D$22,0,IF(D$22&gt;AA52,(AA52-AA51)*D$13*AB51,(D$22-AA51)*AB51*D$13))</f>
        <v>0</v>
      </c>
      <c r="AD51" s="18">
        <v>1.836E-5</v>
      </c>
      <c r="AE51" s="5">
        <f t="shared" ref="AE51" si="49">IF(AA51&gt;D$22,0,IF(D$22&gt;AA52,(AA52-AA51)*D$17*AD51,(D$22-AA51)*AD51*D$17))</f>
        <v>0</v>
      </c>
      <c r="AF51" s="18">
        <v>3.0600000000000001E-4</v>
      </c>
      <c r="AG51" s="5">
        <f t="shared" ref="AG51" si="50">IF(AA51&gt;D$22,0,IF(D$22&gt;AA52,(AA52-AA51)*D$20*AF51,(D$22-AA51)*AF51*D$20))</f>
        <v>0</v>
      </c>
      <c r="AH51" s="27"/>
      <c r="AI51" s="19" t="e">
        <f t="shared" si="39"/>
        <v>#VALUE!</v>
      </c>
      <c r="AJ51" s="19" t="e">
        <f t="shared" si="40"/>
        <v>#VALUE!</v>
      </c>
      <c r="AM51" s="269"/>
    </row>
    <row r="52" spans="1:42" ht="14.4" customHeight="1" x14ac:dyDescent="0.3">
      <c r="F52" s="26"/>
      <c r="G52" s="161"/>
      <c r="H52" s="161"/>
      <c r="I52" s="161"/>
      <c r="J52" s="161"/>
      <c r="K52" s="161"/>
      <c r="L52" s="26"/>
      <c r="Z52" s="27"/>
      <c r="AA52" s="4">
        <v>287.77777777777777</v>
      </c>
      <c r="AB52" s="1"/>
      <c r="AC52" s="1">
        <f>SUM(AC45:AC51)</f>
        <v>0</v>
      </c>
      <c r="AE52" s="1">
        <f>SUM(AE45:AE51)</f>
        <v>0</v>
      </c>
      <c r="AG52" s="1">
        <f>SUM(AG45:AG51)</f>
        <v>0</v>
      </c>
      <c r="AH52" s="27"/>
      <c r="AM52" s="269"/>
    </row>
    <row r="53" spans="1:42" ht="14.4" customHeight="1" x14ac:dyDescent="0.3">
      <c r="F53" s="27"/>
      <c r="L53" s="27"/>
      <c r="O53" s="6" t="s">
        <v>199</v>
      </c>
      <c r="P53" s="208" t="s">
        <v>190</v>
      </c>
      <c r="Q53" s="210"/>
      <c r="R53" s="208" t="s">
        <v>191</v>
      </c>
      <c r="S53" s="209"/>
      <c r="T53" s="210"/>
      <c r="U53" s="208" t="s">
        <v>238</v>
      </c>
      <c r="V53" s="209"/>
      <c r="W53" s="209"/>
      <c r="X53" s="209"/>
      <c r="Y53" s="210"/>
      <c r="Z53" s="27"/>
      <c r="AA53" s="5" t="s">
        <v>200</v>
      </c>
      <c r="AB53" s="5"/>
      <c r="AC53" s="5">
        <f>AC62</f>
        <v>0</v>
      </c>
      <c r="AD53" s="5"/>
      <c r="AE53" s="5">
        <f t="shared" ref="AE53:AG53" si="51">AE62</f>
        <v>0</v>
      </c>
      <c r="AF53" s="5"/>
      <c r="AG53" s="5">
        <f t="shared" si="51"/>
        <v>0</v>
      </c>
      <c r="AH53" s="5"/>
      <c r="AI53" s="5"/>
      <c r="AJ53" s="177"/>
      <c r="AK53" s="238" t="s">
        <v>164</v>
      </c>
      <c r="AL53" s="208"/>
      <c r="AM53" s="269"/>
      <c r="AN53" s="276" t="s">
        <v>207</v>
      </c>
      <c r="AO53" s="277"/>
      <c r="AP53" s="277"/>
    </row>
    <row r="54" spans="1:42" ht="14.4" customHeight="1" x14ac:dyDescent="0.3">
      <c r="F54" s="27"/>
      <c r="L54" s="27"/>
      <c r="O54" s="163" t="s">
        <v>17</v>
      </c>
      <c r="P54" s="163" t="s">
        <v>81</v>
      </c>
      <c r="Q54" s="163" t="s">
        <v>82</v>
      </c>
      <c r="R54" s="163" t="s">
        <v>80</v>
      </c>
      <c r="S54" s="163" t="s">
        <v>83</v>
      </c>
      <c r="T54" s="163" t="s">
        <v>84</v>
      </c>
      <c r="U54" s="37" t="s">
        <v>111</v>
      </c>
      <c r="V54" s="37" t="s">
        <v>112</v>
      </c>
      <c r="W54" s="37" t="s">
        <v>113</v>
      </c>
      <c r="X54" s="162" t="s">
        <v>132</v>
      </c>
      <c r="Y54" s="162" t="s">
        <v>133</v>
      </c>
      <c r="Z54" s="27"/>
      <c r="AA54" s="162" t="s">
        <v>189</v>
      </c>
      <c r="AB54" s="162" t="s">
        <v>80</v>
      </c>
      <c r="AC54" s="162" t="s">
        <v>193</v>
      </c>
      <c r="AD54" s="162" t="s">
        <v>83</v>
      </c>
      <c r="AE54" s="162" t="s">
        <v>193</v>
      </c>
      <c r="AF54" s="162" t="s">
        <v>84</v>
      </c>
      <c r="AG54" s="162" t="s">
        <v>193</v>
      </c>
      <c r="AH54" s="5" t="s">
        <v>201</v>
      </c>
      <c r="AI54" s="162" t="s">
        <v>193</v>
      </c>
      <c r="AJ54" s="5"/>
      <c r="AK54" s="162" t="s">
        <v>60</v>
      </c>
      <c r="AL54" s="190" t="s">
        <v>59</v>
      </c>
      <c r="AM54" s="269"/>
      <c r="AN54" s="200" t="s">
        <v>204</v>
      </c>
      <c r="AO54" s="114" t="s">
        <v>205</v>
      </c>
      <c r="AP54" s="114" t="s">
        <v>206</v>
      </c>
    </row>
    <row r="55" spans="1:42" ht="14.4" customHeight="1" x14ac:dyDescent="0.3">
      <c r="F55" s="27"/>
      <c r="L55" s="27"/>
      <c r="M55" s="1" t="str">
        <f>IF(C$7=$O$53,IF(D$20=24,C$7,""),"")</f>
        <v/>
      </c>
      <c r="N55" s="1" t="str">
        <f>IF(C$7=$O$53,C$7,"")</f>
        <v/>
      </c>
      <c r="O55" s="162">
        <f>O45</f>
        <v>24</v>
      </c>
      <c r="P55" s="4">
        <v>11790.0396</v>
      </c>
      <c r="Q55" s="7">
        <v>78.545967765</v>
      </c>
      <c r="R55" s="121"/>
      <c r="S55" s="18">
        <v>6.9903618485596776E-6</v>
      </c>
      <c r="T55" s="18">
        <v>1.7739513195473249E-4</v>
      </c>
      <c r="U55" s="24" t="str">
        <f>IF(M55=$O$53,IF(D$20&gt;260,"Check Temperature",D$14-0.05),"")</f>
        <v/>
      </c>
      <c r="V55" s="24" t="str">
        <f t="shared" ref="V55:V60" si="52">IF(M55=$O$53,IF(AK55&gt;AL55,AK55,AL55),"")</f>
        <v/>
      </c>
      <c r="W55" s="150" t="str">
        <f>IF(M55=$O$53,IF(D$20&gt;260,"Check Temp Range",IF(D$20&gt;65,D$18-AG$62,D$18)),"")</f>
        <v/>
      </c>
      <c r="X55" s="56" t="str">
        <f>IF(U55="","",IF(U55&lt;75,0.05,IF(U55&lt;152.4,0.08,IF(U55&lt;304.8,0.1,"Check"))))</f>
        <v/>
      </c>
      <c r="Y55" s="56" t="str">
        <f>IF(V55="","",IF(V55&lt;75,0.05,IF(V55&lt;152.4,0.08,IF(V55&lt;304.8,0.1,"Check"))))</f>
        <v/>
      </c>
      <c r="Z55" s="27"/>
      <c r="AA55" s="4">
        <f>AA45</f>
        <v>23.888888888888889</v>
      </c>
      <c r="AB55" s="111"/>
      <c r="AC55" s="112">
        <f>AE55-2*AI55</f>
        <v>0</v>
      </c>
      <c r="AD55" s="18">
        <v>6.9903618485596776E-6</v>
      </c>
      <c r="AE55" s="114">
        <f t="shared" ref="AE55:AE59" si="53">IF(AA55&gt;D$20,0,IF(D$20&gt;AA56,(AA56-AA55)*D$15*AD56,(D$20-AA55)*AD56*D$15))</f>
        <v>0</v>
      </c>
      <c r="AF55" s="18">
        <v>1.7739513195473249E-4</v>
      </c>
      <c r="AG55" s="147">
        <f>IF(AA55&gt;D$20,0,IF(D$20&gt;AA56,(AA56-AA55)*D$18*AF56,(D$20-AA55)*AF56*D$18))</f>
        <v>0</v>
      </c>
      <c r="AH55" s="114">
        <v>4.227218458847732E-5</v>
      </c>
      <c r="AI55" s="138">
        <f>IF(AA55&gt;D$20,0,IF(D$20&gt;AA56,(AA56-AA55)*($D$15-$D$11)/2*AH56,(D$20-AA55)*AH56*($D$15-$D$11)/2))</f>
        <v>0</v>
      </c>
      <c r="AJ55" s="5"/>
      <c r="AK55" s="19" t="e">
        <f t="shared" ref="AK55:AK61" si="54">D$11+J$37-J$21+J$9</f>
        <v>#VALUE!</v>
      </c>
      <c r="AL55" s="199" t="e">
        <f>D$11+J$37-$AN$55+J$11-J$17+J$31-0.002</f>
        <v>#VALUE!</v>
      </c>
      <c r="AM55" s="269"/>
      <c r="AN55" s="201" t="e">
        <f>AO55-2*AP55</f>
        <v>#VALUE!</v>
      </c>
      <c r="AO55" s="127" t="e">
        <f>AD55*D15*J4</f>
        <v>#VALUE!</v>
      </c>
      <c r="AP55" s="114" t="e">
        <f>(D15-D11)/2*J4*AH55</f>
        <v>#VALUE!</v>
      </c>
    </row>
    <row r="56" spans="1:42" ht="14.4" customHeight="1" x14ac:dyDescent="0.3">
      <c r="F56" s="27"/>
      <c r="L56" s="27"/>
      <c r="M56" s="1" t="str">
        <f>IF(C$7=$O$53,IF($O55&lt;D$20,IF(D$20&lt;=$O56,C$7,""),""),"")</f>
        <v/>
      </c>
      <c r="O56" s="162">
        <f t="shared" ref="O56:O61" si="55">O46</f>
        <v>93</v>
      </c>
      <c r="P56" s="4">
        <v>9095.7569979</v>
      </c>
      <c r="Q56" s="7">
        <v>67.425581730000005</v>
      </c>
      <c r="R56" s="121"/>
      <c r="S56" s="18">
        <v>5.5080814781892998E-6</v>
      </c>
      <c r="T56" s="18">
        <v>2.1855191899176934E-4</v>
      </c>
      <c r="U56" s="24" t="str">
        <f t="shared" ref="U56:U61" si="56">IF(M56=$O$53,IF(D$20&gt;260,"Check Temperature",D$14-0.05),"")</f>
        <v/>
      </c>
      <c r="V56" s="24" t="str">
        <f t="shared" si="52"/>
        <v/>
      </c>
      <c r="W56" s="150" t="str">
        <f t="shared" ref="W56:W61" si="57">IF(M56=$O$53,IF(D$20&gt;260,"Check Temp Range",IF(D$20&gt;65,D$18-AG$62,D$18)),"")</f>
        <v/>
      </c>
      <c r="X56" s="56" t="str">
        <f t="shared" ref="X56:Y61" si="58">IF(U56="","",IF(U56&lt;75,0.05,IF(U56&lt;152.4,0.08,IF(U56&lt;304.8,0.1,"Check"))))</f>
        <v/>
      </c>
      <c r="Y56" s="56" t="str">
        <f t="shared" si="58"/>
        <v/>
      </c>
      <c r="Z56" s="27"/>
      <c r="AA56" s="4">
        <f t="shared" ref="AA56:AA62" si="59">AA46</f>
        <v>93.333333333333329</v>
      </c>
      <c r="AB56" s="111"/>
      <c r="AC56" s="112">
        <f t="shared" ref="AC56:AC61" si="60">AE56-2*AI56</f>
        <v>0</v>
      </c>
      <c r="AD56" s="18">
        <v>5.5080814781892998E-6</v>
      </c>
      <c r="AE56" s="114">
        <f t="shared" si="53"/>
        <v>0</v>
      </c>
      <c r="AF56" s="18">
        <v>2.1855191899176934E-4</v>
      </c>
      <c r="AG56" s="147">
        <f t="shared" ref="AG56:AG61" si="61">IF(AA56&gt;D$20,0,IF(D$20&gt;AA57,(AA57-AA56)*D$18*AF57,(D$20-AA56)*AF57*D$18))</f>
        <v>0</v>
      </c>
      <c r="AH56" s="114">
        <v>3.4679971625514398E-5</v>
      </c>
      <c r="AI56" s="138">
        <f t="shared" ref="AI56:AI61" si="62">IF(AA56&gt;D$20,0,IF(D$20&gt;AA57,(AA57-AA56)*($D$15-$D$11)/2*AH57,(D$20-AA56)*AH57*($D$15-$D$11)/2))</f>
        <v>0</v>
      </c>
      <c r="AJ56" s="5"/>
      <c r="AK56" s="19" t="e">
        <f t="shared" si="54"/>
        <v>#VALUE!</v>
      </c>
      <c r="AL56" s="199" t="e">
        <f t="shared" ref="AL56:AL61" si="63">D$11+J$37-$AN$55+J$11-J$17+J$31-0.002</f>
        <v>#VALUE!</v>
      </c>
      <c r="AM56" s="269"/>
    </row>
    <row r="57" spans="1:42" ht="14.4" customHeight="1" x14ac:dyDescent="0.3">
      <c r="F57" s="27"/>
      <c r="L57" s="27"/>
      <c r="M57" s="1" t="str">
        <f t="shared" ref="M57:M61" si="64">IF(C$7=$O$53,IF($O56&lt;D$20,IF(D$20&lt;=$O57,C$7,""),""),"")</f>
        <v/>
      </c>
      <c r="O57" s="162">
        <f t="shared" si="55"/>
        <v>121</v>
      </c>
      <c r="P57" s="4">
        <v>8018.0439570600001</v>
      </c>
      <c r="Q57" s="7">
        <v>62.91296131</v>
      </c>
      <c r="R57" s="121"/>
      <c r="S57" s="18">
        <v>5.5964145646090491E-6</v>
      </c>
      <c r="T57" s="18">
        <v>2.4254708411522604E-4</v>
      </c>
      <c r="U57" s="24" t="str">
        <f t="shared" si="56"/>
        <v/>
      </c>
      <c r="V57" s="24" t="str">
        <f t="shared" si="52"/>
        <v/>
      </c>
      <c r="W57" s="150" t="str">
        <f t="shared" si="57"/>
        <v/>
      </c>
      <c r="X57" s="56" t="str">
        <f t="shared" si="58"/>
        <v/>
      </c>
      <c r="Y57" s="56" t="str">
        <f t="shared" si="58"/>
        <v/>
      </c>
      <c r="Z57" s="27"/>
      <c r="AA57" s="4">
        <f t="shared" si="59"/>
        <v>121.11111111111111</v>
      </c>
      <c r="AB57" s="111"/>
      <c r="AC57" s="112">
        <f t="shared" si="60"/>
        <v>0</v>
      </c>
      <c r="AD57" s="18">
        <v>5.5964145646090491E-6</v>
      </c>
      <c r="AE57" s="114">
        <f t="shared" si="53"/>
        <v>0</v>
      </c>
      <c r="AF57" s="18">
        <v>2.4254708411522604E-4</v>
      </c>
      <c r="AG57" s="147">
        <f t="shared" si="61"/>
        <v>0</v>
      </c>
      <c r="AH57" s="114">
        <v>3.6319121316872559E-5</v>
      </c>
      <c r="AI57" s="138">
        <f t="shared" si="62"/>
        <v>0</v>
      </c>
      <c r="AJ57" s="5"/>
      <c r="AK57" s="19" t="e">
        <f t="shared" si="54"/>
        <v>#VALUE!</v>
      </c>
      <c r="AL57" s="199" t="e">
        <f t="shared" si="63"/>
        <v>#VALUE!</v>
      </c>
      <c r="AM57" s="269"/>
    </row>
    <row r="58" spans="1:42" ht="14.4" customHeight="1" x14ac:dyDescent="0.3">
      <c r="F58" s="27"/>
      <c r="L58" s="27"/>
      <c r="M58" s="1" t="str">
        <f t="shared" si="64"/>
        <v/>
      </c>
      <c r="O58" s="162">
        <f t="shared" si="55"/>
        <v>149</v>
      </c>
      <c r="P58" s="4">
        <v>6940.3309162199994</v>
      </c>
      <c r="Q58" s="7">
        <v>58.400340889999995</v>
      </c>
      <c r="R58" s="121"/>
      <c r="S58" s="18">
        <v>6.0744760460905188E-6</v>
      </c>
      <c r="T58" s="18">
        <v>2.7085143133744787E-4</v>
      </c>
      <c r="U58" s="24" t="str">
        <f t="shared" si="56"/>
        <v/>
      </c>
      <c r="V58" s="24" t="str">
        <f t="shared" si="52"/>
        <v/>
      </c>
      <c r="W58" s="150" t="str">
        <f t="shared" si="57"/>
        <v/>
      </c>
      <c r="X58" s="56" t="str">
        <f t="shared" si="58"/>
        <v/>
      </c>
      <c r="Y58" s="56" t="str">
        <f t="shared" si="58"/>
        <v/>
      </c>
      <c r="Z58" s="27"/>
      <c r="AA58" s="4">
        <f t="shared" si="59"/>
        <v>148.88888888888889</v>
      </c>
      <c r="AB58" s="111"/>
      <c r="AC58" s="112">
        <f t="shared" si="60"/>
        <v>0</v>
      </c>
      <c r="AD58" s="18">
        <v>6.0744760460905188E-6</v>
      </c>
      <c r="AE58" s="114">
        <f t="shared" si="53"/>
        <v>0</v>
      </c>
      <c r="AF58" s="18">
        <v>2.7085143133744787E-4</v>
      </c>
      <c r="AG58" s="147">
        <f t="shared" si="61"/>
        <v>0</v>
      </c>
      <c r="AH58" s="114">
        <v>4.0633348168724065E-5</v>
      </c>
      <c r="AI58" s="138">
        <f t="shared" si="62"/>
        <v>0</v>
      </c>
      <c r="AJ58" s="5"/>
      <c r="AK58" s="19" t="e">
        <f t="shared" si="54"/>
        <v>#VALUE!</v>
      </c>
      <c r="AL58" s="199" t="e">
        <f t="shared" si="63"/>
        <v>#VALUE!</v>
      </c>
      <c r="AM58" s="269"/>
    </row>
    <row r="59" spans="1:42" ht="14.4" customHeight="1" x14ac:dyDescent="0.3">
      <c r="F59" s="27"/>
      <c r="L59" s="27"/>
      <c r="M59" s="1" t="str">
        <f t="shared" si="64"/>
        <v/>
      </c>
      <c r="O59" s="162">
        <f t="shared" si="55"/>
        <v>177</v>
      </c>
      <c r="P59" s="4">
        <v>5862.6178753799995</v>
      </c>
      <c r="Q59" s="7">
        <v>53.887720469999998</v>
      </c>
      <c r="R59" s="121"/>
      <c r="S59" s="18">
        <v>6.9422659226337266E-6</v>
      </c>
      <c r="T59" s="18">
        <v>2.7085143133744787E-4</v>
      </c>
      <c r="U59" s="24" t="str">
        <f t="shared" si="56"/>
        <v/>
      </c>
      <c r="V59" s="24" t="str">
        <f t="shared" si="52"/>
        <v/>
      </c>
      <c r="W59" s="150" t="str">
        <f t="shared" si="57"/>
        <v/>
      </c>
      <c r="X59" s="56" t="str">
        <f t="shared" si="58"/>
        <v/>
      </c>
      <c r="Y59" s="56" t="str">
        <f t="shared" si="58"/>
        <v/>
      </c>
      <c r="Z59" s="27"/>
      <c r="AA59" s="4">
        <f t="shared" si="59"/>
        <v>176.66666666666666</v>
      </c>
      <c r="AB59" s="111"/>
      <c r="AC59" s="112">
        <f t="shared" si="60"/>
        <v>0</v>
      </c>
      <c r="AD59" s="18">
        <v>6.9422659226337266E-6</v>
      </c>
      <c r="AE59" s="114">
        <f t="shared" si="53"/>
        <v>0</v>
      </c>
      <c r="AF59" s="18">
        <v>2.7085143133744787E-4</v>
      </c>
      <c r="AG59" s="147">
        <f t="shared" si="61"/>
        <v>0</v>
      </c>
      <c r="AH59" s="114">
        <v>4.7622652181069856E-5</v>
      </c>
      <c r="AI59" s="138">
        <f t="shared" si="62"/>
        <v>0</v>
      </c>
      <c r="AJ59" s="5"/>
      <c r="AK59" s="19" t="e">
        <f t="shared" si="54"/>
        <v>#VALUE!</v>
      </c>
      <c r="AL59" s="199" t="e">
        <f t="shared" si="63"/>
        <v>#VALUE!</v>
      </c>
      <c r="AM59" s="269"/>
    </row>
    <row r="60" spans="1:42" ht="14.4" customHeight="1" x14ac:dyDescent="0.3">
      <c r="F60" s="27"/>
      <c r="L60" s="27"/>
      <c r="M60" s="1" t="str">
        <f t="shared" si="64"/>
        <v/>
      </c>
      <c r="O60" s="162">
        <f t="shared" si="55"/>
        <v>204</v>
      </c>
      <c r="P60" s="4">
        <v>4784.9048345399997</v>
      </c>
      <c r="Q60" s="7">
        <v>49.536265064999995</v>
      </c>
      <c r="R60" s="121"/>
      <c r="S60" s="18">
        <v>8.199784194238687E-6</v>
      </c>
      <c r="T60" s="18">
        <v>2.7085143133744787E-4</v>
      </c>
      <c r="U60" s="24" t="str">
        <f t="shared" si="56"/>
        <v/>
      </c>
      <c r="V60" s="24" t="str">
        <f t="shared" si="52"/>
        <v/>
      </c>
      <c r="W60" s="150" t="str">
        <f t="shared" si="57"/>
        <v/>
      </c>
      <c r="X60" s="56" t="str">
        <f t="shared" si="58"/>
        <v/>
      </c>
      <c r="Y60" s="56" t="str">
        <f t="shared" si="58"/>
        <v/>
      </c>
      <c r="Z60" s="27"/>
      <c r="AA60" s="4">
        <f t="shared" si="59"/>
        <v>204.44444444444443</v>
      </c>
      <c r="AB60" s="111"/>
      <c r="AC60" s="112">
        <f t="shared" si="60"/>
        <v>0</v>
      </c>
      <c r="AD60" s="18">
        <v>8.199784194238687E-6</v>
      </c>
      <c r="AE60" s="114">
        <f>IF(AA60&gt;D$20,0,IF(D$20&gt;AA61,(AA61-AA60)*D$15*AD61,(D$20-AA60)*AD61*D$15))</f>
        <v>0</v>
      </c>
      <c r="AF60" s="18">
        <v>2.7085143133744787E-4</v>
      </c>
      <c r="AG60" s="147">
        <f t="shared" si="61"/>
        <v>0</v>
      </c>
      <c r="AH60" s="114">
        <v>5.728703335390946E-5</v>
      </c>
      <c r="AI60" s="138">
        <f t="shared" si="62"/>
        <v>0</v>
      </c>
      <c r="AJ60" s="5"/>
      <c r="AK60" s="19" t="e">
        <f t="shared" si="54"/>
        <v>#VALUE!</v>
      </c>
      <c r="AL60" s="199" t="e">
        <f t="shared" si="63"/>
        <v>#VALUE!</v>
      </c>
      <c r="AM60" s="269"/>
    </row>
    <row r="61" spans="1:42" ht="14.4" customHeight="1" thickBot="1" x14ac:dyDescent="0.35">
      <c r="F61" s="27"/>
      <c r="L61" s="27"/>
      <c r="M61" s="1" t="str">
        <f t="shared" si="64"/>
        <v/>
      </c>
      <c r="O61" s="162">
        <f t="shared" si="55"/>
        <v>260</v>
      </c>
      <c r="P61" s="174">
        <v>3707.1917936999998</v>
      </c>
      <c r="Q61" s="131">
        <v>40.511024225</v>
      </c>
      <c r="R61" s="128"/>
      <c r="S61" s="121">
        <v>8.4641027181070103E-5</v>
      </c>
      <c r="T61" s="121">
        <v>4.2716064121399178E-4</v>
      </c>
      <c r="U61" s="24" t="str">
        <f t="shared" si="56"/>
        <v/>
      </c>
      <c r="V61" s="24" t="str">
        <f>IF(M61=$O$53,IF(AK61&gt;AL61,AK61,AL61),"")</f>
        <v/>
      </c>
      <c r="W61" s="150" t="str">
        <f t="shared" si="57"/>
        <v/>
      </c>
      <c r="X61" s="56" t="str">
        <f t="shared" si="58"/>
        <v/>
      </c>
      <c r="Y61" s="56" t="str">
        <f t="shared" si="58"/>
        <v/>
      </c>
      <c r="Z61" s="27"/>
      <c r="AA61" s="4">
        <f t="shared" si="59"/>
        <v>260</v>
      </c>
      <c r="AB61" s="132"/>
      <c r="AC61" s="112">
        <f t="shared" si="60"/>
        <v>0</v>
      </c>
      <c r="AD61" s="18">
        <v>8.4641027181070103E-5</v>
      </c>
      <c r="AE61" s="114">
        <f>IF(AA61&gt;D$20,0,IF(D$20&gt;AA62,(AA62-AA61)*D$15*AD61,(D$20-AA61)*AD61*D$15))</f>
        <v>0</v>
      </c>
      <c r="AF61" s="18">
        <v>4.2716064121399178E-4</v>
      </c>
      <c r="AG61" s="147">
        <f t="shared" si="61"/>
        <v>0</v>
      </c>
      <c r="AH61" s="127">
        <v>8.4641027181070117E-5</v>
      </c>
      <c r="AI61" s="138">
        <f t="shared" si="62"/>
        <v>0</v>
      </c>
      <c r="AJ61" s="5"/>
      <c r="AK61" s="19" t="e">
        <f t="shared" si="54"/>
        <v>#VALUE!</v>
      </c>
      <c r="AL61" s="199" t="e">
        <f t="shared" si="63"/>
        <v>#VALUE!</v>
      </c>
      <c r="AM61" s="270"/>
    </row>
    <row r="62" spans="1:42" ht="14.4" customHeight="1" x14ac:dyDescent="0.3">
      <c r="F62" s="27"/>
      <c r="L62" s="27"/>
      <c r="Z62" s="27"/>
      <c r="AA62" s="4">
        <f t="shared" si="59"/>
        <v>287.77777777777777</v>
      </c>
      <c r="AC62" s="178">
        <f>SUM(AC55:AC61)</f>
        <v>0</v>
      </c>
      <c r="AE62" s="1">
        <f>SUM(AE55:AE61)</f>
        <v>0</v>
      </c>
      <c r="AG62" s="1">
        <f>SUM(AG55:AG61)</f>
        <v>0</v>
      </c>
      <c r="AI62" s="1">
        <f>SUM(AI55:AI61)</f>
        <v>0</v>
      </c>
      <c r="AM62" s="203"/>
    </row>
    <row r="63" spans="1:42" ht="14.4" customHeight="1" x14ac:dyDescent="0.3">
      <c r="F63" s="27"/>
      <c r="L63" s="27"/>
      <c r="O63" s="21" t="s">
        <v>89</v>
      </c>
      <c r="P63" s="21" t="s">
        <v>90</v>
      </c>
      <c r="Q63" s="21" t="s">
        <v>152</v>
      </c>
      <c r="R63" s="21" t="s">
        <v>153</v>
      </c>
      <c r="S63" s="21" t="s">
        <v>153</v>
      </c>
      <c r="Z63" s="27"/>
    </row>
    <row r="64" spans="1:42" ht="14.4" customHeight="1" x14ac:dyDescent="0.3">
      <c r="F64" s="27"/>
      <c r="L64" s="27"/>
      <c r="O64" s="21" t="s">
        <v>129</v>
      </c>
      <c r="P64" s="21">
        <f>P65</f>
        <v>0.28999999999999998</v>
      </c>
      <c r="Q64" s="61">
        <f>Q65</f>
        <v>193053.20420871413</v>
      </c>
      <c r="R64" s="31">
        <f>C13</f>
        <v>0</v>
      </c>
      <c r="S64" s="31">
        <f>C17</f>
        <v>0</v>
      </c>
      <c r="Z64" s="27"/>
    </row>
    <row r="65" spans="4:26" ht="14.4" customHeight="1" x14ac:dyDescent="0.3">
      <c r="F65" s="27"/>
      <c r="L65" s="27"/>
      <c r="O65" s="21" t="s">
        <v>93</v>
      </c>
      <c r="P65" s="21">
        <v>0.28999999999999998</v>
      </c>
      <c r="Q65" s="61">
        <v>193053.20420871413</v>
      </c>
      <c r="R65" s="31">
        <f>1.8*0.000009</f>
        <v>1.6200000000000001E-5</v>
      </c>
      <c r="S65" s="31">
        <f>R65</f>
        <v>1.6200000000000001E-5</v>
      </c>
      <c r="U65" s="79"/>
      <c r="V65" s="79"/>
      <c r="Z65" s="27"/>
    </row>
    <row r="66" spans="4:26" ht="14.4" customHeight="1" x14ac:dyDescent="0.3">
      <c r="F66" s="27"/>
      <c r="L66" s="27"/>
      <c r="O66" s="21" t="s">
        <v>94</v>
      </c>
      <c r="P66" s="21">
        <v>0.3</v>
      </c>
      <c r="Q66" s="61">
        <v>199947.96150188247</v>
      </c>
      <c r="R66" s="31">
        <f>1.8*0.000006</f>
        <v>1.08E-5</v>
      </c>
      <c r="S66" s="31">
        <f t="shared" ref="S66:S73" si="65">R66</f>
        <v>1.08E-5</v>
      </c>
      <c r="U66" s="79"/>
      <c r="V66" s="79"/>
      <c r="Z66" s="27"/>
    </row>
    <row r="67" spans="4:26" ht="14.4" customHeight="1" x14ac:dyDescent="0.3">
      <c r="F67" s="27"/>
      <c r="L67" s="27"/>
      <c r="O67" s="21" t="s">
        <v>95</v>
      </c>
      <c r="P67" s="21">
        <v>0.28999999999999998</v>
      </c>
      <c r="Q67" s="61">
        <v>204774.29160710034</v>
      </c>
      <c r="R67" s="31">
        <f>1.8*0.0000058</f>
        <v>1.0440000000000002E-5</v>
      </c>
      <c r="S67" s="31">
        <f t="shared" si="65"/>
        <v>1.0440000000000002E-5</v>
      </c>
      <c r="U67" s="79"/>
      <c r="V67" s="79"/>
      <c r="Z67" s="27"/>
    </row>
    <row r="68" spans="4:26" ht="14.4" customHeight="1" x14ac:dyDescent="0.3">
      <c r="D68" s="166"/>
      <c r="F68" s="27"/>
      <c r="L68" s="27"/>
      <c r="O68" s="21" t="s">
        <v>209</v>
      </c>
      <c r="P68" s="21">
        <v>0.28999999999999998</v>
      </c>
      <c r="Q68" s="61">
        <v>797000</v>
      </c>
      <c r="R68" s="31">
        <v>1.3699999999999999E-5</v>
      </c>
      <c r="S68" s="31">
        <v>1.3699999999999999E-5</v>
      </c>
      <c r="T68" s="166"/>
      <c r="U68" s="79"/>
      <c r="V68" s="79"/>
      <c r="Z68" s="27"/>
    </row>
    <row r="69" spans="4:26" ht="14.4" customHeight="1" x14ac:dyDescent="0.3">
      <c r="F69" s="27"/>
      <c r="L69" s="27"/>
      <c r="O69" s="21" t="s">
        <v>96</v>
      </c>
      <c r="P69" s="21">
        <v>0.28999999999999998</v>
      </c>
      <c r="Q69" s="61">
        <v>202705.86441914985</v>
      </c>
      <c r="R69" s="31">
        <f>1.8*0.0000065</f>
        <v>1.17E-5</v>
      </c>
      <c r="S69" s="31">
        <f t="shared" si="65"/>
        <v>1.17E-5</v>
      </c>
      <c r="U69" s="79"/>
      <c r="V69" s="79"/>
      <c r="Z69" s="27"/>
    </row>
    <row r="70" spans="4:26" ht="14.4" customHeight="1" x14ac:dyDescent="0.3">
      <c r="F70" s="27"/>
      <c r="L70" s="27"/>
      <c r="O70" s="21" t="s">
        <v>97</v>
      </c>
      <c r="P70" s="21">
        <v>0.3</v>
      </c>
      <c r="Q70" s="61">
        <v>193053.20420871413</v>
      </c>
      <c r="R70" s="31">
        <f>1.8*0.0000084</f>
        <v>1.5119999999999999E-5</v>
      </c>
      <c r="S70" s="31">
        <f t="shared" si="65"/>
        <v>1.5119999999999999E-5</v>
      </c>
      <c r="U70" s="79"/>
      <c r="V70" s="79"/>
      <c r="Z70" s="27"/>
    </row>
    <row r="71" spans="4:26" ht="14.4" customHeight="1" x14ac:dyDescent="0.3">
      <c r="F71" s="27"/>
      <c r="L71" s="27"/>
      <c r="O71" s="21" t="s">
        <v>98</v>
      </c>
      <c r="P71" s="21">
        <v>0.3</v>
      </c>
      <c r="Q71" s="61">
        <v>193053.20420871413</v>
      </c>
      <c r="R71" s="31">
        <f>1.8*0.0000086</f>
        <v>1.5480000000000001E-5</v>
      </c>
      <c r="S71" s="31">
        <f t="shared" si="65"/>
        <v>1.5480000000000001E-5</v>
      </c>
      <c r="U71" s="79"/>
      <c r="V71" s="79"/>
      <c r="Z71" s="27"/>
    </row>
    <row r="72" spans="4:26" ht="14.4" customHeight="1" x14ac:dyDescent="0.3">
      <c r="F72" s="27"/>
      <c r="L72" s="27"/>
      <c r="O72" s="21" t="s">
        <v>99</v>
      </c>
      <c r="P72" s="21">
        <v>0.28999999999999998</v>
      </c>
      <c r="Q72" s="61">
        <v>115831.92252522847</v>
      </c>
      <c r="R72" s="31">
        <f>1.8*0.0000058</f>
        <v>1.0440000000000002E-5</v>
      </c>
      <c r="S72" s="31">
        <f t="shared" si="65"/>
        <v>1.0440000000000002E-5</v>
      </c>
      <c r="U72" s="80"/>
      <c r="V72" s="80"/>
      <c r="Z72" s="27"/>
    </row>
    <row r="73" spans="4:26" ht="14.4" customHeight="1" x14ac:dyDescent="0.3">
      <c r="F73" s="27"/>
      <c r="L73" s="27"/>
      <c r="O73" s="21" t="s">
        <v>100</v>
      </c>
      <c r="P73" s="21">
        <v>0.3</v>
      </c>
      <c r="Q73" s="61">
        <v>99973.980750941235</v>
      </c>
      <c r="R73" s="31">
        <f>1.8*0.00001</f>
        <v>1.8E-5</v>
      </c>
      <c r="S73" s="31">
        <f t="shared" si="65"/>
        <v>1.8E-5</v>
      </c>
      <c r="U73" s="80"/>
      <c r="V73" s="80"/>
      <c r="Z73" s="27"/>
    </row>
    <row r="74" spans="4:26" ht="14.4" customHeight="1" x14ac:dyDescent="0.3">
      <c r="F74" s="27"/>
      <c r="L74" s="27"/>
      <c r="Z74" s="27"/>
    </row>
    <row r="75" spans="4:26" ht="14.4" customHeight="1" x14ac:dyDescent="0.3">
      <c r="F75" s="27"/>
      <c r="L75" s="27"/>
      <c r="O75" s="208" t="s">
        <v>4</v>
      </c>
      <c r="P75" s="210"/>
      <c r="Q75" s="161" t="s">
        <v>142</v>
      </c>
      <c r="R75" s="161" t="s">
        <v>129</v>
      </c>
      <c r="S75" s="23"/>
      <c r="Z75" s="27"/>
    </row>
    <row r="76" spans="4:26" ht="14.4" customHeight="1" x14ac:dyDescent="0.3">
      <c r="F76" s="27"/>
      <c r="L76" s="27"/>
      <c r="O76" s="162" t="s">
        <v>78</v>
      </c>
      <c r="P76" s="20"/>
      <c r="Z76" s="27"/>
    </row>
    <row r="77" spans="4:26" ht="14.4" customHeight="1" x14ac:dyDescent="0.3">
      <c r="F77" s="27"/>
      <c r="L77" s="27"/>
      <c r="O77" s="162" t="s">
        <v>1</v>
      </c>
      <c r="P77" s="20"/>
      <c r="R77" s="179"/>
      <c r="Z77" s="27"/>
    </row>
    <row r="78" spans="4:26" ht="14.4" customHeight="1" x14ac:dyDescent="0.3">
      <c r="L78" s="27"/>
      <c r="O78" s="162" t="s">
        <v>79</v>
      </c>
      <c r="P78" s="20"/>
      <c r="R78" s="179"/>
      <c r="Z78" s="27"/>
    </row>
    <row r="79" spans="4:26" ht="14.4" customHeight="1" x14ac:dyDescent="0.3">
      <c r="L79" s="27"/>
      <c r="O79" s="162" t="s">
        <v>2</v>
      </c>
      <c r="P79" s="20"/>
      <c r="R79" s="179"/>
      <c r="Z79" s="27"/>
    </row>
    <row r="80" spans="4:26" ht="14.4" customHeight="1" x14ac:dyDescent="0.3">
      <c r="L80" s="27"/>
      <c r="O80" s="162" t="s">
        <v>199</v>
      </c>
      <c r="P80" s="20"/>
      <c r="R80" s="179"/>
      <c r="Z80" s="27"/>
    </row>
    <row r="81" spans="12:26" ht="14.4" customHeight="1" x14ac:dyDescent="0.3">
      <c r="L81" s="27"/>
      <c r="O81" s="162" t="s">
        <v>3</v>
      </c>
      <c r="P81" s="20"/>
      <c r="R81" s="179"/>
      <c r="Z81" s="27"/>
    </row>
    <row r="82" spans="12:26" ht="14.4" customHeight="1" x14ac:dyDescent="0.3">
      <c r="L82" s="27"/>
      <c r="Z82" s="27"/>
    </row>
    <row r="83" spans="12:26" ht="14.4" customHeight="1" x14ac:dyDescent="0.3">
      <c r="L83" s="27"/>
      <c r="O83" s="208" t="s">
        <v>5</v>
      </c>
      <c r="P83" s="209"/>
      <c r="Q83" s="209"/>
      <c r="R83" s="210"/>
      <c r="Z83" s="27"/>
    </row>
    <row r="84" spans="12:26" ht="14.4" customHeight="1" x14ac:dyDescent="0.3">
      <c r="L84" s="27"/>
      <c r="O84" s="162" t="s">
        <v>103</v>
      </c>
      <c r="P84" s="162" t="s">
        <v>107</v>
      </c>
      <c r="Q84" s="162" t="s">
        <v>108</v>
      </c>
      <c r="R84" s="162" t="s">
        <v>109</v>
      </c>
      <c r="T84" s="162" t="s">
        <v>129</v>
      </c>
      <c r="Z84" s="27"/>
    </row>
    <row r="85" spans="12:26" x14ac:dyDescent="0.3">
      <c r="L85" s="27"/>
      <c r="O85" s="162" t="s">
        <v>104</v>
      </c>
      <c r="P85" s="102">
        <f>IF(D$11&lt;125,0.08+(D$11*0.001),0.2+((D$11-125)*0.0005))</f>
        <v>0.08</v>
      </c>
      <c r="Q85" s="102">
        <f>R85</f>
        <v>0.1</v>
      </c>
      <c r="R85" s="102">
        <f>IF(D$11&lt;125,0.1+(D$11*0.0015),0.3+((D$11-125)*0.001))</f>
        <v>0.1</v>
      </c>
      <c r="S85" s="161">
        <v>2</v>
      </c>
      <c r="T85" s="164" t="str">
        <f>IF(C8=R75,C9,"")</f>
        <v/>
      </c>
      <c r="Z85" s="27"/>
    </row>
    <row r="86" spans="12:26" x14ac:dyDescent="0.3">
      <c r="L86" s="27"/>
      <c r="O86" s="162" t="s">
        <v>105</v>
      </c>
      <c r="P86" s="102">
        <f>IF(D$11&lt;125,0.08+(D$11*0.001),0.2+((D$11-125)*0.0005))</f>
        <v>0.08</v>
      </c>
      <c r="Q86" s="102">
        <f t="shared" ref="Q86:Q87" si="66">R86</f>
        <v>0.1</v>
      </c>
      <c r="R86" s="102">
        <f t="shared" ref="R86:R87" si="67">IF(D$11&lt;125,0.1+(D$11*0.0015),0.3+((D$11-125)*0.001))</f>
        <v>0.1</v>
      </c>
      <c r="S86" s="161">
        <v>3</v>
      </c>
      <c r="Z86" s="27"/>
    </row>
    <row r="87" spans="12:26" x14ac:dyDescent="0.3">
      <c r="L87" s="27"/>
      <c r="O87" s="162" t="s">
        <v>106</v>
      </c>
      <c r="P87" s="102">
        <f>R87+0.05</f>
        <v>0.15000000000000002</v>
      </c>
      <c r="Q87" s="102">
        <f t="shared" si="66"/>
        <v>0.1</v>
      </c>
      <c r="R87" s="102">
        <f t="shared" si="67"/>
        <v>0.1</v>
      </c>
      <c r="S87" s="161">
        <v>4</v>
      </c>
      <c r="Z87" s="27"/>
    </row>
    <row r="88" spans="12:26" x14ac:dyDescent="0.3">
      <c r="L88" s="27"/>
      <c r="M88" s="27"/>
      <c r="N88" s="27"/>
      <c r="Z88" s="27"/>
    </row>
    <row r="89" spans="12:26" x14ac:dyDescent="0.3">
      <c r="O89" s="162"/>
      <c r="P89" s="162" t="s">
        <v>107</v>
      </c>
      <c r="Q89" s="162" t="s">
        <v>108</v>
      </c>
      <c r="R89" s="162" t="s">
        <v>109</v>
      </c>
    </row>
    <row r="90" spans="12:26" x14ac:dyDescent="0.3">
      <c r="O90" s="162" t="s">
        <v>104</v>
      </c>
      <c r="P90" s="63" t="str">
        <f>""</f>
        <v/>
      </c>
      <c r="Q90" s="38" t="s">
        <v>165</v>
      </c>
      <c r="R90" s="38" t="s">
        <v>166</v>
      </c>
      <c r="S90" s="161">
        <v>2</v>
      </c>
    </row>
    <row r="91" spans="12:26" x14ac:dyDescent="0.3">
      <c r="O91" s="162" t="s">
        <v>105</v>
      </c>
      <c r="P91" s="63" t="str">
        <f>""</f>
        <v/>
      </c>
      <c r="Q91" s="38" t="s">
        <v>165</v>
      </c>
      <c r="R91" s="38" t="s">
        <v>166</v>
      </c>
      <c r="S91" s="161">
        <v>3</v>
      </c>
    </row>
    <row r="92" spans="12:26" x14ac:dyDescent="0.3">
      <c r="O92" s="162" t="s">
        <v>106</v>
      </c>
      <c r="P92" s="38" t="s">
        <v>185</v>
      </c>
      <c r="Q92" s="38" t="s">
        <v>165</v>
      </c>
      <c r="R92" s="38" t="s">
        <v>166</v>
      </c>
      <c r="S92" s="161">
        <v>4</v>
      </c>
    </row>
    <row r="94" spans="12:26" x14ac:dyDescent="0.3">
      <c r="P94" s="23"/>
    </row>
  </sheetData>
  <sheetProtection sheet="1" selectLockedCells="1"/>
  <mergeCells count="117">
    <mergeCell ref="A1:E1"/>
    <mergeCell ref="A2:E2"/>
    <mergeCell ref="B3:D3"/>
    <mergeCell ref="A6:B6"/>
    <mergeCell ref="C6:E6"/>
    <mergeCell ref="A10:A11"/>
    <mergeCell ref="A14:A15"/>
    <mergeCell ref="A23:C23"/>
    <mergeCell ref="A27:E27"/>
    <mergeCell ref="G3:K3"/>
    <mergeCell ref="M3:N3"/>
    <mergeCell ref="AI3:AJ3"/>
    <mergeCell ref="A4:E4"/>
    <mergeCell ref="G4:H4"/>
    <mergeCell ref="A5:B5"/>
    <mergeCell ref="C5:E5"/>
    <mergeCell ref="G5:H5"/>
    <mergeCell ref="P3:Q3"/>
    <mergeCell ref="R3:T3"/>
    <mergeCell ref="U3:Y3"/>
    <mergeCell ref="G6:K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G10:H10"/>
    <mergeCell ref="G11:H11"/>
    <mergeCell ref="A12:B12"/>
    <mergeCell ref="C12:E12"/>
    <mergeCell ref="G12:K12"/>
    <mergeCell ref="C13:E13"/>
    <mergeCell ref="G13:H13"/>
    <mergeCell ref="AI13:AJ13"/>
    <mergeCell ref="P13:Q13"/>
    <mergeCell ref="R13:T13"/>
    <mergeCell ref="U13:Y13"/>
    <mergeCell ref="G14:H14"/>
    <mergeCell ref="G15:H15"/>
    <mergeCell ref="A22:C22"/>
    <mergeCell ref="G22:H22"/>
    <mergeCell ref="A16:B16"/>
    <mergeCell ref="C16:E16"/>
    <mergeCell ref="G16:H16"/>
    <mergeCell ref="C17:E17"/>
    <mergeCell ref="G17:H17"/>
    <mergeCell ref="G18:K18"/>
    <mergeCell ref="A19:A20"/>
    <mergeCell ref="G19:H19"/>
    <mergeCell ref="G20:H20"/>
    <mergeCell ref="A21:E21"/>
    <mergeCell ref="G21:H21"/>
    <mergeCell ref="G23:H23"/>
    <mergeCell ref="AI23:AJ23"/>
    <mergeCell ref="A24:C24"/>
    <mergeCell ref="G24:H24"/>
    <mergeCell ref="A25:C25"/>
    <mergeCell ref="G25:K25"/>
    <mergeCell ref="A26:E26"/>
    <mergeCell ref="G26:H26"/>
    <mergeCell ref="P23:Q23"/>
    <mergeCell ref="R23:T23"/>
    <mergeCell ref="U23:Y23"/>
    <mergeCell ref="G27:H27"/>
    <mergeCell ref="A28:E28"/>
    <mergeCell ref="G28:H28"/>
    <mergeCell ref="A29:E29"/>
    <mergeCell ref="G29:H29"/>
    <mergeCell ref="A30:E30"/>
    <mergeCell ref="G30:H30"/>
    <mergeCell ref="A31:E31"/>
    <mergeCell ref="G31:H31"/>
    <mergeCell ref="G32:K32"/>
    <mergeCell ref="A33:E33"/>
    <mergeCell ref="G33:H33"/>
    <mergeCell ref="AI33:AJ33"/>
    <mergeCell ref="A34:E34"/>
    <mergeCell ref="G34:H34"/>
    <mergeCell ref="A35:E35"/>
    <mergeCell ref="G35:K35"/>
    <mergeCell ref="A32:E32"/>
    <mergeCell ref="P33:Q33"/>
    <mergeCell ref="R33:T33"/>
    <mergeCell ref="U33:Y33"/>
    <mergeCell ref="O75:P75"/>
    <mergeCell ref="O83:R83"/>
    <mergeCell ref="AI43:AJ43"/>
    <mergeCell ref="A36:E36"/>
    <mergeCell ref="G36:H36"/>
    <mergeCell ref="A37:E37"/>
    <mergeCell ref="G37:H37"/>
    <mergeCell ref="A38:E38"/>
    <mergeCell ref="A39:E39"/>
    <mergeCell ref="A40:E40"/>
    <mergeCell ref="A41:E41"/>
    <mergeCell ref="A42:E42"/>
    <mergeCell ref="A43:E43"/>
    <mergeCell ref="A49:E49"/>
    <mergeCell ref="A50:E50"/>
    <mergeCell ref="A44:E44"/>
    <mergeCell ref="A45:E45"/>
    <mergeCell ref="A46:E46"/>
    <mergeCell ref="A47:E47"/>
    <mergeCell ref="A48:E48"/>
    <mergeCell ref="P43:Q43"/>
    <mergeCell ref="R43:T43"/>
    <mergeCell ref="U43:Y43"/>
    <mergeCell ref="P53:Q53"/>
    <mergeCell ref="R53:T53"/>
    <mergeCell ref="U53:Y53"/>
    <mergeCell ref="AM2:AM61"/>
    <mergeCell ref="AK53:AL53"/>
    <mergeCell ref="AN53:AP53"/>
  </mergeCells>
  <conditionalFormatting sqref="E3">
    <cfRule type="cellIs" dxfId="9" priority="10" operator="equal">
      <formula>""</formula>
    </cfRule>
  </conditionalFormatting>
  <conditionalFormatting sqref="C5:E8">
    <cfRule type="cellIs" dxfId="8" priority="9" operator="equal">
      <formula>""</formula>
    </cfRule>
  </conditionalFormatting>
  <conditionalFormatting sqref="D10:D11">
    <cfRule type="cellIs" dxfId="7" priority="8" operator="equal">
      <formula>""</formula>
    </cfRule>
  </conditionalFormatting>
  <conditionalFormatting sqref="D14:D15">
    <cfRule type="cellIs" dxfId="6" priority="7" operator="equal">
      <formula>""</formula>
    </cfRule>
  </conditionalFormatting>
  <conditionalFormatting sqref="C16:E16">
    <cfRule type="cellIs" dxfId="5" priority="6" operator="equal">
      <formula>""</formula>
    </cfRule>
  </conditionalFormatting>
  <conditionalFormatting sqref="D18:D20">
    <cfRule type="cellIs" dxfId="4" priority="5" operator="equal">
      <formula>""</formula>
    </cfRule>
  </conditionalFormatting>
  <conditionalFormatting sqref="C12:E12">
    <cfRule type="cellIs" dxfId="3" priority="4" operator="equal">
      <formula>""</formula>
    </cfRule>
  </conditionalFormatting>
  <conditionalFormatting sqref="C9:E9">
    <cfRule type="cellIs" dxfId="2" priority="3" operator="equal">
      <formula>"Enter Custom Value"</formula>
    </cfRule>
  </conditionalFormatting>
  <conditionalFormatting sqref="C13:E13">
    <cfRule type="cellIs" dxfId="1" priority="2" operator="equal">
      <formula>"Enter Custom Value"</formula>
    </cfRule>
  </conditionalFormatting>
  <conditionalFormatting sqref="C17:E17">
    <cfRule type="cellIs" dxfId="0" priority="1" operator="equal">
      <formula>"Enter Custom Value"</formula>
    </cfRule>
  </conditionalFormatting>
  <dataValidations count="9">
    <dataValidation type="list" allowBlank="1" showInputMessage="1" showErrorMessage="1" sqref="C16:E16 C12:E12" xr:uid="{7BAC340B-6A27-4B6D-A79B-46875B4FAE7D}">
      <formula1>$O$64:$O$73</formula1>
    </dataValidation>
    <dataValidation type="list" allowBlank="1" showInputMessage="1" showErrorMessage="1" sqref="C6" xr:uid="{42530EAC-8E04-4241-9803-24523CDC5978}">
      <formula1>$P$84:$R$84</formula1>
    </dataValidation>
    <dataValidation type="list" allowBlank="1" showInputMessage="1" showErrorMessage="1" sqref="C5" xr:uid="{FF3B9B5C-27B7-4574-9259-B69313CC4FDB}">
      <formula1>$O$85:$O$87</formula1>
    </dataValidation>
    <dataValidation type="list" allowBlank="1" showInputMessage="1" showErrorMessage="1" sqref="C7:E7" xr:uid="{0C9D84CD-53BC-49FE-8D47-4F106660E638}">
      <formula1>$O$76:$O$81</formula1>
    </dataValidation>
    <dataValidation type="list" allowBlank="1" showInputMessage="1" showErrorMessage="1" sqref="C8:E8" xr:uid="{7F8C1615-B632-48FC-A5EC-3BD3C45806A4}">
      <formula1>$Q$75:$R$75</formula1>
    </dataValidation>
    <dataValidation type="decimal" allowBlank="1" showInputMessage="1" showErrorMessage="1" error="Value should be equal to minimum stationary bore ID or up to .127 mm over." sqref="D15" xr:uid="{239E2439-FBAD-4D59-B8D6-3085418001DB}">
      <formula1>D14</formula1>
      <formula2>D14+0.127</formula2>
    </dataValidation>
    <dataValidation type="decimal" allowBlank="1" showInputMessage="1" showErrorMessage="1" error="Value should be equal to minimum rotating element OD or up to .127 mm over." sqref="D11" xr:uid="{E6BAE57A-D79F-4B48-9C99-46D328A70BF4}">
      <formula1>D10</formula1>
      <formula2>D10+0.127</formula2>
    </dataValidation>
    <dataValidation type="whole" operator="greaterThanOrEqual" allowBlank="1" showInputMessage="1" showErrorMessage="1" errorTitle="Maximum Temperature" error="Must be 24°C or more" sqref="D20" xr:uid="{909DA28D-4BDC-4E4F-85E4-2DB19D506FCA}">
      <formula1>24</formula1>
    </dataValidation>
    <dataValidation type="whole" operator="lessThanOrEqual" allowBlank="1" showInputMessage="1" showErrorMessage="1" errorTitle="Minimum Temperature" error="Must be 24°C or less" sqref="D19" xr:uid="{FF737896-4903-4862-81CD-9D7D41B7D8F7}">
      <formula1>24</formula1>
    </dataValidation>
  </dataValidations>
  <pageMargins left="0.7" right="0.7" top="0.75" bottom="0.75" header="0.3" footer="0.3"/>
  <pageSetup orientation="portrait" r:id="rId1"/>
  <headerFooter>
    <oddFooter>&amp;C&amp;Z&amp;F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zoomScaleNormal="100" workbookViewId="0">
      <selection activeCell="B9" sqref="B9"/>
    </sheetView>
  </sheetViews>
  <sheetFormatPr defaultColWidth="8.88671875" defaultRowHeight="13.8" x14ac:dyDescent="0.3"/>
  <cols>
    <col min="1" max="1" width="14.109375" style="84" bestFit="1" customWidth="1"/>
    <col min="2" max="2" width="62.6640625" style="73" customWidth="1"/>
    <col min="3" max="3" width="11" style="72" customWidth="1"/>
    <col min="4" max="16384" width="8.88671875" style="1"/>
  </cols>
  <sheetData>
    <row r="1" spans="1:3" ht="21" x14ac:dyDescent="0.3">
      <c r="A1" s="74" t="s">
        <v>173</v>
      </c>
      <c r="B1" s="75" t="s">
        <v>196</v>
      </c>
      <c r="C1" s="76" t="s">
        <v>174</v>
      </c>
    </row>
    <row r="2" spans="1:3" x14ac:dyDescent="0.3">
      <c r="A2" s="46" t="s">
        <v>175</v>
      </c>
      <c r="B2" s="77" t="s">
        <v>176</v>
      </c>
      <c r="C2" s="78">
        <v>43270</v>
      </c>
    </row>
    <row r="3" spans="1:3" x14ac:dyDescent="0.3">
      <c r="A3" s="46" t="s">
        <v>177</v>
      </c>
      <c r="B3" s="77" t="s">
        <v>178</v>
      </c>
      <c r="C3" s="78">
        <v>43279</v>
      </c>
    </row>
    <row r="4" spans="1:3" x14ac:dyDescent="0.3">
      <c r="A4" s="46" t="s">
        <v>180</v>
      </c>
      <c r="B4" s="77" t="s">
        <v>181</v>
      </c>
      <c r="C4" s="78">
        <v>43286</v>
      </c>
    </row>
    <row r="5" spans="1:3" ht="41.4" x14ac:dyDescent="0.3">
      <c r="A5" s="46" t="s">
        <v>182</v>
      </c>
      <c r="B5" s="77" t="s">
        <v>183</v>
      </c>
      <c r="C5" s="78">
        <v>43320</v>
      </c>
    </row>
    <row r="6" spans="1:3" ht="41.4" x14ac:dyDescent="0.3">
      <c r="A6" s="46" t="s">
        <v>184</v>
      </c>
      <c r="B6" s="77" t="s">
        <v>187</v>
      </c>
      <c r="C6" s="78">
        <v>43384</v>
      </c>
    </row>
    <row r="7" spans="1:3" ht="69" x14ac:dyDescent="0.3">
      <c r="A7" s="46" t="s">
        <v>188</v>
      </c>
      <c r="B7" s="77" t="s">
        <v>195</v>
      </c>
      <c r="C7" s="78">
        <v>43531</v>
      </c>
    </row>
    <row r="8" spans="1:3" ht="41.4" x14ac:dyDescent="0.3">
      <c r="A8" s="46" t="s">
        <v>197</v>
      </c>
      <c r="B8" s="77" t="s">
        <v>198</v>
      </c>
      <c r="C8" s="78">
        <v>43780</v>
      </c>
    </row>
    <row r="9" spans="1:3" ht="41.4" x14ac:dyDescent="0.3">
      <c r="A9" s="83" t="s">
        <v>239</v>
      </c>
      <c r="B9" s="77" t="s">
        <v>208</v>
      </c>
      <c r="C9" s="78">
        <v>43934</v>
      </c>
    </row>
    <row r="10" spans="1:3" x14ac:dyDescent="0.3">
      <c r="A10" s="83"/>
      <c r="B10" s="77"/>
      <c r="C10" s="78"/>
    </row>
    <row r="11" spans="1:3" x14ac:dyDescent="0.3">
      <c r="A11" s="83"/>
      <c r="B11" s="77"/>
      <c r="C11" s="78"/>
    </row>
    <row r="12" spans="1:3" x14ac:dyDescent="0.3">
      <c r="A12" s="83"/>
      <c r="B12" s="77"/>
      <c r="C12" s="78"/>
    </row>
    <row r="13" spans="1:3" x14ac:dyDescent="0.3">
      <c r="A13" s="83"/>
      <c r="B13" s="77"/>
      <c r="C13" s="78"/>
    </row>
    <row r="14" spans="1:3" x14ac:dyDescent="0.3">
      <c r="A14" s="83"/>
      <c r="B14" s="77"/>
      <c r="C14" s="78"/>
    </row>
    <row r="15" spans="1:3" x14ac:dyDescent="0.3">
      <c r="A15" s="83"/>
      <c r="B15" s="77"/>
      <c r="C15" s="78"/>
    </row>
    <row r="16" spans="1:3" x14ac:dyDescent="0.3">
      <c r="A16" s="83"/>
      <c r="B16" s="77"/>
      <c r="C16" s="78"/>
    </row>
    <row r="17" spans="1:3" x14ac:dyDescent="0.3">
      <c r="A17" s="83"/>
      <c r="B17" s="77"/>
      <c r="C17" s="78"/>
    </row>
    <row r="18" spans="1:3" x14ac:dyDescent="0.3">
      <c r="A18" s="83"/>
      <c r="B18" s="77"/>
      <c r="C18" s="78"/>
    </row>
    <row r="19" spans="1:3" x14ac:dyDescent="0.3">
      <c r="A19" s="83"/>
      <c r="B19" s="77"/>
      <c r="C19" s="78"/>
    </row>
    <row r="20" spans="1:3" x14ac:dyDescent="0.3">
      <c r="A20" s="83"/>
      <c r="B20" s="77"/>
      <c r="C20" s="78"/>
    </row>
    <row r="21" spans="1:3" x14ac:dyDescent="0.3">
      <c r="A21" s="83"/>
      <c r="B21" s="77"/>
      <c r="C21" s="78"/>
    </row>
    <row r="22" spans="1:3" x14ac:dyDescent="0.3">
      <c r="A22" s="83"/>
      <c r="B22" s="77"/>
      <c r="C22" s="78"/>
    </row>
    <row r="23" spans="1:3" x14ac:dyDescent="0.3">
      <c r="A23" s="83"/>
      <c r="B23" s="77"/>
      <c r="C23" s="78"/>
    </row>
    <row r="24" spans="1:3" x14ac:dyDescent="0.3">
      <c r="A24" s="83"/>
      <c r="B24" s="77"/>
      <c r="C24" s="78"/>
    </row>
    <row r="25" spans="1:3" x14ac:dyDescent="0.3">
      <c r="A25" s="83"/>
      <c r="B25" s="77"/>
      <c r="C25" s="78"/>
    </row>
    <row r="26" spans="1:3" x14ac:dyDescent="0.3">
      <c r="A26" s="83"/>
      <c r="B26" s="77"/>
      <c r="C26" s="78"/>
    </row>
    <row r="27" spans="1:3" x14ac:dyDescent="0.3">
      <c r="A27" s="83"/>
      <c r="B27" s="77"/>
      <c r="C27" s="78"/>
    </row>
    <row r="28" spans="1:3" x14ac:dyDescent="0.3">
      <c r="A28" s="83"/>
      <c r="B28" s="77"/>
      <c r="C28" s="78"/>
    </row>
    <row r="29" spans="1:3" x14ac:dyDescent="0.3">
      <c r="A29" s="83"/>
      <c r="B29" s="77"/>
      <c r="C29" s="78"/>
    </row>
    <row r="30" spans="1:3" x14ac:dyDescent="0.3">
      <c r="A30" s="83"/>
      <c r="B30" s="77"/>
      <c r="C30" s="78"/>
    </row>
    <row r="31" spans="1:3" x14ac:dyDescent="0.3">
      <c r="A31" s="83"/>
      <c r="B31" s="77"/>
      <c r="C31" s="78"/>
    </row>
    <row r="32" spans="1:3" x14ac:dyDescent="0.3">
      <c r="A32" s="83"/>
      <c r="B32" s="77"/>
      <c r="C32" s="78"/>
    </row>
    <row r="33" spans="1:3" x14ac:dyDescent="0.3">
      <c r="A33" s="83"/>
      <c r="B33" s="77"/>
      <c r="C33" s="78"/>
    </row>
    <row r="34" spans="1:3" x14ac:dyDescent="0.3">
      <c r="A34" s="83"/>
      <c r="B34" s="77"/>
      <c r="C34" s="78"/>
    </row>
    <row r="35" spans="1:3" x14ac:dyDescent="0.3">
      <c r="A35" s="83"/>
      <c r="B35" s="77"/>
      <c r="C35" s="78"/>
    </row>
    <row r="36" spans="1:3" x14ac:dyDescent="0.3">
      <c r="A36" s="83"/>
      <c r="B36" s="77"/>
      <c r="C36" s="78"/>
    </row>
    <row r="37" spans="1:3" x14ac:dyDescent="0.3">
      <c r="A37" s="83"/>
      <c r="B37" s="77"/>
      <c r="C37" s="78"/>
    </row>
    <row r="38" spans="1:3" x14ac:dyDescent="0.3">
      <c r="A38" s="83"/>
      <c r="B38" s="77"/>
      <c r="C38" s="78"/>
    </row>
    <row r="39" spans="1:3" x14ac:dyDescent="0.3">
      <c r="A39" s="83"/>
      <c r="B39" s="77"/>
      <c r="C39" s="78"/>
    </row>
    <row r="40" spans="1:3" x14ac:dyDescent="0.3">
      <c r="A40" s="83"/>
      <c r="B40" s="77"/>
      <c r="C40" s="78"/>
    </row>
    <row r="41" spans="1:3" x14ac:dyDescent="0.3">
      <c r="A41" s="83"/>
      <c r="B41" s="77"/>
      <c r="C41" s="78"/>
    </row>
    <row r="42" spans="1:3" x14ac:dyDescent="0.3">
      <c r="A42" s="83"/>
      <c r="B42" s="77"/>
      <c r="C42" s="78"/>
    </row>
    <row r="43" spans="1:3" x14ac:dyDescent="0.3">
      <c r="A43" s="83"/>
      <c r="B43" s="77"/>
      <c r="C43" s="78"/>
    </row>
    <row r="44" spans="1:3" x14ac:dyDescent="0.3">
      <c r="A44" s="83"/>
      <c r="B44" s="77"/>
      <c r="C44" s="78"/>
    </row>
    <row r="45" spans="1:3" x14ac:dyDescent="0.3">
      <c r="A45" s="83"/>
      <c r="B45" s="77"/>
      <c r="C45" s="78"/>
    </row>
    <row r="46" spans="1:3" x14ac:dyDescent="0.3">
      <c r="A46" s="83"/>
      <c r="B46" s="77"/>
      <c r="C46" s="78"/>
    </row>
    <row r="47" spans="1:3" x14ac:dyDescent="0.3">
      <c r="A47" s="83"/>
      <c r="B47" s="77"/>
      <c r="C47" s="78"/>
    </row>
    <row r="48" spans="1:3" x14ac:dyDescent="0.3">
      <c r="A48" s="83"/>
      <c r="B48" s="77"/>
      <c r="C48" s="78"/>
    </row>
  </sheetData>
  <sheetProtection sheet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Press-in (Imperial)</vt:lpstr>
      <vt:lpstr>Press-in (Metric)</vt:lpstr>
      <vt:lpstr>Floating (Imperial)</vt:lpstr>
      <vt:lpstr>Floating (Metric)</vt:lpstr>
      <vt:lpstr>Revision Log</vt:lpstr>
      <vt:lpstr>'Floating (Imperial)'!Print_Area</vt:lpstr>
      <vt:lpstr>'Floating (Metric)'!Print_Area</vt:lpstr>
      <vt:lpstr>'Press-in (Imperial)'!Print_Area</vt:lpstr>
      <vt:lpstr>'Press-in (Metric)'!Print_Area</vt:lpstr>
    </vt:vector>
  </TitlesOfParts>
  <Company>Greene, Tweed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Firasath Mohammed</dc:creator>
  <cp:lastModifiedBy>Long Ly</cp:lastModifiedBy>
  <cp:lastPrinted>2018-08-10T12:28:12Z</cp:lastPrinted>
  <dcterms:created xsi:type="dcterms:W3CDTF">2017-02-08T16:02:08Z</dcterms:created>
  <dcterms:modified xsi:type="dcterms:W3CDTF">2020-05-21T14:29:26Z</dcterms:modified>
</cp:coreProperties>
</file>