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E:\financial Modelling Data\Annual Report\"/>
    </mc:Choice>
  </mc:AlternateContent>
  <xr:revisionPtr revIDLastSave="0" documentId="13_ncr:1_{275FA6A7-358A-46BF-BA82-F2F4306D4CD9}" xr6:coauthVersionLast="47" xr6:coauthVersionMax="47" xr10:uidLastSave="{00000000-0000-0000-0000-000000000000}"/>
  <bookViews>
    <workbookView xWindow="-110" yWindow="-110" windowWidth="19420" windowHeight="10300" tabRatio="663" firstSheet="5" activeTab="9" xr2:uid="{00000000-000D-0000-FFFF-FFFF00000000}"/>
  </bookViews>
  <sheets>
    <sheet name="Cover" sheetId="20" r:id="rId1"/>
    <sheet name="INCOME STATEMENT" sheetId="2" r:id="rId2"/>
    <sheet name="BALANCES SHEET" sheetId="6" r:id="rId3"/>
    <sheet name="ANALYTICAL" sheetId="4" r:id="rId4"/>
    <sheet name="CASH FLOW" sheetId="7" r:id="rId5"/>
    <sheet name="Qauterly Data." sheetId="13" r:id="rId6"/>
    <sheet name="NOTES" sheetId="3" r:id="rId7"/>
    <sheet name="RATIO" sheetId="9" r:id="rId8"/>
    <sheet name="BALANCESHEET PHOENIX Peer 1" sheetId="22" r:id="rId9"/>
    <sheet name="INCOMESTATEMENT PHOENIX Peer1" sheetId="23" r:id="rId10"/>
    <sheet name="CASHFLOW PHOENIX Peer1" sheetId="24" r:id="rId11"/>
    <sheet name="company wacc" sheetId="11" r:id="rId12"/>
    <sheet name="Comparbles" sheetId="21" r:id="rId13"/>
    <sheet name="valuations" sheetId="18" r:id="rId14"/>
    <sheet name="perform" sheetId="10" r:id="rId15"/>
    <sheet name="portfolio" sheetId="19" r:id="rId16"/>
  </sheets>
  <definedNames>
    <definedName name="_xlnm._FilterDatabase" localSheetId="2" hidden="1">'BALANCES SHEET'!$F$13:$G$19</definedName>
    <definedName name="NOTE_NO.10_PROPERTY_AND_FACILITIES_OPERATING_EXPENSES" comment="C143" localSheetId="6">'INCOME STATEMENT'!$G$16</definedName>
    <definedName name="_xlnm.Print_Area" localSheetId="2">'BALANCES SHEET'!$B$2:$V$55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24" l="1"/>
  <c r="E60" i="24"/>
  <c r="F60" i="24"/>
  <c r="C60" i="24"/>
  <c r="D24" i="23"/>
  <c r="C24" i="23"/>
  <c r="G56" i="22"/>
  <c r="F56" i="22"/>
  <c r="E56" i="22"/>
  <c r="D56" i="22"/>
  <c r="C56" i="22"/>
  <c r="G47" i="22"/>
  <c r="F47" i="22"/>
  <c r="E47" i="22"/>
  <c r="D47" i="22"/>
  <c r="C47" i="22"/>
  <c r="G35" i="22"/>
  <c r="G37" i="22" s="1"/>
  <c r="F35" i="22"/>
  <c r="F37" i="22" s="1"/>
  <c r="F57" i="22" s="1"/>
  <c r="E35" i="22"/>
  <c r="E37" i="22" s="1"/>
  <c r="D35" i="22"/>
  <c r="D37" i="22" s="1"/>
  <c r="D57" i="22" s="1"/>
  <c r="C35" i="22"/>
  <c r="C37" i="22" s="1"/>
  <c r="F30" i="22"/>
  <c r="F59" i="22" s="1"/>
  <c r="G29" i="22"/>
  <c r="F29" i="22"/>
  <c r="D29" i="22"/>
  <c r="D30" i="22" s="1"/>
  <c r="C29" i="22"/>
  <c r="C30" i="22" s="1"/>
  <c r="E28" i="22"/>
  <c r="E29" i="22" s="1"/>
  <c r="G17" i="22"/>
  <c r="F17" i="22"/>
  <c r="E17" i="22"/>
  <c r="D17" i="22"/>
  <c r="C17" i="22"/>
  <c r="D59" i="22" l="1"/>
  <c r="C57" i="22"/>
  <c r="G57" i="22"/>
  <c r="E30" i="22"/>
  <c r="E59" i="22" s="1"/>
  <c r="G30" i="22"/>
  <c r="E57" i="22"/>
  <c r="G59" i="22"/>
  <c r="C59" i="22"/>
  <c r="D6" i="21" l="1"/>
  <c r="E6" i="21"/>
  <c r="E7" i="21" s="1"/>
  <c r="F6" i="21"/>
  <c r="F7" i="21" s="1"/>
  <c r="G6" i="21"/>
  <c r="C6" i="21"/>
  <c r="G5" i="21"/>
  <c r="F5" i="21"/>
  <c r="E5" i="21"/>
  <c r="D5" i="21"/>
  <c r="D7" i="21" s="1"/>
  <c r="C5" i="21"/>
  <c r="C7" i="21" s="1"/>
  <c r="G7" i="21" l="1"/>
  <c r="U5" i="13"/>
  <c r="U4" i="13" s="1"/>
  <c r="AG59" i="19"/>
  <c r="AG58" i="19"/>
  <c r="AG57" i="19"/>
  <c r="AG56" i="19"/>
  <c r="AG55" i="19"/>
  <c r="AG54" i="19"/>
  <c r="AG53" i="19"/>
  <c r="AG52" i="19"/>
  <c r="AG51" i="19"/>
  <c r="AG50" i="19"/>
  <c r="AB51" i="19"/>
  <c r="AC52" i="19" s="1"/>
  <c r="AC54" i="19" s="1"/>
  <c r="AG60" i="19" l="1"/>
  <c r="AC55" i="19" s="1"/>
  <c r="AC57" i="19" s="1"/>
  <c r="K25" i="18" l="1"/>
  <c r="Z35" i="19" l="1"/>
  <c r="Z36" i="19"/>
  <c r="Z37" i="19"/>
  <c r="Z38" i="19"/>
  <c r="C14" i="18"/>
  <c r="D14" i="18"/>
  <c r="E14" i="18"/>
  <c r="F14" i="18"/>
  <c r="N1228" i="3" l="1"/>
  <c r="N1088" i="3"/>
  <c r="N25" i="2" l="1"/>
  <c r="O25" i="2"/>
  <c r="P25" i="2"/>
  <c r="Q25" i="2"/>
  <c r="M25" i="2"/>
  <c r="O1047" i="3" l="1"/>
  <c r="M6" i="19" l="1"/>
  <c r="M7" i="19"/>
  <c r="S7" i="19" s="1"/>
  <c r="M8" i="19"/>
  <c r="S8" i="19" s="1"/>
  <c r="M9" i="19"/>
  <c r="S9" i="19" s="1"/>
  <c r="M10" i="19"/>
  <c r="S10" i="19" s="1"/>
  <c r="M11" i="19"/>
  <c r="S11" i="19" s="1"/>
  <c r="M12" i="19"/>
  <c r="S12" i="19" s="1"/>
  <c r="M13" i="19"/>
  <c r="S13" i="19" s="1"/>
  <c r="M14" i="19"/>
  <c r="S14" i="19" s="1"/>
  <c r="M15" i="19"/>
  <c r="S15" i="19" s="1"/>
  <c r="M16" i="19"/>
  <c r="S16" i="19" s="1"/>
  <c r="M17" i="19"/>
  <c r="S17" i="19" s="1"/>
  <c r="M18" i="19"/>
  <c r="S18" i="19" s="1"/>
  <c r="M19" i="19"/>
  <c r="S19" i="19" s="1"/>
  <c r="M20" i="19"/>
  <c r="S20" i="19" s="1"/>
  <c r="M21" i="19"/>
  <c r="S21" i="19" s="1"/>
  <c r="M22" i="19"/>
  <c r="S22" i="19" s="1"/>
  <c r="M23" i="19"/>
  <c r="S23" i="19" s="1"/>
  <c r="M24" i="19"/>
  <c r="S24" i="19" s="1"/>
  <c r="M25" i="19"/>
  <c r="S25" i="19" s="1"/>
  <c r="M26" i="19"/>
  <c r="S26" i="19" s="1"/>
  <c r="M27" i="19"/>
  <c r="S27" i="19" s="1"/>
  <c r="M28" i="19"/>
  <c r="S28" i="19" s="1"/>
  <c r="M29" i="19"/>
  <c r="S29" i="19" s="1"/>
  <c r="M30" i="19"/>
  <c r="S30" i="19" s="1"/>
  <c r="M31" i="19"/>
  <c r="S31" i="19" s="1"/>
  <c r="M32" i="19"/>
  <c r="S32" i="19" s="1"/>
  <c r="M33" i="19"/>
  <c r="S33" i="19" s="1"/>
  <c r="M34" i="19"/>
  <c r="S34" i="19" s="1"/>
  <c r="M35" i="19"/>
  <c r="S35" i="19" s="1"/>
  <c r="M36" i="19"/>
  <c r="S36" i="19" s="1"/>
  <c r="M37" i="19"/>
  <c r="S37" i="19" s="1"/>
  <c r="M38" i="19"/>
  <c r="S38" i="19" s="1"/>
  <c r="M39" i="19"/>
  <c r="S39" i="19" s="1"/>
  <c r="M40" i="19"/>
  <c r="S40" i="19" s="1"/>
  <c r="M41" i="19"/>
  <c r="S41" i="19" s="1"/>
  <c r="M42" i="19"/>
  <c r="S42" i="19" s="1"/>
  <c r="M43" i="19"/>
  <c r="S43" i="19" s="1"/>
  <c r="M44" i="19"/>
  <c r="S44" i="19" s="1"/>
  <c r="M45" i="19"/>
  <c r="S45" i="19" s="1"/>
  <c r="M46" i="19"/>
  <c r="S46" i="19" s="1"/>
  <c r="M47" i="19"/>
  <c r="S47" i="19" s="1"/>
  <c r="M48" i="19"/>
  <c r="S48" i="19" s="1"/>
  <c r="M49" i="19"/>
  <c r="S49" i="19" s="1"/>
  <c r="M50" i="19"/>
  <c r="S50" i="19" s="1"/>
  <c r="M51" i="19"/>
  <c r="S51" i="19" s="1"/>
  <c r="M52" i="19"/>
  <c r="S52" i="19" s="1"/>
  <c r="M53" i="19"/>
  <c r="S53" i="19" s="1"/>
  <c r="M54" i="19"/>
  <c r="S54" i="19" s="1"/>
  <c r="M55" i="19"/>
  <c r="S55" i="19" s="1"/>
  <c r="M56" i="19"/>
  <c r="S56" i="19" s="1"/>
  <c r="M57" i="19"/>
  <c r="S57" i="19" s="1"/>
  <c r="M58" i="19"/>
  <c r="S58" i="19" s="1"/>
  <c r="M59" i="19"/>
  <c r="S59" i="19" s="1"/>
  <c r="M60" i="19"/>
  <c r="S60" i="19" s="1"/>
  <c r="M61" i="19"/>
  <c r="S61" i="19" s="1"/>
  <c r="M62" i="19"/>
  <c r="S62" i="19" s="1"/>
  <c r="M63" i="19"/>
  <c r="S63" i="19" s="1"/>
  <c r="M64" i="19"/>
  <c r="S64" i="19" s="1"/>
  <c r="M65" i="19"/>
  <c r="S65" i="19" s="1"/>
  <c r="M66" i="19"/>
  <c r="S66" i="19" s="1"/>
  <c r="M67" i="19"/>
  <c r="S67" i="19" s="1"/>
  <c r="M68" i="19"/>
  <c r="S68" i="19" s="1"/>
  <c r="M69" i="19"/>
  <c r="S69" i="19" s="1"/>
  <c r="M70" i="19"/>
  <c r="S70" i="19" s="1"/>
  <c r="M71" i="19"/>
  <c r="S71" i="19" s="1"/>
  <c r="M72" i="19"/>
  <c r="S72" i="19" s="1"/>
  <c r="M73" i="19"/>
  <c r="S73" i="19" s="1"/>
  <c r="M74" i="19"/>
  <c r="S74" i="19" s="1"/>
  <c r="M75" i="19"/>
  <c r="S75" i="19" s="1"/>
  <c r="M76" i="19"/>
  <c r="S76" i="19" s="1"/>
  <c r="M77" i="19"/>
  <c r="S77" i="19" s="1"/>
  <c r="M78" i="19"/>
  <c r="S78" i="19" s="1"/>
  <c r="M79" i="19"/>
  <c r="S79" i="19" s="1"/>
  <c r="M80" i="19"/>
  <c r="S80" i="19" s="1"/>
  <c r="M81" i="19"/>
  <c r="S81" i="19" s="1"/>
  <c r="M82" i="19"/>
  <c r="S82" i="19" s="1"/>
  <c r="M83" i="19"/>
  <c r="S83" i="19" s="1"/>
  <c r="M84" i="19"/>
  <c r="S84" i="19" s="1"/>
  <c r="M85" i="19"/>
  <c r="S85" i="19" s="1"/>
  <c r="M86" i="19"/>
  <c r="S86" i="19" s="1"/>
  <c r="M87" i="19"/>
  <c r="S87" i="19" s="1"/>
  <c r="M88" i="19"/>
  <c r="S88" i="19" s="1"/>
  <c r="M89" i="19"/>
  <c r="S89" i="19" s="1"/>
  <c r="M90" i="19"/>
  <c r="S90" i="19" s="1"/>
  <c r="M91" i="19"/>
  <c r="S91" i="19" s="1"/>
  <c r="M92" i="19"/>
  <c r="S92" i="19" s="1"/>
  <c r="M93" i="19"/>
  <c r="S93" i="19" s="1"/>
  <c r="M94" i="19"/>
  <c r="S94" i="19" s="1"/>
  <c r="M95" i="19"/>
  <c r="S95" i="19" s="1"/>
  <c r="M96" i="19"/>
  <c r="S96" i="19" s="1"/>
  <c r="M97" i="19"/>
  <c r="S97" i="19" s="1"/>
  <c r="M98" i="19"/>
  <c r="S98" i="19" s="1"/>
  <c r="M99" i="19"/>
  <c r="S99" i="19" s="1"/>
  <c r="M100" i="19"/>
  <c r="S100" i="19" s="1"/>
  <c r="M101" i="19"/>
  <c r="S101" i="19" s="1"/>
  <c r="M102" i="19"/>
  <c r="S102" i="19" s="1"/>
  <c r="M103" i="19"/>
  <c r="S103" i="19" s="1"/>
  <c r="M104" i="19"/>
  <c r="S104" i="19" s="1"/>
  <c r="M105" i="19"/>
  <c r="S105" i="19" s="1"/>
  <c r="M106" i="19"/>
  <c r="S106" i="19" s="1"/>
  <c r="M107" i="19"/>
  <c r="S107" i="19" s="1"/>
  <c r="M108" i="19"/>
  <c r="S108" i="19" s="1"/>
  <c r="M109" i="19"/>
  <c r="S109" i="19" s="1"/>
  <c r="M110" i="19"/>
  <c r="S110" i="19" s="1"/>
  <c r="M111" i="19"/>
  <c r="S111" i="19" s="1"/>
  <c r="M112" i="19"/>
  <c r="S112" i="19" s="1"/>
  <c r="M113" i="19"/>
  <c r="S113" i="19" s="1"/>
  <c r="M114" i="19"/>
  <c r="S114" i="19" s="1"/>
  <c r="M115" i="19"/>
  <c r="S115" i="19" s="1"/>
  <c r="M116" i="19"/>
  <c r="S116" i="19" s="1"/>
  <c r="M117" i="19"/>
  <c r="S117" i="19" s="1"/>
  <c r="M118" i="19"/>
  <c r="S118" i="19" s="1"/>
  <c r="M119" i="19"/>
  <c r="S119" i="19" s="1"/>
  <c r="M120" i="19"/>
  <c r="S120" i="19" s="1"/>
  <c r="M121" i="19"/>
  <c r="S121" i="19" s="1"/>
  <c r="M122" i="19"/>
  <c r="S122" i="19" s="1"/>
  <c r="M123" i="19"/>
  <c r="S123" i="19" s="1"/>
  <c r="M124" i="19"/>
  <c r="S124" i="19" s="1"/>
  <c r="M125" i="19"/>
  <c r="S125" i="19" s="1"/>
  <c r="K6" i="19"/>
  <c r="L6" i="19"/>
  <c r="K7" i="19"/>
  <c r="L7" i="19"/>
  <c r="R7" i="19" s="1"/>
  <c r="K8" i="19"/>
  <c r="L8" i="19"/>
  <c r="R8" i="19" s="1"/>
  <c r="K9" i="19"/>
  <c r="L9" i="19"/>
  <c r="R9" i="19" s="1"/>
  <c r="K10" i="19"/>
  <c r="Q10" i="19" s="1"/>
  <c r="L10" i="19"/>
  <c r="R10" i="19" s="1"/>
  <c r="K11" i="19"/>
  <c r="Q11" i="19" s="1"/>
  <c r="L11" i="19"/>
  <c r="R11" i="19" s="1"/>
  <c r="K12" i="19"/>
  <c r="Q12" i="19" s="1"/>
  <c r="L12" i="19"/>
  <c r="R12" i="19" s="1"/>
  <c r="K13" i="19"/>
  <c r="Q13" i="19" s="1"/>
  <c r="L13" i="19"/>
  <c r="R13" i="19" s="1"/>
  <c r="K14" i="19"/>
  <c r="Q14" i="19" s="1"/>
  <c r="L14" i="19"/>
  <c r="R14" i="19" s="1"/>
  <c r="K15" i="19"/>
  <c r="Q15" i="19" s="1"/>
  <c r="L15" i="19"/>
  <c r="R15" i="19" s="1"/>
  <c r="K16" i="19"/>
  <c r="Q16" i="19" s="1"/>
  <c r="L16" i="19"/>
  <c r="R16" i="19" s="1"/>
  <c r="K17" i="19"/>
  <c r="Q17" i="19" s="1"/>
  <c r="L17" i="19"/>
  <c r="R17" i="19" s="1"/>
  <c r="K18" i="19"/>
  <c r="Q18" i="19" s="1"/>
  <c r="L18" i="19"/>
  <c r="R18" i="19" s="1"/>
  <c r="K19" i="19"/>
  <c r="Q19" i="19" s="1"/>
  <c r="L19" i="19"/>
  <c r="R19" i="19" s="1"/>
  <c r="K20" i="19"/>
  <c r="Q20" i="19" s="1"/>
  <c r="L20" i="19"/>
  <c r="R20" i="19" s="1"/>
  <c r="K21" i="19"/>
  <c r="Q21" i="19" s="1"/>
  <c r="L21" i="19"/>
  <c r="R21" i="19" s="1"/>
  <c r="K22" i="19"/>
  <c r="Q22" i="19" s="1"/>
  <c r="L22" i="19"/>
  <c r="R22" i="19" s="1"/>
  <c r="K23" i="19"/>
  <c r="Q23" i="19" s="1"/>
  <c r="L23" i="19"/>
  <c r="R23" i="19" s="1"/>
  <c r="K24" i="19"/>
  <c r="Q24" i="19" s="1"/>
  <c r="L24" i="19"/>
  <c r="R24" i="19" s="1"/>
  <c r="K25" i="19"/>
  <c r="Q25" i="19" s="1"/>
  <c r="L25" i="19"/>
  <c r="R25" i="19" s="1"/>
  <c r="K26" i="19"/>
  <c r="Q26" i="19" s="1"/>
  <c r="L26" i="19"/>
  <c r="R26" i="19" s="1"/>
  <c r="K27" i="19"/>
  <c r="Q27" i="19" s="1"/>
  <c r="L27" i="19"/>
  <c r="R27" i="19" s="1"/>
  <c r="K28" i="19"/>
  <c r="Q28" i="19" s="1"/>
  <c r="L28" i="19"/>
  <c r="R28" i="19" s="1"/>
  <c r="K29" i="19"/>
  <c r="Q29" i="19" s="1"/>
  <c r="L29" i="19"/>
  <c r="R29" i="19" s="1"/>
  <c r="K30" i="19"/>
  <c r="Q30" i="19" s="1"/>
  <c r="L30" i="19"/>
  <c r="R30" i="19" s="1"/>
  <c r="K31" i="19"/>
  <c r="Q31" i="19" s="1"/>
  <c r="L31" i="19"/>
  <c r="R31" i="19" s="1"/>
  <c r="K32" i="19"/>
  <c r="Q32" i="19" s="1"/>
  <c r="L32" i="19"/>
  <c r="R32" i="19" s="1"/>
  <c r="K33" i="19"/>
  <c r="Q33" i="19" s="1"/>
  <c r="L33" i="19"/>
  <c r="R33" i="19" s="1"/>
  <c r="K34" i="19"/>
  <c r="Q34" i="19" s="1"/>
  <c r="L34" i="19"/>
  <c r="R34" i="19" s="1"/>
  <c r="K35" i="19"/>
  <c r="Q35" i="19" s="1"/>
  <c r="L35" i="19"/>
  <c r="R35" i="19" s="1"/>
  <c r="K36" i="19"/>
  <c r="Q36" i="19" s="1"/>
  <c r="L36" i="19"/>
  <c r="R36" i="19" s="1"/>
  <c r="K37" i="19"/>
  <c r="Q37" i="19" s="1"/>
  <c r="L37" i="19"/>
  <c r="R37" i="19" s="1"/>
  <c r="K38" i="19"/>
  <c r="Q38" i="19" s="1"/>
  <c r="L38" i="19"/>
  <c r="R38" i="19" s="1"/>
  <c r="K39" i="19"/>
  <c r="Q39" i="19" s="1"/>
  <c r="L39" i="19"/>
  <c r="R39" i="19" s="1"/>
  <c r="K40" i="19"/>
  <c r="Q40" i="19" s="1"/>
  <c r="L40" i="19"/>
  <c r="R40" i="19" s="1"/>
  <c r="K41" i="19"/>
  <c r="Q41" i="19" s="1"/>
  <c r="L41" i="19"/>
  <c r="R41" i="19" s="1"/>
  <c r="K42" i="19"/>
  <c r="Q42" i="19" s="1"/>
  <c r="L42" i="19"/>
  <c r="R42" i="19" s="1"/>
  <c r="K43" i="19"/>
  <c r="Q43" i="19" s="1"/>
  <c r="L43" i="19"/>
  <c r="R43" i="19" s="1"/>
  <c r="K44" i="19"/>
  <c r="Q44" i="19" s="1"/>
  <c r="L44" i="19"/>
  <c r="R44" i="19" s="1"/>
  <c r="K45" i="19"/>
  <c r="Q45" i="19" s="1"/>
  <c r="L45" i="19"/>
  <c r="R45" i="19" s="1"/>
  <c r="K46" i="19"/>
  <c r="Q46" i="19" s="1"/>
  <c r="L46" i="19"/>
  <c r="R46" i="19" s="1"/>
  <c r="K47" i="19"/>
  <c r="Q47" i="19" s="1"/>
  <c r="L47" i="19"/>
  <c r="R47" i="19" s="1"/>
  <c r="K48" i="19"/>
  <c r="Q48" i="19" s="1"/>
  <c r="L48" i="19"/>
  <c r="R48" i="19" s="1"/>
  <c r="K49" i="19"/>
  <c r="Q49" i="19" s="1"/>
  <c r="L49" i="19"/>
  <c r="R49" i="19" s="1"/>
  <c r="K50" i="19"/>
  <c r="Q50" i="19" s="1"/>
  <c r="L50" i="19"/>
  <c r="R50" i="19" s="1"/>
  <c r="K51" i="19"/>
  <c r="Q51" i="19" s="1"/>
  <c r="L51" i="19"/>
  <c r="R51" i="19" s="1"/>
  <c r="K52" i="19"/>
  <c r="Q52" i="19" s="1"/>
  <c r="L52" i="19"/>
  <c r="R52" i="19" s="1"/>
  <c r="K53" i="19"/>
  <c r="Q53" i="19" s="1"/>
  <c r="L53" i="19"/>
  <c r="R53" i="19" s="1"/>
  <c r="K54" i="19"/>
  <c r="Q54" i="19" s="1"/>
  <c r="L54" i="19"/>
  <c r="R54" i="19" s="1"/>
  <c r="K55" i="19"/>
  <c r="Q55" i="19" s="1"/>
  <c r="L55" i="19"/>
  <c r="R55" i="19" s="1"/>
  <c r="K56" i="19"/>
  <c r="Q56" i="19" s="1"/>
  <c r="L56" i="19"/>
  <c r="R56" i="19" s="1"/>
  <c r="K57" i="19"/>
  <c r="Q57" i="19" s="1"/>
  <c r="L57" i="19"/>
  <c r="R57" i="19" s="1"/>
  <c r="K58" i="19"/>
  <c r="Q58" i="19" s="1"/>
  <c r="L58" i="19"/>
  <c r="R58" i="19" s="1"/>
  <c r="K59" i="19"/>
  <c r="Q59" i="19" s="1"/>
  <c r="L59" i="19"/>
  <c r="R59" i="19" s="1"/>
  <c r="K60" i="19"/>
  <c r="Q60" i="19" s="1"/>
  <c r="L60" i="19"/>
  <c r="R60" i="19" s="1"/>
  <c r="K61" i="19"/>
  <c r="Q61" i="19" s="1"/>
  <c r="L61" i="19"/>
  <c r="R61" i="19" s="1"/>
  <c r="K62" i="19"/>
  <c r="Q62" i="19" s="1"/>
  <c r="L62" i="19"/>
  <c r="R62" i="19" s="1"/>
  <c r="K63" i="19"/>
  <c r="Q63" i="19" s="1"/>
  <c r="L63" i="19"/>
  <c r="R63" i="19" s="1"/>
  <c r="K64" i="19"/>
  <c r="Q64" i="19" s="1"/>
  <c r="L64" i="19"/>
  <c r="R64" i="19" s="1"/>
  <c r="K65" i="19"/>
  <c r="Q65" i="19" s="1"/>
  <c r="L65" i="19"/>
  <c r="R65" i="19" s="1"/>
  <c r="K66" i="19"/>
  <c r="Q66" i="19" s="1"/>
  <c r="L66" i="19"/>
  <c r="R66" i="19" s="1"/>
  <c r="K67" i="19"/>
  <c r="Q67" i="19" s="1"/>
  <c r="L67" i="19"/>
  <c r="R67" i="19" s="1"/>
  <c r="K68" i="19"/>
  <c r="Q68" i="19" s="1"/>
  <c r="L68" i="19"/>
  <c r="R68" i="19" s="1"/>
  <c r="K69" i="19"/>
  <c r="Q69" i="19" s="1"/>
  <c r="L69" i="19"/>
  <c r="R69" i="19" s="1"/>
  <c r="K70" i="19"/>
  <c r="Q70" i="19" s="1"/>
  <c r="L70" i="19"/>
  <c r="R70" i="19" s="1"/>
  <c r="K71" i="19"/>
  <c r="Q71" i="19" s="1"/>
  <c r="L71" i="19"/>
  <c r="R71" i="19" s="1"/>
  <c r="K72" i="19"/>
  <c r="Q72" i="19" s="1"/>
  <c r="L72" i="19"/>
  <c r="R72" i="19" s="1"/>
  <c r="K73" i="19"/>
  <c r="Q73" i="19" s="1"/>
  <c r="L73" i="19"/>
  <c r="R73" i="19" s="1"/>
  <c r="K74" i="19"/>
  <c r="Q74" i="19" s="1"/>
  <c r="L74" i="19"/>
  <c r="R74" i="19" s="1"/>
  <c r="K75" i="19"/>
  <c r="Q75" i="19" s="1"/>
  <c r="L75" i="19"/>
  <c r="R75" i="19" s="1"/>
  <c r="K76" i="19"/>
  <c r="Q76" i="19" s="1"/>
  <c r="L76" i="19"/>
  <c r="R76" i="19" s="1"/>
  <c r="K77" i="19"/>
  <c r="Q77" i="19" s="1"/>
  <c r="L77" i="19"/>
  <c r="R77" i="19" s="1"/>
  <c r="K78" i="19"/>
  <c r="Q78" i="19" s="1"/>
  <c r="L78" i="19"/>
  <c r="R78" i="19" s="1"/>
  <c r="K79" i="19"/>
  <c r="Q79" i="19" s="1"/>
  <c r="L79" i="19"/>
  <c r="R79" i="19" s="1"/>
  <c r="K80" i="19"/>
  <c r="Q80" i="19" s="1"/>
  <c r="L80" i="19"/>
  <c r="R80" i="19" s="1"/>
  <c r="K81" i="19"/>
  <c r="Q81" i="19" s="1"/>
  <c r="L81" i="19"/>
  <c r="R81" i="19" s="1"/>
  <c r="K82" i="19"/>
  <c r="Q82" i="19" s="1"/>
  <c r="L82" i="19"/>
  <c r="R82" i="19" s="1"/>
  <c r="K83" i="19"/>
  <c r="Q83" i="19" s="1"/>
  <c r="L83" i="19"/>
  <c r="R83" i="19" s="1"/>
  <c r="K84" i="19"/>
  <c r="Q84" i="19" s="1"/>
  <c r="L84" i="19"/>
  <c r="R84" i="19" s="1"/>
  <c r="K85" i="19"/>
  <c r="Q85" i="19" s="1"/>
  <c r="L85" i="19"/>
  <c r="R85" i="19" s="1"/>
  <c r="K86" i="19"/>
  <c r="Q86" i="19" s="1"/>
  <c r="L86" i="19"/>
  <c r="R86" i="19" s="1"/>
  <c r="K87" i="19"/>
  <c r="Q87" i="19" s="1"/>
  <c r="L87" i="19"/>
  <c r="R87" i="19" s="1"/>
  <c r="K88" i="19"/>
  <c r="Q88" i="19" s="1"/>
  <c r="L88" i="19"/>
  <c r="R88" i="19" s="1"/>
  <c r="K89" i="19"/>
  <c r="Q89" i="19" s="1"/>
  <c r="L89" i="19"/>
  <c r="R89" i="19" s="1"/>
  <c r="K90" i="19"/>
  <c r="Q90" i="19" s="1"/>
  <c r="L90" i="19"/>
  <c r="R90" i="19" s="1"/>
  <c r="K91" i="19"/>
  <c r="Q91" i="19" s="1"/>
  <c r="L91" i="19"/>
  <c r="R91" i="19" s="1"/>
  <c r="K92" i="19"/>
  <c r="Q92" i="19" s="1"/>
  <c r="L92" i="19"/>
  <c r="R92" i="19" s="1"/>
  <c r="K93" i="19"/>
  <c r="Q93" i="19" s="1"/>
  <c r="L93" i="19"/>
  <c r="R93" i="19" s="1"/>
  <c r="K94" i="19"/>
  <c r="Q94" i="19" s="1"/>
  <c r="L94" i="19"/>
  <c r="R94" i="19" s="1"/>
  <c r="K95" i="19"/>
  <c r="Q95" i="19" s="1"/>
  <c r="L95" i="19"/>
  <c r="R95" i="19" s="1"/>
  <c r="K96" i="19"/>
  <c r="Q96" i="19" s="1"/>
  <c r="L96" i="19"/>
  <c r="R96" i="19" s="1"/>
  <c r="K97" i="19"/>
  <c r="Q97" i="19" s="1"/>
  <c r="L97" i="19"/>
  <c r="R97" i="19" s="1"/>
  <c r="K98" i="19"/>
  <c r="Q98" i="19" s="1"/>
  <c r="L98" i="19"/>
  <c r="R98" i="19" s="1"/>
  <c r="K99" i="19"/>
  <c r="Q99" i="19" s="1"/>
  <c r="L99" i="19"/>
  <c r="R99" i="19" s="1"/>
  <c r="K100" i="19"/>
  <c r="Q100" i="19" s="1"/>
  <c r="L100" i="19"/>
  <c r="R100" i="19" s="1"/>
  <c r="K101" i="19"/>
  <c r="Q101" i="19" s="1"/>
  <c r="L101" i="19"/>
  <c r="R101" i="19" s="1"/>
  <c r="K102" i="19"/>
  <c r="Q102" i="19" s="1"/>
  <c r="L102" i="19"/>
  <c r="R102" i="19" s="1"/>
  <c r="K103" i="19"/>
  <c r="Q103" i="19" s="1"/>
  <c r="L103" i="19"/>
  <c r="R103" i="19" s="1"/>
  <c r="K104" i="19"/>
  <c r="Q104" i="19" s="1"/>
  <c r="L104" i="19"/>
  <c r="R104" i="19" s="1"/>
  <c r="K105" i="19"/>
  <c r="Q105" i="19" s="1"/>
  <c r="L105" i="19"/>
  <c r="R105" i="19" s="1"/>
  <c r="K106" i="19"/>
  <c r="Q106" i="19" s="1"/>
  <c r="L106" i="19"/>
  <c r="R106" i="19" s="1"/>
  <c r="K107" i="19"/>
  <c r="Q107" i="19" s="1"/>
  <c r="L107" i="19"/>
  <c r="R107" i="19" s="1"/>
  <c r="K108" i="19"/>
  <c r="Q108" i="19" s="1"/>
  <c r="L108" i="19"/>
  <c r="R108" i="19" s="1"/>
  <c r="K109" i="19"/>
  <c r="Q109" i="19" s="1"/>
  <c r="L109" i="19"/>
  <c r="R109" i="19" s="1"/>
  <c r="K110" i="19"/>
  <c r="Q110" i="19" s="1"/>
  <c r="L110" i="19"/>
  <c r="R110" i="19" s="1"/>
  <c r="K111" i="19"/>
  <c r="Q111" i="19" s="1"/>
  <c r="L111" i="19"/>
  <c r="R111" i="19" s="1"/>
  <c r="K112" i="19"/>
  <c r="Q112" i="19" s="1"/>
  <c r="L112" i="19"/>
  <c r="R112" i="19" s="1"/>
  <c r="K113" i="19"/>
  <c r="Q113" i="19" s="1"/>
  <c r="L113" i="19"/>
  <c r="R113" i="19" s="1"/>
  <c r="K114" i="19"/>
  <c r="Q114" i="19" s="1"/>
  <c r="L114" i="19"/>
  <c r="R114" i="19" s="1"/>
  <c r="K115" i="19"/>
  <c r="Q115" i="19" s="1"/>
  <c r="L115" i="19"/>
  <c r="R115" i="19" s="1"/>
  <c r="K116" i="19"/>
  <c r="Q116" i="19" s="1"/>
  <c r="L116" i="19"/>
  <c r="R116" i="19" s="1"/>
  <c r="K117" i="19"/>
  <c r="Q117" i="19" s="1"/>
  <c r="L117" i="19"/>
  <c r="R117" i="19" s="1"/>
  <c r="K118" i="19"/>
  <c r="Q118" i="19" s="1"/>
  <c r="L118" i="19"/>
  <c r="R118" i="19" s="1"/>
  <c r="K119" i="19"/>
  <c r="Q119" i="19" s="1"/>
  <c r="L119" i="19"/>
  <c r="R119" i="19" s="1"/>
  <c r="K120" i="19"/>
  <c r="Q120" i="19" s="1"/>
  <c r="L120" i="19"/>
  <c r="R120" i="19" s="1"/>
  <c r="K121" i="19"/>
  <c r="Q121" i="19" s="1"/>
  <c r="L121" i="19"/>
  <c r="R121" i="19" s="1"/>
  <c r="K122" i="19"/>
  <c r="Q122" i="19" s="1"/>
  <c r="L122" i="19"/>
  <c r="R122" i="19" s="1"/>
  <c r="K123" i="19"/>
  <c r="Q123" i="19" s="1"/>
  <c r="L123" i="19"/>
  <c r="R123" i="19" s="1"/>
  <c r="K124" i="19"/>
  <c r="Q124" i="19" s="1"/>
  <c r="L124" i="19"/>
  <c r="R124" i="19" s="1"/>
  <c r="K125" i="19"/>
  <c r="Q125" i="19" s="1"/>
  <c r="L125" i="19"/>
  <c r="R125" i="19" s="1"/>
  <c r="J7" i="19"/>
  <c r="P7" i="19" s="1"/>
  <c r="J8" i="19"/>
  <c r="P8" i="19" s="1"/>
  <c r="J9" i="19"/>
  <c r="P9" i="19" s="1"/>
  <c r="J10" i="19"/>
  <c r="P10" i="19" s="1"/>
  <c r="J11" i="19"/>
  <c r="P11" i="19" s="1"/>
  <c r="J12" i="19"/>
  <c r="P12" i="19" s="1"/>
  <c r="J13" i="19"/>
  <c r="P13" i="19" s="1"/>
  <c r="J14" i="19"/>
  <c r="P14" i="19" s="1"/>
  <c r="J15" i="19"/>
  <c r="P15" i="19" s="1"/>
  <c r="J16" i="19"/>
  <c r="P16" i="19" s="1"/>
  <c r="J17" i="19"/>
  <c r="P17" i="19" s="1"/>
  <c r="J18" i="19"/>
  <c r="P18" i="19" s="1"/>
  <c r="J19" i="19"/>
  <c r="P19" i="19" s="1"/>
  <c r="J20" i="19"/>
  <c r="P20" i="19" s="1"/>
  <c r="J21" i="19"/>
  <c r="P21" i="19" s="1"/>
  <c r="J22" i="19"/>
  <c r="P22" i="19" s="1"/>
  <c r="J23" i="19"/>
  <c r="P23" i="19" s="1"/>
  <c r="J24" i="19"/>
  <c r="P24" i="19" s="1"/>
  <c r="J25" i="19"/>
  <c r="P25" i="19" s="1"/>
  <c r="J26" i="19"/>
  <c r="P26" i="19" s="1"/>
  <c r="J27" i="19"/>
  <c r="P27" i="19" s="1"/>
  <c r="J28" i="19"/>
  <c r="P28" i="19" s="1"/>
  <c r="J29" i="19"/>
  <c r="P29" i="19" s="1"/>
  <c r="J30" i="19"/>
  <c r="P30" i="19" s="1"/>
  <c r="J31" i="19"/>
  <c r="P31" i="19" s="1"/>
  <c r="J32" i="19"/>
  <c r="P32" i="19" s="1"/>
  <c r="J33" i="19"/>
  <c r="P33" i="19" s="1"/>
  <c r="J34" i="19"/>
  <c r="P34" i="19" s="1"/>
  <c r="J35" i="19"/>
  <c r="P35" i="19" s="1"/>
  <c r="J36" i="19"/>
  <c r="P36" i="19" s="1"/>
  <c r="J37" i="19"/>
  <c r="P37" i="19" s="1"/>
  <c r="J38" i="19"/>
  <c r="P38" i="19" s="1"/>
  <c r="J39" i="19"/>
  <c r="P39" i="19" s="1"/>
  <c r="J40" i="19"/>
  <c r="P40" i="19" s="1"/>
  <c r="J41" i="19"/>
  <c r="P41" i="19" s="1"/>
  <c r="J42" i="19"/>
  <c r="P42" i="19" s="1"/>
  <c r="J43" i="19"/>
  <c r="P43" i="19" s="1"/>
  <c r="J44" i="19"/>
  <c r="P44" i="19" s="1"/>
  <c r="J45" i="19"/>
  <c r="P45" i="19" s="1"/>
  <c r="J46" i="19"/>
  <c r="P46" i="19" s="1"/>
  <c r="J47" i="19"/>
  <c r="P47" i="19" s="1"/>
  <c r="J48" i="19"/>
  <c r="P48" i="19" s="1"/>
  <c r="J49" i="19"/>
  <c r="P49" i="19" s="1"/>
  <c r="J50" i="19"/>
  <c r="P50" i="19" s="1"/>
  <c r="J51" i="19"/>
  <c r="P51" i="19" s="1"/>
  <c r="J52" i="19"/>
  <c r="P52" i="19" s="1"/>
  <c r="J53" i="19"/>
  <c r="P53" i="19" s="1"/>
  <c r="J54" i="19"/>
  <c r="P54" i="19" s="1"/>
  <c r="J55" i="19"/>
  <c r="P55" i="19" s="1"/>
  <c r="J56" i="19"/>
  <c r="P56" i="19" s="1"/>
  <c r="J57" i="19"/>
  <c r="P57" i="19" s="1"/>
  <c r="J58" i="19"/>
  <c r="P58" i="19" s="1"/>
  <c r="J59" i="19"/>
  <c r="P59" i="19" s="1"/>
  <c r="J60" i="19"/>
  <c r="P60" i="19" s="1"/>
  <c r="J61" i="19"/>
  <c r="P61" i="19" s="1"/>
  <c r="J62" i="19"/>
  <c r="P62" i="19" s="1"/>
  <c r="J63" i="19"/>
  <c r="P63" i="19" s="1"/>
  <c r="J64" i="19"/>
  <c r="P64" i="19" s="1"/>
  <c r="J65" i="19"/>
  <c r="P65" i="19" s="1"/>
  <c r="J66" i="19"/>
  <c r="P66" i="19" s="1"/>
  <c r="J67" i="19"/>
  <c r="P67" i="19" s="1"/>
  <c r="J68" i="19"/>
  <c r="P68" i="19" s="1"/>
  <c r="J69" i="19"/>
  <c r="P69" i="19" s="1"/>
  <c r="J70" i="19"/>
  <c r="P70" i="19" s="1"/>
  <c r="J71" i="19"/>
  <c r="P71" i="19" s="1"/>
  <c r="J72" i="19"/>
  <c r="P72" i="19" s="1"/>
  <c r="J73" i="19"/>
  <c r="P73" i="19" s="1"/>
  <c r="J74" i="19"/>
  <c r="P74" i="19" s="1"/>
  <c r="J75" i="19"/>
  <c r="P75" i="19" s="1"/>
  <c r="J76" i="19"/>
  <c r="P76" i="19" s="1"/>
  <c r="J77" i="19"/>
  <c r="P77" i="19" s="1"/>
  <c r="J78" i="19"/>
  <c r="P78" i="19" s="1"/>
  <c r="J79" i="19"/>
  <c r="P79" i="19" s="1"/>
  <c r="J80" i="19"/>
  <c r="P80" i="19" s="1"/>
  <c r="J81" i="19"/>
  <c r="P81" i="19" s="1"/>
  <c r="J82" i="19"/>
  <c r="P82" i="19" s="1"/>
  <c r="J83" i="19"/>
  <c r="P83" i="19" s="1"/>
  <c r="J84" i="19"/>
  <c r="P84" i="19" s="1"/>
  <c r="J85" i="19"/>
  <c r="P85" i="19" s="1"/>
  <c r="J86" i="19"/>
  <c r="P86" i="19" s="1"/>
  <c r="J87" i="19"/>
  <c r="P87" i="19" s="1"/>
  <c r="J88" i="19"/>
  <c r="P88" i="19" s="1"/>
  <c r="J89" i="19"/>
  <c r="P89" i="19" s="1"/>
  <c r="J90" i="19"/>
  <c r="P90" i="19" s="1"/>
  <c r="J91" i="19"/>
  <c r="P91" i="19" s="1"/>
  <c r="J92" i="19"/>
  <c r="P92" i="19" s="1"/>
  <c r="J93" i="19"/>
  <c r="P93" i="19" s="1"/>
  <c r="J94" i="19"/>
  <c r="P94" i="19" s="1"/>
  <c r="J95" i="19"/>
  <c r="P95" i="19" s="1"/>
  <c r="J96" i="19"/>
  <c r="P96" i="19" s="1"/>
  <c r="J97" i="19"/>
  <c r="P97" i="19" s="1"/>
  <c r="J98" i="19"/>
  <c r="P98" i="19" s="1"/>
  <c r="J99" i="19"/>
  <c r="P99" i="19" s="1"/>
  <c r="J100" i="19"/>
  <c r="P100" i="19" s="1"/>
  <c r="J101" i="19"/>
  <c r="P101" i="19" s="1"/>
  <c r="J102" i="19"/>
  <c r="P102" i="19" s="1"/>
  <c r="J103" i="19"/>
  <c r="P103" i="19" s="1"/>
  <c r="J104" i="19"/>
  <c r="P104" i="19" s="1"/>
  <c r="J105" i="19"/>
  <c r="P105" i="19" s="1"/>
  <c r="J106" i="19"/>
  <c r="P106" i="19" s="1"/>
  <c r="J107" i="19"/>
  <c r="P107" i="19" s="1"/>
  <c r="J108" i="19"/>
  <c r="P108" i="19" s="1"/>
  <c r="J109" i="19"/>
  <c r="P109" i="19" s="1"/>
  <c r="J110" i="19"/>
  <c r="P110" i="19" s="1"/>
  <c r="J111" i="19"/>
  <c r="P111" i="19" s="1"/>
  <c r="J112" i="19"/>
  <c r="P112" i="19" s="1"/>
  <c r="J113" i="19"/>
  <c r="P113" i="19" s="1"/>
  <c r="J114" i="19"/>
  <c r="P114" i="19" s="1"/>
  <c r="J115" i="19"/>
  <c r="P115" i="19" s="1"/>
  <c r="J116" i="19"/>
  <c r="P116" i="19" s="1"/>
  <c r="J117" i="19"/>
  <c r="P117" i="19" s="1"/>
  <c r="J118" i="19"/>
  <c r="P118" i="19" s="1"/>
  <c r="J119" i="19"/>
  <c r="P119" i="19" s="1"/>
  <c r="J120" i="19"/>
  <c r="P120" i="19" s="1"/>
  <c r="J121" i="19"/>
  <c r="P121" i="19" s="1"/>
  <c r="J122" i="19"/>
  <c r="P122" i="19" s="1"/>
  <c r="J123" i="19"/>
  <c r="P123" i="19" s="1"/>
  <c r="J124" i="19"/>
  <c r="P124" i="19" s="1"/>
  <c r="J125" i="19"/>
  <c r="P125" i="19" s="1"/>
  <c r="J6" i="19"/>
  <c r="W30" i="19" l="1"/>
  <c r="W28" i="19"/>
  <c r="P6" i="19"/>
  <c r="V29" i="19"/>
  <c r="V28" i="19"/>
  <c r="V31" i="19"/>
  <c r="V30" i="19"/>
  <c r="W29" i="19"/>
  <c r="W31" i="19"/>
  <c r="X30" i="19"/>
  <c r="X29" i="19"/>
  <c r="X28" i="19"/>
  <c r="X31" i="19"/>
  <c r="Y29" i="19"/>
  <c r="Y28" i="19"/>
  <c r="Y30" i="19"/>
  <c r="Y31" i="19"/>
  <c r="Y7" i="19"/>
  <c r="Y8" i="19" s="1"/>
  <c r="S6" i="19"/>
  <c r="V13" i="19"/>
  <c r="V12" i="19" s="1"/>
  <c r="Q9" i="19"/>
  <c r="Q7" i="19"/>
  <c r="Y13" i="19"/>
  <c r="Y12" i="19" s="1"/>
  <c r="X15" i="19"/>
  <c r="X14" i="19" s="1"/>
  <c r="X17" i="19"/>
  <c r="X16" i="19" s="1"/>
  <c r="X9" i="19"/>
  <c r="X10" i="19" s="1"/>
  <c r="X7" i="19"/>
  <c r="X8" i="19" s="1"/>
  <c r="R6" i="19"/>
  <c r="X13" i="19" s="1"/>
  <c r="X12" i="19" s="1"/>
  <c r="W17" i="19"/>
  <c r="W16" i="19" s="1"/>
  <c r="W15" i="19"/>
  <c r="W14" i="19" s="1"/>
  <c r="W9" i="19"/>
  <c r="W10" i="19" s="1"/>
  <c r="W7" i="19"/>
  <c r="W8" i="19" s="1"/>
  <c r="Q6" i="19"/>
  <c r="Y17" i="19"/>
  <c r="Y16" i="19" s="1"/>
  <c r="Y15" i="19"/>
  <c r="Y14" i="19" s="1"/>
  <c r="Y9" i="19"/>
  <c r="Y10" i="19" s="1"/>
  <c r="V22" i="19"/>
  <c r="X23" i="19"/>
  <c r="Y24" i="19"/>
  <c r="X21" i="19"/>
  <c r="V23" i="19"/>
  <c r="Y23" i="19"/>
  <c r="W22" i="19"/>
  <c r="Y21" i="19"/>
  <c r="V24" i="19"/>
  <c r="W24" i="19"/>
  <c r="X22" i="19"/>
  <c r="W21" i="19"/>
  <c r="W23" i="19"/>
  <c r="X24" i="19"/>
  <c r="Y22" i="19"/>
  <c r="V21" i="19"/>
  <c r="V17" i="19"/>
  <c r="V16" i="19" s="1"/>
  <c r="V15" i="19"/>
  <c r="V14" i="19" s="1"/>
  <c r="V9" i="19"/>
  <c r="V10" i="19" s="1"/>
  <c r="V7" i="19"/>
  <c r="V8" i="19" s="1"/>
  <c r="Q8" i="19"/>
  <c r="O15" i="18"/>
  <c r="C12" i="18"/>
  <c r="D12" i="18"/>
  <c r="E12" i="18"/>
  <c r="F12" i="18"/>
  <c r="J12" i="18" s="1"/>
  <c r="M16" i="4"/>
  <c r="R40" i="11"/>
  <c r="R41" i="11" s="1"/>
  <c r="P40" i="11"/>
  <c r="P41" i="11" s="1"/>
  <c r="N40" i="11"/>
  <c r="N41" i="11" s="1"/>
  <c r="L40" i="11"/>
  <c r="L41" i="11" s="1"/>
  <c r="D1239" i="3"/>
  <c r="D1228" i="3"/>
  <c r="E1222" i="3" s="1"/>
  <c r="D1219" i="3"/>
  <c r="E1213" i="3" s="1"/>
  <c r="D1207" i="3"/>
  <c r="D1199" i="3"/>
  <c r="E1193" i="3" s="1"/>
  <c r="D1187" i="3"/>
  <c r="E1181" i="3" s="1"/>
  <c r="D1178" i="3"/>
  <c r="D1166" i="3"/>
  <c r="E1161" i="3" s="1"/>
  <c r="D1158" i="3"/>
  <c r="D1147" i="3"/>
  <c r="E1143" i="3" s="1"/>
  <c r="D1139" i="3"/>
  <c r="E1134" i="3" s="1"/>
  <c r="D1128" i="3"/>
  <c r="E1122" i="3" s="1"/>
  <c r="D1119" i="3"/>
  <c r="E1113" i="3" s="1"/>
  <c r="D1107" i="3"/>
  <c r="E1101" i="3" s="1"/>
  <c r="D1098" i="3"/>
  <c r="D1086" i="3"/>
  <c r="E1080" i="3" s="1"/>
  <c r="D1077" i="3"/>
  <c r="E1071" i="3" s="1"/>
  <c r="D1065" i="3"/>
  <c r="E1060" i="3" s="1"/>
  <c r="D1057" i="3"/>
  <c r="Y1046" i="3"/>
  <c r="X1046" i="3"/>
  <c r="W1046" i="3"/>
  <c r="V1046" i="3"/>
  <c r="T1046" i="3"/>
  <c r="S1046" i="3"/>
  <c r="R1046" i="3"/>
  <c r="Q1046" i="3"/>
  <c r="AB1045" i="3"/>
  <c r="Z1045" i="3"/>
  <c r="U1045" i="3"/>
  <c r="AB1044" i="3"/>
  <c r="Z1044" i="3"/>
  <c r="U1044" i="3"/>
  <c r="AB1043" i="3"/>
  <c r="Z1043" i="3"/>
  <c r="U1043" i="3"/>
  <c r="AB1042" i="3"/>
  <c r="Z1042" i="3"/>
  <c r="U1042" i="3"/>
  <c r="AB1041" i="3"/>
  <c r="Z1041" i="3"/>
  <c r="U1041" i="3"/>
  <c r="AB1040" i="3"/>
  <c r="Z1040" i="3"/>
  <c r="U1040" i="3"/>
  <c r="AB1039" i="3"/>
  <c r="Z1039" i="3"/>
  <c r="U1039" i="3"/>
  <c r="AB1038" i="3"/>
  <c r="Z1038" i="3"/>
  <c r="U1038" i="3"/>
  <c r="AB1037" i="3"/>
  <c r="Z1037" i="3"/>
  <c r="U1037" i="3"/>
  <c r="AB1036" i="3"/>
  <c r="Z1036" i="3"/>
  <c r="U1036" i="3"/>
  <c r="D1046" i="3"/>
  <c r="D1038" i="3"/>
  <c r="E1239" i="3"/>
  <c r="F1239" i="3"/>
  <c r="G1239" i="3"/>
  <c r="H1239" i="3"/>
  <c r="V46" i="19" l="1"/>
  <c r="V43" i="19"/>
  <c r="V44" i="19"/>
  <c r="V45" i="19"/>
  <c r="W46" i="19"/>
  <c r="X46" i="19" s="1"/>
  <c r="W43" i="19"/>
  <c r="X43" i="19" s="1"/>
  <c r="W45" i="19"/>
  <c r="X45" i="19" s="1"/>
  <c r="W44" i="19"/>
  <c r="X44" i="19" s="1"/>
  <c r="V52" i="19"/>
  <c r="Y52" i="19" s="1"/>
  <c r="V50" i="19"/>
  <c r="V51" i="19"/>
  <c r="Y51" i="19" s="1"/>
  <c r="I12" i="18"/>
  <c r="W13" i="19"/>
  <c r="W12" i="19" s="1"/>
  <c r="D1109" i="3"/>
  <c r="D1067" i="3"/>
  <c r="D1235" i="3"/>
  <c r="AA1043" i="3"/>
  <c r="AB1046" i="3"/>
  <c r="AA1039" i="3"/>
  <c r="D1048" i="3"/>
  <c r="E1033" i="3" s="1"/>
  <c r="E1038" i="3" s="1"/>
  <c r="D1209" i="3"/>
  <c r="D1088" i="3"/>
  <c r="D1130" i="3"/>
  <c r="E1092" i="3"/>
  <c r="E1098" i="3" s="1"/>
  <c r="F1092" i="3" s="1"/>
  <c r="F1098" i="3" s="1"/>
  <c r="G1092" i="3" s="1"/>
  <c r="G1098" i="3" s="1"/>
  <c r="H1092" i="3" s="1"/>
  <c r="H1098" i="3" s="1"/>
  <c r="I1106" i="3" s="1"/>
  <c r="D1149" i="3"/>
  <c r="D1168" i="3"/>
  <c r="D1189" i="3"/>
  <c r="D1230" i="3"/>
  <c r="E1153" i="3"/>
  <c r="E1158" i="3" s="1"/>
  <c r="F1153" i="3" s="1"/>
  <c r="F1158" i="3" s="1"/>
  <c r="E1172" i="3"/>
  <c r="E1178" i="3" s="1"/>
  <c r="H12" i="18"/>
  <c r="G12" i="18"/>
  <c r="K12" i="18"/>
  <c r="AA1042" i="3"/>
  <c r="AA1038" i="3"/>
  <c r="U1046" i="3"/>
  <c r="AA1037" i="3"/>
  <c r="AA1041" i="3"/>
  <c r="AA1045" i="3"/>
  <c r="AA1036" i="3"/>
  <c r="AA1040" i="3"/>
  <c r="AA1044" i="3"/>
  <c r="Z1046" i="3"/>
  <c r="E1228" i="3"/>
  <c r="F1222" i="3" s="1"/>
  <c r="E1219" i="3"/>
  <c r="F1213" i="3" s="1"/>
  <c r="F1219" i="3" s="1"/>
  <c r="E1199" i="3"/>
  <c r="F1193" i="3" s="1"/>
  <c r="F1199" i="3" s="1"/>
  <c r="E1207" i="3"/>
  <c r="F1202" i="3" s="1"/>
  <c r="F1207" i="3" s="1"/>
  <c r="G1202" i="3" s="1"/>
  <c r="G1207" i="3" s="1"/>
  <c r="H1202" i="3" s="1"/>
  <c r="H1207" i="3" s="1"/>
  <c r="I1202" i="3" s="1"/>
  <c r="E1187" i="3"/>
  <c r="F1181" i="3" s="1"/>
  <c r="F1187" i="3" s="1"/>
  <c r="G1181" i="3" s="1"/>
  <c r="G1187" i="3" s="1"/>
  <c r="H1181" i="3" s="1"/>
  <c r="H1187" i="3" s="1"/>
  <c r="I1181" i="3" s="1"/>
  <c r="E1166" i="3"/>
  <c r="E1147" i="3"/>
  <c r="F1143" i="3" s="1"/>
  <c r="F1147" i="3" s="1"/>
  <c r="E1139" i="3"/>
  <c r="F1134" i="3" s="1"/>
  <c r="F1139" i="3" s="1"/>
  <c r="G1134" i="3" s="1"/>
  <c r="G1139" i="3" s="1"/>
  <c r="H1134" i="3" s="1"/>
  <c r="H1139" i="3" s="1"/>
  <c r="I1148" i="3" s="1"/>
  <c r="I38" i="7"/>
  <c r="J38" i="7"/>
  <c r="K38" i="7"/>
  <c r="E1128" i="3"/>
  <c r="F1122" i="3" s="1"/>
  <c r="F1128" i="3" s="1"/>
  <c r="E1119" i="3"/>
  <c r="E1107" i="3"/>
  <c r="F1101" i="3" s="1"/>
  <c r="F1107" i="3" s="1"/>
  <c r="E1086" i="3"/>
  <c r="E1077" i="3"/>
  <c r="F1071" i="3" s="1"/>
  <c r="F1077" i="3" s="1"/>
  <c r="E1065" i="3"/>
  <c r="F1060" i="3" s="1"/>
  <c r="F1065" i="3" s="1"/>
  <c r="E1057" i="3"/>
  <c r="F1052" i="3" s="1"/>
  <c r="F1057" i="3" s="1"/>
  <c r="G1052" i="3" s="1"/>
  <c r="E1046" i="3"/>
  <c r="Z52" i="19" l="1"/>
  <c r="Z51" i="19"/>
  <c r="V58" i="19"/>
  <c r="Y58" i="19" s="1"/>
  <c r="V59" i="19"/>
  <c r="Y59" i="19" s="1"/>
  <c r="V56" i="19"/>
  <c r="Y56" i="19" s="1"/>
  <c r="V57" i="19"/>
  <c r="Y57" i="19" s="1"/>
  <c r="Y50" i="19"/>
  <c r="Z50" i="19"/>
  <c r="AA1046" i="3"/>
  <c r="D1237" i="3"/>
  <c r="D6" i="6" s="1"/>
  <c r="E1130" i="3"/>
  <c r="E1048" i="3"/>
  <c r="E1168" i="3"/>
  <c r="E1209" i="3"/>
  <c r="F1209" i="3"/>
  <c r="G1153" i="3"/>
  <c r="G1158" i="3" s="1"/>
  <c r="H1153" i="3" s="1"/>
  <c r="H1158" i="3" s="1"/>
  <c r="I1167" i="3" s="1"/>
  <c r="E1149" i="3"/>
  <c r="F1161" i="3"/>
  <c r="F1166" i="3" s="1"/>
  <c r="F1228" i="3"/>
  <c r="F1230" i="3" s="1"/>
  <c r="E1189" i="3"/>
  <c r="E1235" i="3"/>
  <c r="E1088" i="3"/>
  <c r="E1230" i="3"/>
  <c r="G1213" i="3"/>
  <c r="G1219" i="3" s="1"/>
  <c r="G1193" i="3"/>
  <c r="G1199" i="3" s="1"/>
  <c r="F1172" i="3"/>
  <c r="F1178" i="3" s="1"/>
  <c r="F1149" i="3"/>
  <c r="G1143" i="3"/>
  <c r="G1147" i="3" s="1"/>
  <c r="G1149" i="3" s="1"/>
  <c r="G1122" i="3"/>
  <c r="G1128" i="3" s="1"/>
  <c r="H1122" i="3" s="1"/>
  <c r="H1128" i="3" s="1"/>
  <c r="I1122" i="3" s="1"/>
  <c r="E1109" i="3"/>
  <c r="G1101" i="3"/>
  <c r="F1109" i="3"/>
  <c r="F1080" i="3"/>
  <c r="G1071" i="3"/>
  <c r="G1077" i="3" s="1"/>
  <c r="G1060" i="3"/>
  <c r="G1065" i="3" s="1"/>
  <c r="E1067" i="3"/>
  <c r="F1067" i="3"/>
  <c r="G1057" i="3" s="1"/>
  <c r="H1052" i="3" s="1"/>
  <c r="H1057" i="3" s="1"/>
  <c r="F1168" i="3" l="1"/>
  <c r="G1161" i="3"/>
  <c r="G1166" i="3" s="1"/>
  <c r="H1161" i="3" s="1"/>
  <c r="H1166" i="3" s="1"/>
  <c r="E1237" i="3"/>
  <c r="E6" i="6" s="1"/>
  <c r="F1033" i="3"/>
  <c r="F1038" i="3" s="1"/>
  <c r="F1048" i="3" s="1"/>
  <c r="G1222" i="3"/>
  <c r="G1228" i="3" s="1"/>
  <c r="H1222" i="3" s="1"/>
  <c r="H1228" i="3" s="1"/>
  <c r="I1222" i="3" s="1"/>
  <c r="H1071" i="3"/>
  <c r="H1077" i="3" s="1"/>
  <c r="I1085" i="3" s="1"/>
  <c r="F1086" i="3"/>
  <c r="F1088" i="3" s="1"/>
  <c r="G1209" i="3"/>
  <c r="H1193" i="3"/>
  <c r="H1199" i="3" s="1"/>
  <c r="H1213" i="3"/>
  <c r="H1219" i="3" s="1"/>
  <c r="I1229" i="3" s="1"/>
  <c r="F1189" i="3"/>
  <c r="G1172" i="3"/>
  <c r="G1178" i="3" s="1"/>
  <c r="H1143" i="3"/>
  <c r="H1147" i="3" s="1"/>
  <c r="G1107" i="3"/>
  <c r="G1067" i="3"/>
  <c r="C65" i="7" l="1"/>
  <c r="H1168" i="3"/>
  <c r="I1161" i="3"/>
  <c r="H1149" i="3"/>
  <c r="I1143" i="3"/>
  <c r="H1209" i="3"/>
  <c r="I1208" i="3"/>
  <c r="G1168" i="3"/>
  <c r="G1033" i="3"/>
  <c r="G1038" i="3" s="1"/>
  <c r="G1230" i="3"/>
  <c r="H1230" i="3"/>
  <c r="G1109" i="3"/>
  <c r="H1101" i="3"/>
  <c r="H1107" i="3" s="1"/>
  <c r="G1080" i="3"/>
  <c r="G1086" i="3" s="1"/>
  <c r="G1189" i="3"/>
  <c r="H1172" i="3"/>
  <c r="H1178" i="3" s="1"/>
  <c r="H1060" i="3"/>
  <c r="H1065" i="3" s="1"/>
  <c r="H1109" i="3" l="1"/>
  <c r="I1101" i="3"/>
  <c r="H1189" i="3"/>
  <c r="I1188" i="3"/>
  <c r="H1080" i="3"/>
  <c r="H1086" i="3" s="1"/>
  <c r="G1088" i="3"/>
  <c r="G1048" i="3"/>
  <c r="H1067" i="3"/>
  <c r="H1088" i="3" l="1"/>
  <c r="I1080" i="3"/>
  <c r="H1033" i="3"/>
  <c r="H1038" i="3" s="1"/>
  <c r="Y83" i="13"/>
  <c r="Z83" i="13" s="1"/>
  <c r="AK83" i="13"/>
  <c r="AL83" i="13"/>
  <c r="AM83" i="13"/>
  <c r="AN83" i="13"/>
  <c r="AP83" i="13"/>
  <c r="AQ83" i="13"/>
  <c r="AR83" i="13"/>
  <c r="AS83" i="13"/>
  <c r="AU83" i="13"/>
  <c r="AV83" i="13"/>
  <c r="AW83" i="13"/>
  <c r="BE83" i="13" s="1"/>
  <c r="AX83" i="13"/>
  <c r="BF83" i="13" s="1"/>
  <c r="AZ83" i="13"/>
  <c r="BA83" i="13"/>
  <c r="Y11" i="13"/>
  <c r="Y66" i="13"/>
  <c r="Z66" i="13" s="1"/>
  <c r="Y58" i="13"/>
  <c r="Z58" i="13" s="1"/>
  <c r="H1048" i="3" l="1"/>
  <c r="M17" i="4"/>
  <c r="AA83" i="13"/>
  <c r="J635" i="3"/>
  <c r="R53" i="2"/>
  <c r="K523" i="3"/>
  <c r="G522" i="3"/>
  <c r="H522" i="3"/>
  <c r="I522" i="3"/>
  <c r="F522" i="3"/>
  <c r="K522" i="3" l="1"/>
  <c r="U94" i="13"/>
  <c r="G26" i="13"/>
  <c r="G4" i="13"/>
  <c r="F4" i="13" s="1"/>
  <c r="F87" i="13"/>
  <c r="D22" i="13"/>
  <c r="AK11" i="13"/>
  <c r="AL11" i="13"/>
  <c r="AM11" i="13"/>
  <c r="AN11" i="13"/>
  <c r="AP11" i="13"/>
  <c r="AQ11" i="13"/>
  <c r="AR11" i="13"/>
  <c r="AS11" i="13"/>
  <c r="AU11" i="13"/>
  <c r="AV11" i="13"/>
  <c r="AW11" i="13"/>
  <c r="AX11" i="13"/>
  <c r="AZ11" i="13"/>
  <c r="BA11" i="13"/>
  <c r="J521" i="3" l="1"/>
  <c r="L521" i="3" s="1"/>
  <c r="N521" i="3" s="1"/>
  <c r="K521" i="3"/>
  <c r="M521" i="3" s="1"/>
  <c r="D11" i="13"/>
  <c r="AG83" i="13" s="1"/>
  <c r="C11" i="13"/>
  <c r="AF83" i="13" s="1"/>
  <c r="F11" i="13"/>
  <c r="AI83" i="13" s="1"/>
  <c r="E11" i="13"/>
  <c r="AH83" i="13" s="1"/>
  <c r="V5" i="13"/>
  <c r="U16" i="13"/>
  <c r="Z11" i="13"/>
  <c r="BC11" i="13" s="1"/>
  <c r="BB11" i="13"/>
  <c r="X94" i="13"/>
  <c r="Q94" i="13"/>
  <c r="P22" i="13"/>
  <c r="O22" i="13"/>
  <c r="N22" i="13"/>
  <c r="M22" i="13"/>
  <c r="I87" i="13"/>
  <c r="H87" i="13"/>
  <c r="L77" i="13"/>
  <c r="L11" i="13"/>
  <c r="AO11" i="13" s="1"/>
  <c r="Q11" i="13"/>
  <c r="AT11" i="13" s="1"/>
  <c r="V11" i="13"/>
  <c r="AY11" i="13" s="1"/>
  <c r="W48" i="13"/>
  <c r="X48" i="13"/>
  <c r="Z5" i="13" l="1"/>
  <c r="AA11" i="13"/>
  <c r="M3" i="2" s="1"/>
  <c r="M55" i="2" l="1"/>
  <c r="K7" i="9" s="1"/>
  <c r="M27" i="13"/>
  <c r="T27" i="13"/>
  <c r="U27" i="13"/>
  <c r="S27" i="13"/>
  <c r="X27" i="13"/>
  <c r="W27" i="13"/>
  <c r="X35" i="13"/>
  <c r="G80" i="3"/>
  <c r="AK70" i="13" l="1"/>
  <c r="AL70" i="13"/>
  <c r="AM70" i="13"/>
  <c r="AN70" i="13"/>
  <c r="AP70" i="13"/>
  <c r="AQ70" i="13"/>
  <c r="AR70" i="13"/>
  <c r="AS70" i="13"/>
  <c r="AU70" i="13"/>
  <c r="AV70" i="13"/>
  <c r="AW70" i="13"/>
  <c r="BE70" i="13" s="1"/>
  <c r="AX70" i="13"/>
  <c r="AZ70" i="13"/>
  <c r="BA70" i="13"/>
  <c r="AK66" i="13"/>
  <c r="AL66" i="13"/>
  <c r="AM66" i="13"/>
  <c r="AN66" i="13"/>
  <c r="AP66" i="13"/>
  <c r="AQ66" i="13"/>
  <c r="AR66" i="13"/>
  <c r="AS66" i="13"/>
  <c r="AU66" i="13"/>
  <c r="AV66" i="13"/>
  <c r="AW66" i="13"/>
  <c r="AX66" i="13"/>
  <c r="BF66" i="13" s="1"/>
  <c r="AZ66" i="13"/>
  <c r="BA66" i="13"/>
  <c r="AK62" i="13"/>
  <c r="AL62" i="13"/>
  <c r="AM62" i="13"/>
  <c r="AN62" i="13"/>
  <c r="AK58" i="13"/>
  <c r="AL58" i="13"/>
  <c r="AM58" i="13"/>
  <c r="AN58" i="13"/>
  <c r="AZ58" i="13"/>
  <c r="BA58" i="13"/>
  <c r="AK50" i="13"/>
  <c r="AL50" i="13"/>
  <c r="AM50" i="13"/>
  <c r="AN50" i="13"/>
  <c r="AP50" i="13"/>
  <c r="AQ50" i="13"/>
  <c r="AR50" i="13"/>
  <c r="AS50" i="13"/>
  <c r="AU50" i="13"/>
  <c r="AV50" i="13"/>
  <c r="AW50" i="13"/>
  <c r="AX50" i="13"/>
  <c r="BF50" i="13" s="1"/>
  <c r="AZ50" i="13"/>
  <c r="BA50" i="13"/>
  <c r="AK46" i="13"/>
  <c r="AL46" i="13"/>
  <c r="AM46" i="13"/>
  <c r="AN46" i="13"/>
  <c r="AP46" i="13"/>
  <c r="AQ46" i="13"/>
  <c r="AR46" i="13"/>
  <c r="AS46" i="13"/>
  <c r="AU46" i="13"/>
  <c r="AV46" i="13"/>
  <c r="AW46" i="13"/>
  <c r="BE46" i="13" s="1"/>
  <c r="AX46" i="13"/>
  <c r="AZ46" i="13"/>
  <c r="BA46" i="13"/>
  <c r="AK38" i="13"/>
  <c r="AL38" i="13"/>
  <c r="AM38" i="13"/>
  <c r="AN38" i="13"/>
  <c r="AP38" i="13"/>
  <c r="AK34" i="13"/>
  <c r="AL34" i="13"/>
  <c r="AM34" i="13"/>
  <c r="AN34" i="13"/>
  <c r="AP34" i="13"/>
  <c r="AV34" i="13"/>
  <c r="AW34" i="13"/>
  <c r="AX34" i="13"/>
  <c r="AZ34" i="13"/>
  <c r="BA34" i="13"/>
  <c r="AK30" i="13"/>
  <c r="AL30" i="13"/>
  <c r="AM30" i="13"/>
  <c r="AN30" i="13"/>
  <c r="AP30" i="13"/>
  <c r="AQ30" i="13"/>
  <c r="AR30" i="13"/>
  <c r="AS30" i="13"/>
  <c r="AU30" i="13"/>
  <c r="AV30" i="13"/>
  <c r="AW30" i="13"/>
  <c r="AX30" i="13"/>
  <c r="BF30" i="13" s="1"/>
  <c r="AZ30" i="13"/>
  <c r="BA30" i="13"/>
  <c r="AK15" i="13"/>
  <c r="AL15" i="13"/>
  <c r="AM15" i="13"/>
  <c r="AN15" i="13"/>
  <c r="AP15" i="13"/>
  <c r="AQ15" i="13"/>
  <c r="AR15" i="13"/>
  <c r="AS15" i="13"/>
  <c r="AU15" i="13"/>
  <c r="AV15" i="13"/>
  <c r="AW15" i="13"/>
  <c r="BE15" i="13" s="1"/>
  <c r="Y15" i="13" s="1"/>
  <c r="AX15" i="13"/>
  <c r="BF15" i="13" s="1"/>
  <c r="Z15" i="13" s="1"/>
  <c r="AZ15" i="13"/>
  <c r="BA15" i="13"/>
  <c r="BF70" i="13" l="1"/>
  <c r="Z70" i="13" s="1"/>
  <c r="Z17" i="13"/>
  <c r="Z20" i="13"/>
  <c r="Y20" i="13"/>
  <c r="BE30" i="13"/>
  <c r="BF46" i="13"/>
  <c r="BE50" i="13"/>
  <c r="BE66" i="13"/>
  <c r="AA15" i="13"/>
  <c r="M4" i="2" s="1"/>
  <c r="Y17" i="13"/>
  <c r="Y70" i="13"/>
  <c r="AA70" i="13" l="1"/>
  <c r="M20" i="2" s="1"/>
  <c r="AA20" i="13"/>
  <c r="P75" i="6"/>
  <c r="Q75" i="6"/>
  <c r="R75" i="6"/>
  <c r="S75" i="6"/>
  <c r="P85" i="6"/>
  <c r="Q85" i="6"/>
  <c r="R85" i="6"/>
  <c r="S85" i="6"/>
  <c r="S110" i="6"/>
  <c r="P113" i="6"/>
  <c r="Q113" i="6"/>
  <c r="R113" i="6"/>
  <c r="S113" i="6"/>
  <c r="P122" i="6"/>
  <c r="Q122" i="6"/>
  <c r="R122" i="6"/>
  <c r="S122" i="6"/>
  <c r="AU48" i="2"/>
  <c r="AU46" i="2"/>
  <c r="AT46" i="2"/>
  <c r="AS46" i="2"/>
  <c r="AR46" i="2"/>
  <c r="AQ46" i="2"/>
  <c r="AS42" i="2"/>
  <c r="AR42" i="2"/>
  <c r="AQ42" i="2"/>
  <c r="AU40" i="2"/>
  <c r="AT40" i="2"/>
  <c r="AS40" i="2"/>
  <c r="AR40" i="2"/>
  <c r="AQ40" i="2"/>
  <c r="AU39" i="2"/>
  <c r="AT39" i="2"/>
  <c r="AS39" i="2"/>
  <c r="AR39" i="2"/>
  <c r="AQ39" i="2"/>
  <c r="AU35" i="2"/>
  <c r="AT35" i="2"/>
  <c r="AS35" i="2"/>
  <c r="AR35" i="2"/>
  <c r="AQ35" i="2"/>
  <c r="AU34" i="2"/>
  <c r="AT34" i="2"/>
  <c r="AS34" i="2"/>
  <c r="AR34" i="2"/>
  <c r="AQ34" i="2"/>
  <c r="AT29" i="2"/>
  <c r="AS29" i="2"/>
  <c r="AR29" i="2"/>
  <c r="AQ29" i="2"/>
  <c r="AT28" i="2"/>
  <c r="AS28" i="2"/>
  <c r="AR28" i="2"/>
  <c r="AQ28" i="2"/>
  <c r="AT25" i="2"/>
  <c r="AS25" i="2"/>
  <c r="AR25" i="2"/>
  <c r="AQ25" i="2"/>
  <c r="AU23" i="2"/>
  <c r="AT23" i="2"/>
  <c r="AT19" i="2"/>
  <c r="AS19" i="2"/>
  <c r="AR19" i="2"/>
  <c r="AQ19" i="2"/>
  <c r="AS15" i="2"/>
  <c r="AT14" i="2"/>
  <c r="AS14" i="2"/>
  <c r="AT13" i="2"/>
  <c r="AS13" i="2"/>
  <c r="AT12" i="2"/>
  <c r="AS12" i="2"/>
  <c r="AT11" i="2"/>
  <c r="AS11" i="2"/>
  <c r="AT10" i="2"/>
  <c r="AS10" i="2"/>
  <c r="AT9" i="2"/>
  <c r="AS9" i="2"/>
  <c r="AT8" i="2"/>
  <c r="AS8" i="2"/>
  <c r="AS5" i="2"/>
  <c r="AR5" i="2"/>
  <c r="L15" i="2" l="1"/>
  <c r="L16" i="2"/>
  <c r="H27" i="2"/>
  <c r="H30" i="2" s="1"/>
  <c r="I27" i="2"/>
  <c r="I30" i="2" s="1"/>
  <c r="J27" i="2"/>
  <c r="K27" i="2"/>
  <c r="K30" i="2" s="1"/>
  <c r="H36" i="2"/>
  <c r="I36" i="2"/>
  <c r="AQ36" i="2" s="1"/>
  <c r="J36" i="2"/>
  <c r="K36" i="2"/>
  <c r="L36" i="2"/>
  <c r="L42" i="2"/>
  <c r="H45" i="2"/>
  <c r="I45" i="2"/>
  <c r="J45" i="2"/>
  <c r="K45" i="2"/>
  <c r="AS45" i="2" s="1"/>
  <c r="H48" i="2"/>
  <c r="I48" i="2"/>
  <c r="J48" i="2"/>
  <c r="K48" i="2"/>
  <c r="H50" i="2"/>
  <c r="I50" i="2"/>
  <c r="J50" i="2"/>
  <c r="K50" i="2"/>
  <c r="H51" i="2"/>
  <c r="I51" i="2"/>
  <c r="J51" i="2"/>
  <c r="K51" i="2"/>
  <c r="O4" i="13"/>
  <c r="P4" i="13"/>
  <c r="AR45" i="2" l="1"/>
  <c r="AQ45" i="2"/>
  <c r="AS36" i="2"/>
  <c r="AR48" i="2"/>
  <c r="AU42" i="2"/>
  <c r="AT42" i="2"/>
  <c r="AU36" i="2"/>
  <c r="AT36" i="2"/>
  <c r="L45" i="2"/>
  <c r="AR36" i="2"/>
  <c r="AS27" i="2"/>
  <c r="AQ30" i="2"/>
  <c r="AS48" i="2"/>
  <c r="AT48" i="2"/>
  <c r="AT15" i="2"/>
  <c r="J30" i="2"/>
  <c r="AR30" i="2" s="1"/>
  <c r="AR27" i="2"/>
  <c r="AS51" i="2"/>
  <c r="AT51" i="2"/>
  <c r="AQ51" i="2"/>
  <c r="AQ50" i="2"/>
  <c r="AQ48" i="2"/>
  <c r="AQ27" i="2"/>
  <c r="AS50" i="2"/>
  <c r="AT50" i="2"/>
  <c r="AU45" i="2" l="1"/>
  <c r="AT45" i="2"/>
  <c r="AS30" i="2"/>
  <c r="H91" i="2"/>
  <c r="G196" i="13" l="1"/>
  <c r="G195" i="13"/>
  <c r="G194" i="13"/>
  <c r="G193" i="13"/>
  <c r="G192" i="13"/>
  <c r="G191" i="13"/>
  <c r="G190" i="13"/>
  <c r="G189" i="13"/>
  <c r="G188" i="13"/>
  <c r="G187" i="13"/>
  <c r="G186" i="13"/>
  <c r="G185" i="13"/>
  <c r="G184" i="13"/>
  <c r="L94" i="13" l="1"/>
  <c r="J89" i="13" l="1"/>
  <c r="O89" i="13"/>
  <c r="P89" i="13"/>
  <c r="R89" i="13"/>
  <c r="S89" i="13"/>
  <c r="T89" i="13"/>
  <c r="U89" i="13"/>
  <c r="W89" i="13"/>
  <c r="X89" i="13"/>
  <c r="Y89" i="13"/>
  <c r="Z89" i="13"/>
  <c r="X88" i="13" l="1"/>
  <c r="W88" i="13"/>
  <c r="S88" i="13"/>
  <c r="T88" i="13"/>
  <c r="U88" i="13"/>
  <c r="J91" i="13"/>
  <c r="AM54" i="13" s="1"/>
  <c r="K91" i="13"/>
  <c r="AN54" i="13" s="1"/>
  <c r="M91" i="13"/>
  <c r="AP54" i="13" s="1"/>
  <c r="N91" i="13"/>
  <c r="AQ54" i="13" s="1"/>
  <c r="O91" i="13"/>
  <c r="AR54" i="13" s="1"/>
  <c r="P91" i="13"/>
  <c r="AS54" i="13" s="1"/>
  <c r="R91" i="13"/>
  <c r="AU54" i="13" s="1"/>
  <c r="S91" i="13"/>
  <c r="AV54" i="13" s="1"/>
  <c r="T91" i="13"/>
  <c r="AW54" i="13" s="1"/>
  <c r="BE54" i="13" s="1"/>
  <c r="U91" i="13"/>
  <c r="AX54" i="13" s="1"/>
  <c r="W91" i="13"/>
  <c r="AZ54" i="13" s="1"/>
  <c r="X91" i="13"/>
  <c r="BA54" i="13" s="1"/>
  <c r="N84" i="13"/>
  <c r="N88" i="13" s="1"/>
  <c r="O84" i="13"/>
  <c r="O88" i="13" s="1"/>
  <c r="P84" i="13"/>
  <c r="R88" i="13" s="1"/>
  <c r="I84" i="13"/>
  <c r="J84" i="13"/>
  <c r="K84" i="13"/>
  <c r="M88" i="13" s="1"/>
  <c r="H84" i="13"/>
  <c r="E84" i="13"/>
  <c r="F84" i="13"/>
  <c r="D84" i="13"/>
  <c r="H64" i="13"/>
  <c r="H72" i="13" s="1"/>
  <c r="H85" i="13" s="1"/>
  <c r="I64" i="13"/>
  <c r="I72" i="13" s="1"/>
  <c r="I85" i="13" s="1"/>
  <c r="J64" i="13"/>
  <c r="J72" i="13" s="1"/>
  <c r="J85" i="13" s="1"/>
  <c r="K64" i="13"/>
  <c r="K72" i="13" s="1"/>
  <c r="K85" i="13" s="1"/>
  <c r="M64" i="13"/>
  <c r="M72" i="13" s="1"/>
  <c r="M85" i="13" s="1"/>
  <c r="N64" i="13"/>
  <c r="N72" i="13" s="1"/>
  <c r="N85" i="13" s="1"/>
  <c r="O64" i="13"/>
  <c r="O72" i="13" s="1"/>
  <c r="O85" i="13" s="1"/>
  <c r="P64" i="13"/>
  <c r="P72" i="13" s="1"/>
  <c r="P85" i="13" s="1"/>
  <c r="H60" i="13"/>
  <c r="H68" i="13" s="1"/>
  <c r="I60" i="13"/>
  <c r="I68" i="13" s="1"/>
  <c r="J60" i="13"/>
  <c r="J68" i="13" s="1"/>
  <c r="K60" i="13"/>
  <c r="K68" i="13" s="1"/>
  <c r="M60" i="13"/>
  <c r="M68" i="13" s="1"/>
  <c r="N60" i="13"/>
  <c r="N68" i="13" s="1"/>
  <c r="O60" i="13"/>
  <c r="O68" i="13" s="1"/>
  <c r="P60" i="13"/>
  <c r="P68" i="13" s="1"/>
  <c r="M59" i="13"/>
  <c r="AP42" i="13" s="1"/>
  <c r="J59" i="13"/>
  <c r="AM42" i="13" s="1"/>
  <c r="K59" i="13"/>
  <c r="AN42" i="13" s="1"/>
  <c r="I59" i="13"/>
  <c r="AL42" i="13" s="1"/>
  <c r="H59" i="13"/>
  <c r="AK42" i="13" s="1"/>
  <c r="D59" i="13"/>
  <c r="E59" i="13"/>
  <c r="F59" i="13"/>
  <c r="R48" i="13"/>
  <c r="R56" i="13" s="1"/>
  <c r="R64" i="13" s="1"/>
  <c r="R72" i="13" s="1"/>
  <c r="R85" i="13" s="1"/>
  <c r="S48" i="13"/>
  <c r="S56" i="13" s="1"/>
  <c r="S64" i="13" s="1"/>
  <c r="S72" i="13" s="1"/>
  <c r="S85" i="13" s="1"/>
  <c r="O43" i="13"/>
  <c r="AR38" i="13" s="1"/>
  <c r="N43" i="13"/>
  <c r="AQ38" i="13" s="1"/>
  <c r="W40" i="13"/>
  <c r="W56" i="13" s="1"/>
  <c r="W64" i="13" s="1"/>
  <c r="W72" i="13" s="1"/>
  <c r="W85" i="13" s="1"/>
  <c r="X40" i="13"/>
  <c r="X56" i="13" s="1"/>
  <c r="X64" i="13" s="1"/>
  <c r="X72" i="13" s="1"/>
  <c r="X85" i="13" s="1"/>
  <c r="W35" i="13"/>
  <c r="X39" i="13" s="1"/>
  <c r="S35" i="13"/>
  <c r="S39" i="13" s="1"/>
  <c r="T35" i="13"/>
  <c r="T39" i="13" s="1"/>
  <c r="T43" i="13" s="1"/>
  <c r="U35" i="13"/>
  <c r="U39" i="13" s="1"/>
  <c r="U43" i="13" s="1"/>
  <c r="R35" i="13"/>
  <c r="R39" i="13" s="1"/>
  <c r="N35" i="13"/>
  <c r="O35" i="13"/>
  <c r="P35" i="13"/>
  <c r="P39" i="13" s="1"/>
  <c r="P43" i="13" s="1"/>
  <c r="K32" i="13"/>
  <c r="M32" i="13"/>
  <c r="N32" i="13"/>
  <c r="O32" i="13"/>
  <c r="T40" i="13" s="1"/>
  <c r="P32" i="13"/>
  <c r="U40" i="13" s="1"/>
  <c r="I31" i="13"/>
  <c r="J31" i="13"/>
  <c r="K31" i="13"/>
  <c r="M17" i="13"/>
  <c r="N17" i="13"/>
  <c r="O17" i="13"/>
  <c r="P17" i="13"/>
  <c r="R17" i="13"/>
  <c r="S17" i="13"/>
  <c r="T17" i="13"/>
  <c r="U17" i="13"/>
  <c r="W17" i="13"/>
  <c r="X17" i="13"/>
  <c r="X28" i="13" s="1"/>
  <c r="X36" i="13" s="1"/>
  <c r="H17" i="13"/>
  <c r="I17" i="13"/>
  <c r="J17" i="13"/>
  <c r="K17" i="13"/>
  <c r="H28" i="13"/>
  <c r="I28" i="13"/>
  <c r="J28" i="13"/>
  <c r="R28" i="13"/>
  <c r="R36" i="13" s="1"/>
  <c r="R44" i="13" s="1"/>
  <c r="R52" i="13" s="1"/>
  <c r="R60" i="13" s="1"/>
  <c r="R68" i="13" s="1"/>
  <c r="S28" i="13"/>
  <c r="S36" i="13" s="1"/>
  <c r="S44" i="13" s="1"/>
  <c r="S52" i="13" s="1"/>
  <c r="S60" i="13" s="1"/>
  <c r="S68" i="13" s="1"/>
  <c r="T28" i="13"/>
  <c r="T36" i="13" s="1"/>
  <c r="T44" i="13" s="1"/>
  <c r="T52" i="13" s="1"/>
  <c r="T60" i="13" s="1"/>
  <c r="T68" i="13" s="1"/>
  <c r="U28" i="13"/>
  <c r="U36" i="13" s="1"/>
  <c r="U44" i="13" s="1"/>
  <c r="U52" i="13" s="1"/>
  <c r="U60" i="13" s="1"/>
  <c r="U68" i="13" s="1"/>
  <c r="W28" i="13"/>
  <c r="W36" i="13" s="1"/>
  <c r="W44" i="13" s="1"/>
  <c r="W52" i="13" s="1"/>
  <c r="W60" i="13" s="1"/>
  <c r="W68" i="13" s="1"/>
  <c r="BF54" i="13" l="1"/>
  <c r="U48" i="13"/>
  <c r="U56" i="13" s="1"/>
  <c r="U64" i="13" s="1"/>
  <c r="U72" i="13" s="1"/>
  <c r="U85" i="13" s="1"/>
  <c r="R43" i="13"/>
  <c r="T48" i="13"/>
  <c r="T56" i="13" s="1"/>
  <c r="T64" i="13" s="1"/>
  <c r="T72" i="13" s="1"/>
  <c r="T85" i="13" s="1"/>
  <c r="AS38" i="13"/>
  <c r="P47" i="13"/>
  <c r="AX38" i="13"/>
  <c r="U47" i="13"/>
  <c r="AW38" i="13"/>
  <c r="BE38" i="13" s="1"/>
  <c r="T47" i="13"/>
  <c r="X44" i="13"/>
  <c r="X52" i="13" s="1"/>
  <c r="X60" i="13" s="1"/>
  <c r="X68" i="13" s="1"/>
  <c r="S43" i="13"/>
  <c r="W39" i="13"/>
  <c r="W43" i="13" s="1"/>
  <c r="H63" i="13"/>
  <c r="H67" i="13" s="1"/>
  <c r="M63" i="13"/>
  <c r="M67" i="13" s="1"/>
  <c r="P88" i="13"/>
  <c r="O47" i="13"/>
  <c r="F63" i="13"/>
  <c r="K63" i="13"/>
  <c r="K88" i="13"/>
  <c r="N47" i="13"/>
  <c r="N51" i="13" s="1"/>
  <c r="E63" i="13"/>
  <c r="J63" i="13"/>
  <c r="D63" i="13"/>
  <c r="D67" i="13" s="1"/>
  <c r="D71" i="13" s="1"/>
  <c r="I63" i="13"/>
  <c r="I67" i="13" s="1"/>
  <c r="I71" i="13" s="1"/>
  <c r="X12" i="13"/>
  <c r="W12" i="13"/>
  <c r="S12" i="13"/>
  <c r="T12" i="13"/>
  <c r="U12" i="13"/>
  <c r="R12" i="13"/>
  <c r="O12" i="13"/>
  <c r="P12" i="13"/>
  <c r="N12" i="13"/>
  <c r="M12" i="13"/>
  <c r="W94" i="13"/>
  <c r="J12" i="13"/>
  <c r="J16" i="13" s="1"/>
  <c r="K12" i="13"/>
  <c r="K16" i="13" s="1"/>
  <c r="I12" i="13"/>
  <c r="I16" i="13" s="1"/>
  <c r="L15" i="13"/>
  <c r="H20" i="13"/>
  <c r="I20" i="13"/>
  <c r="J20" i="13"/>
  <c r="K20" i="13"/>
  <c r="L22" i="13"/>
  <c r="L26" i="13"/>
  <c r="L30" i="13"/>
  <c r="AO30" i="13" s="1"/>
  <c r="L34" i="13"/>
  <c r="L38" i="13"/>
  <c r="L42" i="13"/>
  <c r="AO42" i="13" s="1"/>
  <c r="L46" i="13"/>
  <c r="AO46" i="13" s="1"/>
  <c r="L50" i="13"/>
  <c r="L54" i="13"/>
  <c r="L58" i="13"/>
  <c r="AO58" i="13" s="1"/>
  <c r="L62" i="13"/>
  <c r="AO62" i="13" s="1"/>
  <c r="L66" i="13"/>
  <c r="AO66" i="13" s="1"/>
  <c r="L70" i="13"/>
  <c r="H74" i="13"/>
  <c r="I74" i="13"/>
  <c r="J74" i="13"/>
  <c r="K74" i="13"/>
  <c r="L83" i="13"/>
  <c r="AO83" i="13" s="1"/>
  <c r="Q15" i="13"/>
  <c r="V15" i="13"/>
  <c r="M20" i="13"/>
  <c r="N20" i="13"/>
  <c r="O20" i="13"/>
  <c r="P20" i="13"/>
  <c r="R20" i="13"/>
  <c r="S20" i="13"/>
  <c r="T20" i="13"/>
  <c r="U20" i="13"/>
  <c r="W20" i="13"/>
  <c r="X20" i="13"/>
  <c r="V22" i="13"/>
  <c r="Q26" i="13"/>
  <c r="V26" i="13"/>
  <c r="Q30" i="13"/>
  <c r="Q34" i="13"/>
  <c r="V34" i="13"/>
  <c r="Q38" i="13"/>
  <c r="V38" i="13"/>
  <c r="AY38" i="13" s="1"/>
  <c r="Q42" i="13"/>
  <c r="V42" i="13"/>
  <c r="X43" i="13" s="1"/>
  <c r="Q46" i="13"/>
  <c r="V46" i="13"/>
  <c r="Q50" i="13"/>
  <c r="AT50" i="13" s="1"/>
  <c r="V50" i="13"/>
  <c r="Q54" i="13"/>
  <c r="V54" i="13"/>
  <c r="Q58" i="13"/>
  <c r="V58" i="13"/>
  <c r="Q62" i="13"/>
  <c r="V62" i="13"/>
  <c r="Q66" i="13"/>
  <c r="AT66" i="13" s="1"/>
  <c r="V66" i="13"/>
  <c r="Q70" i="13"/>
  <c r="V70" i="13"/>
  <c r="AY70" i="13" s="1"/>
  <c r="R74" i="13"/>
  <c r="S74" i="13"/>
  <c r="T74" i="13"/>
  <c r="U74" i="13"/>
  <c r="W74" i="13"/>
  <c r="X74" i="13"/>
  <c r="Q77" i="13"/>
  <c r="V77" i="13"/>
  <c r="Q83" i="13"/>
  <c r="AT83" i="13" s="1"/>
  <c r="V83" i="13"/>
  <c r="AY83" i="13" s="1"/>
  <c r="Q87" i="13"/>
  <c r="V87" i="13"/>
  <c r="V94" i="13"/>
  <c r="E74" i="13"/>
  <c r="F74" i="13"/>
  <c r="C74" i="13"/>
  <c r="V74" i="13" l="1"/>
  <c r="AY46" i="13"/>
  <c r="X47" i="13"/>
  <c r="BF38" i="13"/>
  <c r="F16" i="13"/>
  <c r="F23" i="13" s="1"/>
  <c r="H16" i="13"/>
  <c r="AT70" i="13"/>
  <c r="AT46" i="13"/>
  <c r="AT38" i="13"/>
  <c r="AO70" i="13"/>
  <c r="AO38" i="13"/>
  <c r="J67" i="13"/>
  <c r="J71" i="13" s="1"/>
  <c r="K67" i="13"/>
  <c r="K71" i="13" s="1"/>
  <c r="AZ38" i="13"/>
  <c r="W47" i="13"/>
  <c r="W51" i="13" s="1"/>
  <c r="P51" i="13"/>
  <c r="BA38" i="13"/>
  <c r="AO50" i="13"/>
  <c r="AO34" i="13"/>
  <c r="AO15" i="13"/>
  <c r="E67" i="13"/>
  <c r="E71" i="13" s="1"/>
  <c r="F67" i="13"/>
  <c r="F71" i="13" s="1"/>
  <c r="M71" i="13"/>
  <c r="AV38" i="13"/>
  <c r="S47" i="13"/>
  <c r="T51" i="13" s="1"/>
  <c r="AU38" i="13"/>
  <c r="R47" i="13"/>
  <c r="R51" i="13" s="1"/>
  <c r="R55" i="13" s="1"/>
  <c r="R59" i="13" s="1"/>
  <c r="AT42" i="13"/>
  <c r="AT34" i="13"/>
  <c r="O51" i="13"/>
  <c r="U51" i="13"/>
  <c r="AT30" i="13"/>
  <c r="AY30" i="13"/>
  <c r="AY66" i="13"/>
  <c r="AY50" i="13"/>
  <c r="AY42" i="13"/>
  <c r="AY34" i="13"/>
  <c r="AY15" i="13"/>
  <c r="N74" i="13"/>
  <c r="N76" i="13" s="1"/>
  <c r="P74" i="13"/>
  <c r="P76" i="13" s="1"/>
  <c r="V12" i="13"/>
  <c r="U76" i="13"/>
  <c r="M74" i="13"/>
  <c r="M76" i="13" s="1"/>
  <c r="T76" i="13"/>
  <c r="Q64" i="13"/>
  <c r="Q60" i="13"/>
  <c r="P14" i="13"/>
  <c r="O14" i="13"/>
  <c r="M14" i="13"/>
  <c r="Q14" i="13"/>
  <c r="N14" i="13"/>
  <c r="N23" i="13"/>
  <c r="N27" i="13" s="1"/>
  <c r="AQ34" i="13" s="1"/>
  <c r="L87" i="13"/>
  <c r="Q89" i="13" s="1"/>
  <c r="M89" i="13"/>
  <c r="H89" i="13"/>
  <c r="H91" i="13"/>
  <c r="AK54" i="13" s="1"/>
  <c r="Q22" i="13"/>
  <c r="AT15" i="13" s="1"/>
  <c r="O23" i="13"/>
  <c r="O27" i="13" s="1"/>
  <c r="AR34" i="13" s="1"/>
  <c r="BE34" i="13" s="1"/>
  <c r="I89" i="13"/>
  <c r="N89" i="13"/>
  <c r="I88" i="13"/>
  <c r="J88" i="13"/>
  <c r="I91" i="13"/>
  <c r="P23" i="13"/>
  <c r="R14" i="13"/>
  <c r="V14" i="13"/>
  <c r="S14" i="13"/>
  <c r="T14" i="13"/>
  <c r="U14" i="13"/>
  <c r="J14" i="13"/>
  <c r="K14" i="13"/>
  <c r="L14" i="13"/>
  <c r="I14" i="13"/>
  <c r="H14" i="13"/>
  <c r="Q91" i="13"/>
  <c r="AT54" i="13" s="1"/>
  <c r="M86" i="13"/>
  <c r="Q86" i="13"/>
  <c r="N86" i="13"/>
  <c r="O86" i="13"/>
  <c r="P86" i="13"/>
  <c r="O57" i="13"/>
  <c r="L86" i="13"/>
  <c r="I86" i="13"/>
  <c r="H86" i="13"/>
  <c r="J86" i="13"/>
  <c r="K86" i="13"/>
  <c r="V89" i="13"/>
  <c r="AA89" i="13"/>
  <c r="V91" i="13"/>
  <c r="X51" i="13"/>
  <c r="X55" i="13" s="1"/>
  <c r="V17" i="13"/>
  <c r="Q17" i="13"/>
  <c r="S45" i="13"/>
  <c r="AV62" i="13" s="1"/>
  <c r="T45" i="13"/>
  <c r="AW62" i="13" s="1"/>
  <c r="U45" i="13"/>
  <c r="AX62" i="13" s="1"/>
  <c r="R45" i="13"/>
  <c r="AU62" i="13" s="1"/>
  <c r="V45" i="13"/>
  <c r="V57" i="13" s="1"/>
  <c r="N45" i="13"/>
  <c r="AQ62" i="13" s="1"/>
  <c r="M45" i="13"/>
  <c r="AP62" i="13" s="1"/>
  <c r="O45" i="13"/>
  <c r="AR62" i="13" s="1"/>
  <c r="P45" i="13"/>
  <c r="AS62" i="13" s="1"/>
  <c r="Q45" i="13"/>
  <c r="AT62" i="13" s="1"/>
  <c r="Q32" i="13"/>
  <c r="V40" i="13" s="1"/>
  <c r="V48" i="13" s="1"/>
  <c r="V56" i="13" s="1"/>
  <c r="V64" i="13" s="1"/>
  <c r="V72" i="13" s="1"/>
  <c r="V28" i="13"/>
  <c r="V20" i="13"/>
  <c r="W76" i="13"/>
  <c r="X76" i="13"/>
  <c r="R76" i="13"/>
  <c r="S76" i="13"/>
  <c r="O74" i="13"/>
  <c r="O76" i="13" s="1"/>
  <c r="Q20" i="13"/>
  <c r="L74" i="13"/>
  <c r="H76" i="13"/>
  <c r="L76" i="13" s="1"/>
  <c r="L20" i="13"/>
  <c r="BE62" i="13" l="1"/>
  <c r="BF62" i="13"/>
  <c r="H71" i="13"/>
  <c r="W55" i="13"/>
  <c r="R57" i="13"/>
  <c r="M57" i="13"/>
  <c r="AM22" i="13"/>
  <c r="J81" i="13"/>
  <c r="V36" i="13"/>
  <c r="V44" i="13" s="1"/>
  <c r="V52" i="13" s="1"/>
  <c r="U57" i="13"/>
  <c r="P57" i="13"/>
  <c r="P27" i="13"/>
  <c r="AS34" i="13" s="1"/>
  <c r="BF34" i="13" s="1"/>
  <c r="R27" i="13"/>
  <c r="AU34" i="13" s="1"/>
  <c r="AY54" i="13"/>
  <c r="AU42" i="13"/>
  <c r="AY62" i="13"/>
  <c r="S57" i="13"/>
  <c r="X59" i="13"/>
  <c r="T57" i="13"/>
  <c r="Q57" i="13"/>
  <c r="N57" i="13"/>
  <c r="AL54" i="13"/>
  <c r="U55" i="13"/>
  <c r="S51" i="13"/>
  <c r="S55" i="13" s="1"/>
  <c r="S59" i="13" s="1"/>
  <c r="Q74" i="13"/>
  <c r="L91" i="13"/>
  <c r="V76" i="13"/>
  <c r="Q76" i="13"/>
  <c r="G30" i="13"/>
  <c r="G34" i="13"/>
  <c r="G38" i="13"/>
  <c r="G42" i="13"/>
  <c r="G46" i="13"/>
  <c r="G50" i="13"/>
  <c r="G54" i="13"/>
  <c r="G58" i="13"/>
  <c r="G62" i="13"/>
  <c r="G66" i="13"/>
  <c r="G70" i="13"/>
  <c r="G77" i="13"/>
  <c r="G83" i="13"/>
  <c r="G94" i="13"/>
  <c r="G15" i="13"/>
  <c r="D91" i="13"/>
  <c r="E91" i="13"/>
  <c r="C91" i="13"/>
  <c r="AM26" i="13" l="1"/>
  <c r="J92" i="13"/>
  <c r="J98" i="13" s="1"/>
  <c r="AV42" i="13"/>
  <c r="S63" i="13"/>
  <c r="AL22" i="13"/>
  <c r="I81" i="13"/>
  <c r="BA42" i="13"/>
  <c r="X63" i="13"/>
  <c r="M81" i="13"/>
  <c r="T55" i="13"/>
  <c r="T59" i="13" s="1"/>
  <c r="U59" i="13"/>
  <c r="S86" i="13"/>
  <c r="U86" i="13"/>
  <c r="V60" i="13"/>
  <c r="V68" i="13" s="1"/>
  <c r="T86" i="13"/>
  <c r="R86" i="13"/>
  <c r="V86" i="13"/>
  <c r="AO54" i="13"/>
  <c r="R81" i="13"/>
  <c r="R92" i="13" s="1"/>
  <c r="AU22" i="13" s="1"/>
  <c r="W59" i="13"/>
  <c r="L60" i="13"/>
  <c r="Q68" i="13" s="1"/>
  <c r="L68" i="13"/>
  <c r="L64" i="13"/>
  <c r="Q72" i="13" s="1"/>
  <c r="L32" i="13"/>
  <c r="L17" i="13"/>
  <c r="L72" i="13"/>
  <c r="L85" i="13" s="1"/>
  <c r="G22" i="13"/>
  <c r="E23" i="13"/>
  <c r="D23" i="13"/>
  <c r="D27" i="13" s="1"/>
  <c r="D74" i="13"/>
  <c r="G87" i="13"/>
  <c r="D90" i="13" s="1"/>
  <c r="K89" i="13"/>
  <c r="H88" i="13"/>
  <c r="E86" i="13"/>
  <c r="F86" i="13"/>
  <c r="C86" i="13"/>
  <c r="G86" i="13"/>
  <c r="D86" i="13"/>
  <c r="L28" i="13"/>
  <c r="F91" i="13"/>
  <c r="R98" i="13" l="1"/>
  <c r="AL26" i="13"/>
  <c r="I92" i="13"/>
  <c r="I98" i="13" s="1"/>
  <c r="AP26" i="13"/>
  <c r="M92" i="13"/>
  <c r="E27" i="13"/>
  <c r="F27" i="13"/>
  <c r="M90" i="13"/>
  <c r="Q90" i="13"/>
  <c r="N90" i="13"/>
  <c r="O90" i="13"/>
  <c r="P90" i="13"/>
  <c r="X90" i="13"/>
  <c r="Y90" i="13"/>
  <c r="Z90" i="13"/>
  <c r="W90" i="13"/>
  <c r="AA90" i="13"/>
  <c r="AO22" i="13"/>
  <c r="L81" i="13"/>
  <c r="AX42" i="13"/>
  <c r="U63" i="13"/>
  <c r="G91" i="13"/>
  <c r="Q85" i="13"/>
  <c r="V85" i="13"/>
  <c r="K90" i="13"/>
  <c r="J90" i="13"/>
  <c r="L90" i="13"/>
  <c r="H90" i="13"/>
  <c r="I90" i="13"/>
  <c r="AZ42" i="13"/>
  <c r="W63" i="13"/>
  <c r="W67" i="13" s="1"/>
  <c r="U90" i="13"/>
  <c r="U13" i="13" s="1"/>
  <c r="R90" i="13"/>
  <c r="R13" i="13" s="1"/>
  <c r="T90" i="13"/>
  <c r="T13" i="13" s="1"/>
  <c r="V90" i="13"/>
  <c r="V13" i="13" s="1"/>
  <c r="S90" i="13"/>
  <c r="S13" i="13" s="1"/>
  <c r="AU26" i="13"/>
  <c r="AW42" i="13"/>
  <c r="T63" i="13"/>
  <c r="T67" i="13" s="1"/>
  <c r="G74" i="13"/>
  <c r="F90" i="13"/>
  <c r="L89" i="13"/>
  <c r="E90" i="13"/>
  <c r="C90" i="13"/>
  <c r="G90" i="13"/>
  <c r="AP22" i="13" l="1"/>
  <c r="M98" i="13"/>
  <c r="AO26" i="13"/>
  <c r="L92" i="13"/>
  <c r="L98" i="13" s="1"/>
  <c r="W13" i="13"/>
  <c r="W24" i="13" s="1"/>
  <c r="P13" i="13"/>
  <c r="M13" i="13"/>
  <c r="R24" i="13" s="1"/>
  <c r="U24" i="13"/>
  <c r="Z13" i="13"/>
  <c r="O13" i="13"/>
  <c r="H31" i="13"/>
  <c r="X67" i="13"/>
  <c r="X71" i="13" s="1"/>
  <c r="Y13" i="13"/>
  <c r="N13" i="13"/>
  <c r="S24" i="13" s="1"/>
  <c r="T24" i="13"/>
  <c r="U67" i="13"/>
  <c r="U71" i="13" s="1"/>
  <c r="AA13" i="13"/>
  <c r="X13" i="13"/>
  <c r="X24" i="13" s="1"/>
  <c r="Q13" i="13"/>
  <c r="V24" i="13" s="1"/>
  <c r="W71" i="13" l="1"/>
  <c r="R20" i="2" l="1"/>
  <c r="W10" i="2"/>
  <c r="R10" i="2" s="1"/>
  <c r="V11" i="2"/>
  <c r="W11" i="2"/>
  <c r="V12" i="2"/>
  <c r="W12" i="2"/>
  <c r="V13" i="2"/>
  <c r="W13" i="2"/>
  <c r="V14" i="2"/>
  <c r="W14" i="2"/>
  <c r="V8" i="2"/>
  <c r="W8" i="2"/>
  <c r="V9" i="2"/>
  <c r="W9" i="2"/>
  <c r="I16" i="4"/>
  <c r="J16" i="4"/>
  <c r="U34" i="4" s="1"/>
  <c r="K16" i="4"/>
  <c r="V34" i="4" s="1"/>
  <c r="L16" i="4"/>
  <c r="W34" i="4" l="1"/>
  <c r="X34" i="4"/>
  <c r="R11" i="2"/>
  <c r="R9" i="2"/>
  <c r="R14" i="2"/>
  <c r="R12" i="2"/>
  <c r="R8" i="2"/>
  <c r="R13" i="2"/>
  <c r="F833" i="3"/>
  <c r="E53" i="6" s="1"/>
  <c r="G833" i="3"/>
  <c r="F53" i="6" s="1"/>
  <c r="H833" i="3"/>
  <c r="G53" i="6" s="1"/>
  <c r="I833" i="3"/>
  <c r="E833" i="3"/>
  <c r="D53" i="6" s="1"/>
  <c r="D50" i="6"/>
  <c r="E50" i="6"/>
  <c r="F50" i="6"/>
  <c r="G50" i="6"/>
  <c r="H50" i="6"/>
  <c r="D44" i="6"/>
  <c r="E44" i="6"/>
  <c r="F44" i="6"/>
  <c r="G44" i="6"/>
  <c r="H44" i="6"/>
  <c r="D43" i="6"/>
  <c r="E43" i="6"/>
  <c r="F43" i="6"/>
  <c r="G43" i="6"/>
  <c r="H43" i="6"/>
  <c r="E744" i="3"/>
  <c r="D42" i="6" s="1"/>
  <c r="F744" i="3"/>
  <c r="E42" i="6" s="1"/>
  <c r="G744" i="3"/>
  <c r="F42" i="6" s="1"/>
  <c r="H744" i="3"/>
  <c r="I744" i="3"/>
  <c r="D34" i="6"/>
  <c r="E34" i="6"/>
  <c r="F34" i="6"/>
  <c r="G34" i="6"/>
  <c r="H34" i="6"/>
  <c r="D26" i="6"/>
  <c r="E26" i="6"/>
  <c r="F26" i="6"/>
  <c r="G26" i="6"/>
  <c r="H26" i="6"/>
  <c r="F338" i="3"/>
  <c r="G338" i="3"/>
  <c r="G235" i="3" s="1"/>
  <c r="H338" i="3"/>
  <c r="E338" i="3"/>
  <c r="D29" i="6"/>
  <c r="E29" i="6"/>
  <c r="F29" i="6"/>
  <c r="G29" i="6"/>
  <c r="H29" i="6"/>
  <c r="D27" i="6"/>
  <c r="E27" i="6"/>
  <c r="F27" i="6"/>
  <c r="G27" i="6"/>
  <c r="H27" i="6"/>
  <c r="I34" i="6" l="1"/>
  <c r="G49" i="7" s="1"/>
  <c r="L34" i="6"/>
  <c r="M34" i="6"/>
  <c r="J34" i="6"/>
  <c r="K34" i="6"/>
  <c r="P102" i="6"/>
  <c r="R121" i="6"/>
  <c r="P112" i="6"/>
  <c r="P111" i="6"/>
  <c r="Q112" i="6"/>
  <c r="R95" i="6"/>
  <c r="R118" i="6"/>
  <c r="Q118" i="6"/>
  <c r="P95" i="6"/>
  <c r="R111" i="6"/>
  <c r="P118" i="6"/>
  <c r="Q97" i="6"/>
  <c r="Q94" i="6"/>
  <c r="R102" i="6"/>
  <c r="Q121" i="6"/>
  <c r="S95" i="6"/>
  <c r="P97" i="6"/>
  <c r="R94" i="6"/>
  <c r="S102" i="6"/>
  <c r="S111" i="6"/>
  <c r="P121" i="6"/>
  <c r="T94" i="6"/>
  <c r="S94" i="6"/>
  <c r="S97" i="6"/>
  <c r="Q110" i="6"/>
  <c r="R110" i="6"/>
  <c r="S112" i="6"/>
  <c r="Q95" i="6"/>
  <c r="R97" i="6"/>
  <c r="P94" i="6"/>
  <c r="Q102" i="6"/>
  <c r="P110" i="6"/>
  <c r="Q111" i="6"/>
  <c r="R112" i="6"/>
  <c r="S118" i="6"/>
  <c r="D23" i="6"/>
  <c r="E23" i="6"/>
  <c r="F23" i="6"/>
  <c r="G23" i="6"/>
  <c r="H23" i="6"/>
  <c r="D21" i="6"/>
  <c r="E21" i="6"/>
  <c r="F21" i="6"/>
  <c r="G21" i="6"/>
  <c r="D16" i="6"/>
  <c r="E16" i="6"/>
  <c r="F16" i="6"/>
  <c r="G16" i="6"/>
  <c r="H16" i="6"/>
  <c r="F777" i="3"/>
  <c r="G777" i="3"/>
  <c r="H777" i="3"/>
  <c r="I777" i="3"/>
  <c r="F768" i="3"/>
  <c r="G768" i="3"/>
  <c r="H768" i="3"/>
  <c r="I768" i="3"/>
  <c r="E768" i="3"/>
  <c r="E777" i="3"/>
  <c r="T102" i="6" l="1"/>
  <c r="H49" i="7"/>
  <c r="K49" i="7"/>
  <c r="J49" i="7"/>
  <c r="I49" i="7"/>
  <c r="H778" i="3"/>
  <c r="Q84" i="6"/>
  <c r="Q89" i="6"/>
  <c r="R91" i="6"/>
  <c r="P91" i="6"/>
  <c r="P84" i="6"/>
  <c r="P89" i="6"/>
  <c r="Q91" i="6"/>
  <c r="I778" i="3"/>
  <c r="E778" i="3"/>
  <c r="G778" i="3"/>
  <c r="S84" i="6"/>
  <c r="R84" i="6"/>
  <c r="R89" i="6"/>
  <c r="S91" i="6"/>
  <c r="F778" i="3"/>
  <c r="D9" i="6"/>
  <c r="E9" i="6"/>
  <c r="F9" i="6"/>
  <c r="G9" i="6"/>
  <c r="E934" i="3"/>
  <c r="F934" i="3"/>
  <c r="G934" i="3"/>
  <c r="I934" i="3"/>
  <c r="J934" i="3"/>
  <c r="K934" i="3"/>
  <c r="L934" i="3"/>
  <c r="R77" i="6" l="1"/>
  <c r="P77" i="6"/>
  <c r="Q77" i="6"/>
  <c r="G18" i="2"/>
  <c r="O1024" i="3" l="1"/>
  <c r="M1024" i="3"/>
  <c r="H1024" i="3"/>
  <c r="O1016" i="3"/>
  <c r="M1016" i="3"/>
  <c r="H1016" i="3"/>
  <c r="O1009" i="3"/>
  <c r="M1009" i="3"/>
  <c r="H1009" i="3"/>
  <c r="O1002" i="3"/>
  <c r="M1002" i="3"/>
  <c r="H1002" i="3"/>
  <c r="O995" i="3"/>
  <c r="M995" i="3"/>
  <c r="H995" i="3"/>
  <c r="O982" i="3"/>
  <c r="O983" i="3"/>
  <c r="O984" i="3"/>
  <c r="O985" i="3"/>
  <c r="O981" i="3"/>
  <c r="I982" i="3"/>
  <c r="I983" i="3"/>
  <c r="I984" i="3"/>
  <c r="I985" i="3"/>
  <c r="I981" i="3"/>
  <c r="G986" i="3"/>
  <c r="N986" i="3"/>
  <c r="L986" i="3"/>
  <c r="K986" i="3"/>
  <c r="J986" i="3"/>
  <c r="H986" i="3"/>
  <c r="F986" i="3"/>
  <c r="E986" i="3"/>
  <c r="D986" i="3"/>
  <c r="Q985" i="3"/>
  <c r="Q984" i="3"/>
  <c r="Q983" i="3"/>
  <c r="Q982" i="3"/>
  <c r="Q981" i="3"/>
  <c r="O968" i="3"/>
  <c r="O969" i="3"/>
  <c r="O970" i="3"/>
  <c r="O971" i="3"/>
  <c r="O967" i="3"/>
  <c r="M967" i="3"/>
  <c r="M968" i="3"/>
  <c r="M969" i="3"/>
  <c r="M970" i="3"/>
  <c r="M971" i="3"/>
  <c r="K972" i="3"/>
  <c r="I972" i="3"/>
  <c r="J972" i="3"/>
  <c r="L972" i="3"/>
  <c r="D972" i="3"/>
  <c r="E972" i="3"/>
  <c r="F972" i="3"/>
  <c r="G972" i="3"/>
  <c r="H967" i="3"/>
  <c r="H968" i="3"/>
  <c r="H969" i="3"/>
  <c r="H970" i="3"/>
  <c r="H971" i="3"/>
  <c r="O954" i="3"/>
  <c r="O955" i="3"/>
  <c r="O956" i="3"/>
  <c r="O957" i="3"/>
  <c r="I958" i="3"/>
  <c r="J958" i="3"/>
  <c r="K958" i="3"/>
  <c r="L958" i="3"/>
  <c r="N1024" i="3" l="1"/>
  <c r="H10" i="6" s="1"/>
  <c r="N1009" i="3"/>
  <c r="F10" i="6" s="1"/>
  <c r="N1016" i="3"/>
  <c r="G10" i="6" s="1"/>
  <c r="N1002" i="3"/>
  <c r="E10" i="6" s="1"/>
  <c r="N995" i="3"/>
  <c r="D10" i="6" s="1"/>
  <c r="O972" i="3"/>
  <c r="N970" i="3"/>
  <c r="M972" i="3"/>
  <c r="O958" i="3"/>
  <c r="N968" i="3"/>
  <c r="N971" i="3"/>
  <c r="N967" i="3"/>
  <c r="N969" i="3"/>
  <c r="H972" i="3"/>
  <c r="Q986" i="3"/>
  <c r="I986" i="3"/>
  <c r="M955" i="3"/>
  <c r="M956" i="3"/>
  <c r="M957" i="3"/>
  <c r="M954" i="3"/>
  <c r="D958" i="3"/>
  <c r="E958" i="3"/>
  <c r="F958" i="3"/>
  <c r="G958" i="3"/>
  <c r="H955" i="3"/>
  <c r="H956" i="3"/>
  <c r="H957" i="3"/>
  <c r="H954" i="3"/>
  <c r="O943" i="3"/>
  <c r="O944" i="3"/>
  <c r="O945" i="3"/>
  <c r="O942" i="3"/>
  <c r="M943" i="3"/>
  <c r="M944" i="3"/>
  <c r="M945" i="3"/>
  <c r="M942" i="3"/>
  <c r="L946" i="3"/>
  <c r="K946" i="3"/>
  <c r="J946" i="3"/>
  <c r="I946" i="3"/>
  <c r="H942" i="3"/>
  <c r="H943" i="3"/>
  <c r="H944" i="3"/>
  <c r="H945" i="3"/>
  <c r="D946" i="3"/>
  <c r="E946" i="3"/>
  <c r="F946" i="3"/>
  <c r="G946" i="3"/>
  <c r="O930" i="3"/>
  <c r="O931" i="3"/>
  <c r="O932" i="3"/>
  <c r="O933" i="3"/>
  <c r="M931" i="3"/>
  <c r="M932" i="3"/>
  <c r="M933" i="3"/>
  <c r="M930" i="3"/>
  <c r="H930" i="3"/>
  <c r="H931" i="3"/>
  <c r="H932" i="3"/>
  <c r="H933" i="3"/>
  <c r="D934" i="3"/>
  <c r="O917" i="3"/>
  <c r="O918" i="3"/>
  <c r="O919" i="3"/>
  <c r="M918" i="3"/>
  <c r="M919" i="3"/>
  <c r="M917" i="3"/>
  <c r="H918" i="3"/>
  <c r="H919" i="3"/>
  <c r="H917" i="3"/>
  <c r="E920" i="3"/>
  <c r="F920" i="3"/>
  <c r="G920" i="3"/>
  <c r="I920" i="3"/>
  <c r="J920" i="3"/>
  <c r="K920" i="3"/>
  <c r="L920" i="3"/>
  <c r="D920" i="3"/>
  <c r="O906" i="3"/>
  <c r="O907" i="3"/>
  <c r="O905" i="3"/>
  <c r="M906" i="3"/>
  <c r="M907" i="3"/>
  <c r="M905" i="3"/>
  <c r="J908" i="3"/>
  <c r="K908" i="3"/>
  <c r="L908" i="3"/>
  <c r="I908" i="3"/>
  <c r="H905" i="3"/>
  <c r="H906" i="3"/>
  <c r="N906" i="3" s="1"/>
  <c r="H907" i="3"/>
  <c r="E908" i="3"/>
  <c r="F908" i="3"/>
  <c r="G908" i="3"/>
  <c r="D908" i="3"/>
  <c r="O893" i="3"/>
  <c r="O894" i="3"/>
  <c r="O895" i="3"/>
  <c r="M894" i="3"/>
  <c r="M895" i="3"/>
  <c r="M893" i="3"/>
  <c r="L896" i="3"/>
  <c r="K896" i="3"/>
  <c r="J896" i="3"/>
  <c r="I896" i="3"/>
  <c r="H894" i="3"/>
  <c r="H895" i="3"/>
  <c r="H893" i="3"/>
  <c r="G896" i="3"/>
  <c r="F896" i="3"/>
  <c r="E896" i="3"/>
  <c r="D896" i="3"/>
  <c r="O882" i="3"/>
  <c r="O883" i="3"/>
  <c r="O881" i="3"/>
  <c r="M884" i="3"/>
  <c r="L884" i="3"/>
  <c r="K884" i="3"/>
  <c r="J884" i="3"/>
  <c r="I884" i="3"/>
  <c r="H881" i="3"/>
  <c r="N881" i="3" s="1"/>
  <c r="H882" i="3"/>
  <c r="N882" i="3" s="1"/>
  <c r="H883" i="3"/>
  <c r="N883" i="3" s="1"/>
  <c r="Q78" i="6" l="1"/>
  <c r="O934" i="3"/>
  <c r="S78" i="6"/>
  <c r="P78" i="6"/>
  <c r="R78" i="6"/>
  <c r="N930" i="3"/>
  <c r="H934" i="3"/>
  <c r="M934" i="3"/>
  <c r="N932" i="3"/>
  <c r="N944" i="3"/>
  <c r="N972" i="3"/>
  <c r="G8" i="6" s="1"/>
  <c r="O946" i="3"/>
  <c r="H958" i="3"/>
  <c r="N933" i="3"/>
  <c r="N943" i="3"/>
  <c r="N945" i="3"/>
  <c r="N942" i="3"/>
  <c r="N955" i="3"/>
  <c r="H946" i="3"/>
  <c r="N931" i="3"/>
  <c r="M946" i="3"/>
  <c r="N954" i="3"/>
  <c r="M958" i="3"/>
  <c r="N957" i="3"/>
  <c r="N956" i="3"/>
  <c r="N907" i="3"/>
  <c r="N919" i="3"/>
  <c r="O920" i="3"/>
  <c r="N918" i="3"/>
  <c r="M896" i="3"/>
  <c r="H896" i="3"/>
  <c r="M908" i="3"/>
  <c r="N893" i="3"/>
  <c r="H908" i="3"/>
  <c r="O908" i="3"/>
  <c r="N917" i="3"/>
  <c r="H884" i="3"/>
  <c r="N895" i="3"/>
  <c r="O896" i="3"/>
  <c r="N884" i="3"/>
  <c r="H920" i="3"/>
  <c r="N894" i="3"/>
  <c r="N905" i="3"/>
  <c r="M920" i="3"/>
  <c r="F884" i="3"/>
  <c r="E884" i="3"/>
  <c r="G884" i="3"/>
  <c r="D884" i="3"/>
  <c r="O884" i="3" s="1"/>
  <c r="N934" i="3" l="1"/>
  <c r="N946" i="3"/>
  <c r="E8" i="6" s="1"/>
  <c r="N958" i="3"/>
  <c r="F8" i="6" s="1"/>
  <c r="N908" i="3"/>
  <c r="N920" i="3"/>
  <c r="N896" i="3"/>
  <c r="O869" i="3"/>
  <c r="O870" i="3"/>
  <c r="O871" i="3"/>
  <c r="M870" i="3"/>
  <c r="M871" i="3"/>
  <c r="M869" i="3"/>
  <c r="H869" i="3"/>
  <c r="H870" i="3"/>
  <c r="H871" i="3"/>
  <c r="E872" i="3"/>
  <c r="F872" i="3"/>
  <c r="G872" i="3"/>
  <c r="I872" i="3"/>
  <c r="J872" i="3"/>
  <c r="K872" i="3"/>
  <c r="L872" i="3"/>
  <c r="D872" i="3"/>
  <c r="Q76" i="6" l="1"/>
  <c r="R76" i="6"/>
  <c r="D8" i="6"/>
  <c r="P76" i="6" s="1"/>
  <c r="P934" i="3"/>
  <c r="N870" i="3"/>
  <c r="N871" i="3"/>
  <c r="O872" i="3"/>
  <c r="N869" i="3"/>
  <c r="M872" i="3"/>
  <c r="H872" i="3"/>
  <c r="N872" i="3" l="1"/>
  <c r="P74" i="6" l="1"/>
  <c r="H53" i="6" l="1"/>
  <c r="S121" i="6" l="1"/>
  <c r="E823" i="3"/>
  <c r="D52" i="6" s="1"/>
  <c r="F823" i="3"/>
  <c r="E52" i="6" s="1"/>
  <c r="G823" i="3"/>
  <c r="F52" i="6" s="1"/>
  <c r="H823" i="3"/>
  <c r="G52" i="6" s="1"/>
  <c r="I823" i="3"/>
  <c r="H52" i="6" s="1"/>
  <c r="H63" i="6" s="1"/>
  <c r="E814" i="3"/>
  <c r="D51" i="6" s="1"/>
  <c r="F814" i="3"/>
  <c r="E51" i="6" s="1"/>
  <c r="G814" i="3"/>
  <c r="F51" i="6" s="1"/>
  <c r="H814" i="3"/>
  <c r="G51" i="6" s="1"/>
  <c r="I814" i="3"/>
  <c r="H51" i="6" s="1"/>
  <c r="E793" i="3"/>
  <c r="D49" i="6" s="1"/>
  <c r="F793" i="3"/>
  <c r="E49" i="6" s="1"/>
  <c r="G793" i="3"/>
  <c r="F49" i="6" s="1"/>
  <c r="H793" i="3"/>
  <c r="G49" i="6" s="1"/>
  <c r="I793" i="3"/>
  <c r="H49" i="6" s="1"/>
  <c r="H735" i="3"/>
  <c r="G41" i="6" s="1"/>
  <c r="I735" i="3"/>
  <c r="H41" i="6" s="1"/>
  <c r="F735" i="3"/>
  <c r="E41" i="6" s="1"/>
  <c r="G735" i="3"/>
  <c r="F41" i="6" s="1"/>
  <c r="E735" i="3"/>
  <c r="D41" i="6" s="1"/>
  <c r="Q117" i="6" l="1"/>
  <c r="Q109" i="6"/>
  <c r="Q120" i="6"/>
  <c r="R119" i="6"/>
  <c r="P119" i="6"/>
  <c r="P109" i="6"/>
  <c r="R117" i="6"/>
  <c r="P120" i="6"/>
  <c r="S117" i="6"/>
  <c r="S119" i="6"/>
  <c r="R109" i="6"/>
  <c r="P117" i="6"/>
  <c r="Q119" i="6"/>
  <c r="E25" i="7"/>
  <c r="R120" i="6"/>
  <c r="S109" i="6"/>
  <c r="S120" i="6"/>
  <c r="F55" i="6"/>
  <c r="H55" i="6"/>
  <c r="E55" i="6"/>
  <c r="D55" i="6"/>
  <c r="G55" i="6"/>
  <c r="R123" i="6" s="1"/>
  <c r="E688" i="3"/>
  <c r="F688" i="3"/>
  <c r="G688" i="3"/>
  <c r="H688" i="3"/>
  <c r="I688" i="3"/>
  <c r="J688" i="3"/>
  <c r="K688" i="3"/>
  <c r="L688" i="3"/>
  <c r="D688" i="3"/>
  <c r="M685" i="3"/>
  <c r="M688" i="3" s="1"/>
  <c r="E672" i="3"/>
  <c r="D37" i="6" s="1"/>
  <c r="F672" i="3"/>
  <c r="E37" i="6" s="1"/>
  <c r="G672" i="3"/>
  <c r="F37" i="6" s="1"/>
  <c r="H672" i="3"/>
  <c r="G37" i="6" s="1"/>
  <c r="I669" i="3"/>
  <c r="I672" i="3" s="1"/>
  <c r="H37" i="6" s="1"/>
  <c r="F660" i="3"/>
  <c r="G660" i="3"/>
  <c r="H660" i="3"/>
  <c r="I660" i="3"/>
  <c r="E656" i="3"/>
  <c r="F656" i="3"/>
  <c r="G656" i="3"/>
  <c r="H656" i="3"/>
  <c r="I656" i="3"/>
  <c r="F640" i="3"/>
  <c r="G640" i="3"/>
  <c r="H640" i="3"/>
  <c r="E640" i="3"/>
  <c r="I639" i="3"/>
  <c r="I637" i="3"/>
  <c r="I630" i="3"/>
  <c r="I631" i="3" s="1"/>
  <c r="F624" i="3"/>
  <c r="G624" i="3"/>
  <c r="H624" i="3"/>
  <c r="E624" i="3"/>
  <c r="I623" i="3"/>
  <c r="I624" i="3" s="1"/>
  <c r="E617" i="3"/>
  <c r="F617" i="3"/>
  <c r="G617" i="3"/>
  <c r="H617" i="3"/>
  <c r="I617" i="3"/>
  <c r="E610" i="3"/>
  <c r="F610" i="3"/>
  <c r="G610" i="3"/>
  <c r="H610" i="3"/>
  <c r="I610" i="3"/>
  <c r="E603" i="3"/>
  <c r="D35" i="6" s="1"/>
  <c r="F603" i="3"/>
  <c r="E35" i="6" s="1"/>
  <c r="G603" i="3"/>
  <c r="F35" i="6" s="1"/>
  <c r="H603" i="3"/>
  <c r="G35" i="6" s="1"/>
  <c r="I603" i="3"/>
  <c r="H35" i="6" s="1"/>
  <c r="K60" i="9" l="1"/>
  <c r="K56" i="9"/>
  <c r="Q103" i="6"/>
  <c r="Q105" i="6"/>
  <c r="P123" i="6"/>
  <c r="P103" i="6"/>
  <c r="P105" i="6"/>
  <c r="Q123" i="6"/>
  <c r="S123" i="6"/>
  <c r="R103" i="6"/>
  <c r="R105" i="6"/>
  <c r="S103" i="6"/>
  <c r="S105" i="6"/>
  <c r="I640" i="3"/>
  <c r="E488" i="3"/>
  <c r="E492" i="3" s="1"/>
  <c r="D25" i="6" s="1"/>
  <c r="F488" i="3"/>
  <c r="F492" i="3" s="1"/>
  <c r="E25" i="6" s="1"/>
  <c r="G488" i="3"/>
  <c r="G492" i="3" s="1"/>
  <c r="F25" i="6" s="1"/>
  <c r="H488" i="3"/>
  <c r="H492" i="3" s="1"/>
  <c r="G25" i="6" s="1"/>
  <c r="I488" i="3"/>
  <c r="I492" i="3" s="1"/>
  <c r="H25" i="6" s="1"/>
  <c r="G59" i="7" s="1"/>
  <c r="I478" i="3"/>
  <c r="I469" i="3"/>
  <c r="F466" i="3"/>
  <c r="F470" i="3" s="1"/>
  <c r="E24" i="6" s="1"/>
  <c r="G466" i="3"/>
  <c r="G470" i="3" s="1"/>
  <c r="F24" i="6" s="1"/>
  <c r="H466" i="3"/>
  <c r="H470" i="3" s="1"/>
  <c r="G24" i="6" s="1"/>
  <c r="I466" i="3"/>
  <c r="E466" i="3"/>
  <c r="E470" i="3" s="1"/>
  <c r="D24" i="6" s="1"/>
  <c r="R93" i="6" l="1"/>
  <c r="Q92" i="6"/>
  <c r="R92" i="6"/>
  <c r="P93" i="6"/>
  <c r="P92" i="6"/>
  <c r="Q93" i="6"/>
  <c r="S93" i="6"/>
  <c r="I470" i="3"/>
  <c r="H24" i="6" s="1"/>
  <c r="P9" i="11"/>
  <c r="P11" i="11" s="1"/>
  <c r="I13" i="11"/>
  <c r="I14" i="11"/>
  <c r="J27" i="9"/>
  <c r="J56" i="9"/>
  <c r="J59" i="9"/>
  <c r="J60" i="9"/>
  <c r="J72" i="9"/>
  <c r="J76" i="9" s="1"/>
  <c r="J128" i="9"/>
  <c r="F54" i="7"/>
  <c r="F53" i="7"/>
  <c r="C42" i="7"/>
  <c r="D42" i="7"/>
  <c r="E42" i="7"/>
  <c r="F42" i="7"/>
  <c r="F14" i="7"/>
  <c r="F17" i="7"/>
  <c r="F19" i="7"/>
  <c r="F20" i="7"/>
  <c r="F21" i="7"/>
  <c r="F22" i="7"/>
  <c r="F23" i="7"/>
  <c r="F24" i="7"/>
  <c r="F26" i="7"/>
  <c r="F27" i="7"/>
  <c r="F28" i="7"/>
  <c r="F35" i="7"/>
  <c r="F36" i="7"/>
  <c r="F48" i="7"/>
  <c r="F49" i="7"/>
  <c r="F52" i="7"/>
  <c r="F55" i="7"/>
  <c r="F59" i="7"/>
  <c r="F61" i="7"/>
  <c r="H12" i="4"/>
  <c r="H16" i="4"/>
  <c r="T34" i="4" s="1"/>
  <c r="H17" i="4"/>
  <c r="H8" i="4"/>
  <c r="H46" i="6"/>
  <c r="J52" i="9"/>
  <c r="H36" i="6"/>
  <c r="S92" i="6" l="1"/>
  <c r="J17" i="9"/>
  <c r="F10" i="7"/>
  <c r="H38" i="6"/>
  <c r="J55" i="9"/>
  <c r="J57" i="9" s="1"/>
  <c r="F16" i="7"/>
  <c r="J8" i="9"/>
  <c r="J63" i="9"/>
  <c r="J61" i="9"/>
  <c r="O26" i="11"/>
  <c r="J80" i="9"/>
  <c r="I11" i="11"/>
  <c r="O17" i="11"/>
  <c r="J73" i="9" l="1"/>
  <c r="J74" i="9" s="1"/>
  <c r="J77" i="9"/>
  <c r="J78" i="9" s="1"/>
  <c r="H56" i="6"/>
  <c r="H104" i="6" s="1"/>
  <c r="F289" i="3"/>
  <c r="G289" i="3"/>
  <c r="H289" i="3"/>
  <c r="I289" i="3"/>
  <c r="E289" i="3"/>
  <c r="H124" i="6" l="1"/>
  <c r="H120" i="6"/>
  <c r="H112" i="6"/>
  <c r="H123" i="6"/>
  <c r="H110" i="6"/>
  <c r="H105" i="6"/>
  <c r="H119" i="6"/>
  <c r="H102" i="6"/>
  <c r="H122" i="6"/>
  <c r="H108" i="6"/>
  <c r="H103" i="6"/>
  <c r="H109" i="6"/>
  <c r="H118" i="6"/>
  <c r="H116" i="6"/>
  <c r="H114" i="6"/>
  <c r="H106" i="6"/>
  <c r="H117" i="6"/>
  <c r="H121" i="6"/>
  <c r="H111" i="6"/>
  <c r="H113" i="6"/>
  <c r="H115" i="6"/>
  <c r="H107" i="6"/>
  <c r="E304" i="3"/>
  <c r="F304" i="3"/>
  <c r="G304" i="3"/>
  <c r="H304" i="3"/>
  <c r="I304" i="3"/>
  <c r="E286" i="3"/>
  <c r="I286" i="3"/>
  <c r="I278" i="3"/>
  <c r="I295" i="3"/>
  <c r="I246" i="3"/>
  <c r="I234" i="3"/>
  <c r="I236" i="3" s="1"/>
  <c r="H13" i="6" s="1"/>
  <c r="I305" i="3" l="1"/>
  <c r="L302" i="3" s="1"/>
  <c r="I424" i="3"/>
  <c r="H21" i="6" s="1"/>
  <c r="I405" i="3"/>
  <c r="I410" i="3" s="1"/>
  <c r="H18" i="6" s="1"/>
  <c r="I388" i="3"/>
  <c r="I389" i="3" s="1"/>
  <c r="F360" i="3"/>
  <c r="G360" i="3"/>
  <c r="H360" i="3"/>
  <c r="I360" i="3"/>
  <c r="E360" i="3"/>
  <c r="H368" i="3"/>
  <c r="I368" i="3"/>
  <c r="I345" i="3"/>
  <c r="I348" i="3" s="1"/>
  <c r="I331" i="3"/>
  <c r="I324" i="3"/>
  <c r="G286" i="3"/>
  <c r="I858" i="3"/>
  <c r="H9" i="6" s="1"/>
  <c r="I170" i="3"/>
  <c r="I183" i="3" s="1"/>
  <c r="L27" i="2" s="1"/>
  <c r="I159" i="3"/>
  <c r="I156" i="3"/>
  <c r="H146" i="3"/>
  <c r="H139" i="3"/>
  <c r="K20" i="2" s="1"/>
  <c r="I139" i="3"/>
  <c r="L20" i="2" l="1"/>
  <c r="J106" i="3"/>
  <c r="H15" i="6"/>
  <c r="L30" i="2"/>
  <c r="I22" i="11" s="1"/>
  <c r="AT27" i="2"/>
  <c r="S77" i="6"/>
  <c r="S89" i="6"/>
  <c r="F38" i="7"/>
  <c r="I338" i="3"/>
  <c r="H30" i="6"/>
  <c r="H64" i="6" s="1"/>
  <c r="F17" i="18" s="1"/>
  <c r="J18" i="9"/>
  <c r="J19" i="9" s="1"/>
  <c r="J22" i="9" s="1"/>
  <c r="J23" i="9" s="1"/>
  <c r="F15" i="7"/>
  <c r="J26" i="9"/>
  <c r="J28" i="9" s="1"/>
  <c r="J31" i="9" s="1"/>
  <c r="J32" i="9" s="1"/>
  <c r="I369" i="3"/>
  <c r="I160" i="3"/>
  <c r="I97" i="3"/>
  <c r="I100" i="3" s="1"/>
  <c r="L18" i="2" s="1"/>
  <c r="I89" i="3"/>
  <c r="L17" i="2" s="1"/>
  <c r="I1178" i="3" l="1"/>
  <c r="AT20" i="2"/>
  <c r="H14" i="6"/>
  <c r="L21" i="2"/>
  <c r="AT30" i="2"/>
  <c r="J51" i="9"/>
  <c r="J53" i="9" s="1"/>
  <c r="H14" i="4"/>
  <c r="H19" i="4"/>
  <c r="H10" i="4"/>
  <c r="I207" i="3"/>
  <c r="I58" i="3"/>
  <c r="L4" i="2" s="1"/>
  <c r="F41" i="3"/>
  <c r="I17" i="3" s="1"/>
  <c r="E41" i="3"/>
  <c r="H17" i="3" s="1"/>
  <c r="F32" i="3"/>
  <c r="I11" i="3" s="1"/>
  <c r="E32" i="3"/>
  <c r="H11" i="3" s="1"/>
  <c r="I1182" i="3" l="1"/>
  <c r="I1187" i="3" s="1"/>
  <c r="J1181" i="3" s="1"/>
  <c r="F11" i="7"/>
  <c r="J89" i="9"/>
  <c r="F47" i="7"/>
  <c r="I19" i="11"/>
  <c r="I18" i="3"/>
  <c r="H18" i="3"/>
  <c r="K3" i="2" s="1"/>
  <c r="C59" i="7"/>
  <c r="D59" i="7"/>
  <c r="E59" i="7"/>
  <c r="C61" i="7"/>
  <c r="D61" i="7"/>
  <c r="E61" i="7"/>
  <c r="I1189" i="3" l="1"/>
  <c r="L3" i="2"/>
  <c r="K55" i="2"/>
  <c r="H15" i="4"/>
  <c r="F12" i="7" s="1"/>
  <c r="I1139" i="3" l="1"/>
  <c r="I1219" i="3"/>
  <c r="I1199" i="3"/>
  <c r="I1098" i="3"/>
  <c r="I1158" i="3"/>
  <c r="AD8" i="2"/>
  <c r="I1038" i="3"/>
  <c r="I1057" i="3"/>
  <c r="I1077" i="3"/>
  <c r="N3" i="2"/>
  <c r="N55" i="2" s="1"/>
  <c r="L7" i="9" s="1"/>
  <c r="O3" i="2"/>
  <c r="K50" i="6" s="1"/>
  <c r="O18" i="18"/>
  <c r="I10" i="6"/>
  <c r="I1065" i="3"/>
  <c r="I49" i="6"/>
  <c r="K49" i="6" s="1"/>
  <c r="I41" i="6"/>
  <c r="AD7" i="2"/>
  <c r="I54" i="6"/>
  <c r="I42" i="6"/>
  <c r="I43" i="6"/>
  <c r="I50" i="6"/>
  <c r="I53" i="6"/>
  <c r="I52" i="6"/>
  <c r="I51" i="6"/>
  <c r="AD17" i="2"/>
  <c r="AD14" i="2"/>
  <c r="AD9" i="2"/>
  <c r="AD4" i="2"/>
  <c r="AD18" i="2"/>
  <c r="AD34" i="2"/>
  <c r="AD12" i="2"/>
  <c r="AD10" i="2"/>
  <c r="AD16" i="2"/>
  <c r="AD25" i="2"/>
  <c r="AD11" i="2"/>
  <c r="I29" i="6"/>
  <c r="I23" i="6"/>
  <c r="I37" i="6"/>
  <c r="I24" i="6"/>
  <c r="I18" i="6"/>
  <c r="I21" i="6"/>
  <c r="AD45" i="2"/>
  <c r="AD13" i="2"/>
  <c r="AD6" i="2"/>
  <c r="AD44" i="2"/>
  <c r="AD35" i="2"/>
  <c r="W25" i="2"/>
  <c r="AD36" i="2"/>
  <c r="AD51" i="2"/>
  <c r="AD47" i="2"/>
  <c r="AD40" i="2"/>
  <c r="AD23" i="2"/>
  <c r="AD43" i="2"/>
  <c r="AD19" i="2"/>
  <c r="H7" i="4"/>
  <c r="T17" i="4" s="1"/>
  <c r="AD27" i="2"/>
  <c r="AD42" i="2"/>
  <c r="AD50" i="2"/>
  <c r="AD3" i="2"/>
  <c r="AD46" i="2"/>
  <c r="AD41" i="2"/>
  <c r="AD52" i="2"/>
  <c r="AD32" i="2"/>
  <c r="AD30" i="2"/>
  <c r="AD20" i="2"/>
  <c r="AD15" i="2"/>
  <c r="AD29" i="2"/>
  <c r="AD49" i="2"/>
  <c r="AD38" i="2"/>
  <c r="AD33" i="2"/>
  <c r="AD48" i="2"/>
  <c r="AD28" i="2"/>
  <c r="AD39" i="2"/>
  <c r="I7" i="6"/>
  <c r="I13" i="6"/>
  <c r="I9" i="6"/>
  <c r="H38" i="7" s="1"/>
  <c r="AD21" i="2"/>
  <c r="L55" i="2"/>
  <c r="J7" i="9" s="1"/>
  <c r="J9" i="9" s="1"/>
  <c r="J13" i="9" s="1"/>
  <c r="J14" i="9" s="1"/>
  <c r="J67" i="9" s="1"/>
  <c r="L5" i="2"/>
  <c r="AT3" i="2"/>
  <c r="AU20" i="2"/>
  <c r="F33" i="7"/>
  <c r="K72" i="9" l="1"/>
  <c r="K8" i="9"/>
  <c r="K9" i="9" s="1"/>
  <c r="K13" i="9" s="1"/>
  <c r="K14" i="9" s="1"/>
  <c r="K18" i="9"/>
  <c r="K27" i="9"/>
  <c r="M49" i="6"/>
  <c r="T7" i="4"/>
  <c r="K1098" i="3"/>
  <c r="I1102" i="3"/>
  <c r="I1107" i="3" s="1"/>
  <c r="J1101" i="3" s="1"/>
  <c r="J1158" i="3"/>
  <c r="J28" i="6"/>
  <c r="I1048" i="3"/>
  <c r="J1098" i="3"/>
  <c r="K1199" i="3"/>
  <c r="I1203" i="3"/>
  <c r="I1207" i="3" s="1"/>
  <c r="J1202" i="3" s="1"/>
  <c r="I1081" i="3"/>
  <c r="I1086" i="3" s="1"/>
  <c r="J1080" i="3" s="1"/>
  <c r="I1162" i="3"/>
  <c r="I1166" i="3" s="1"/>
  <c r="J1161" i="3" s="1"/>
  <c r="K1139" i="3"/>
  <c r="K1219" i="3"/>
  <c r="I1223" i="3"/>
  <c r="I1144" i="3"/>
  <c r="I1147" i="3" s="1"/>
  <c r="J1143" i="3" s="1"/>
  <c r="K1038" i="3"/>
  <c r="K1048" i="3" s="1"/>
  <c r="K1158" i="3"/>
  <c r="J1199" i="3"/>
  <c r="K28" i="6"/>
  <c r="J1219" i="3"/>
  <c r="J1139" i="3"/>
  <c r="K1077" i="3"/>
  <c r="J1077" i="3"/>
  <c r="J1038" i="3"/>
  <c r="K1057" i="3"/>
  <c r="J1057" i="3"/>
  <c r="O17" i="2"/>
  <c r="J10" i="6"/>
  <c r="O20" i="2"/>
  <c r="K1178" i="3" s="1"/>
  <c r="N17" i="2"/>
  <c r="P3" i="2"/>
  <c r="Q3" i="2"/>
  <c r="O55" i="2"/>
  <c r="M7" i="9" s="1"/>
  <c r="K10" i="6"/>
  <c r="O13" i="2"/>
  <c r="I1067" i="3"/>
  <c r="K1065" i="3"/>
  <c r="J1065" i="3"/>
  <c r="H9" i="4"/>
  <c r="T9" i="4" s="1"/>
  <c r="G21" i="7"/>
  <c r="T117" i="6"/>
  <c r="G51" i="7"/>
  <c r="T109" i="6"/>
  <c r="O11" i="2"/>
  <c r="K21" i="6"/>
  <c r="K13" i="6"/>
  <c r="J37" i="6"/>
  <c r="K52" i="6"/>
  <c r="G22" i="7"/>
  <c r="T119" i="6"/>
  <c r="G27" i="7"/>
  <c r="T121" i="6"/>
  <c r="K23" i="6"/>
  <c r="I55" i="6"/>
  <c r="G24" i="7"/>
  <c r="T118" i="6"/>
  <c r="T111" i="6"/>
  <c r="G55" i="7"/>
  <c r="K42" i="6"/>
  <c r="K18" i="6"/>
  <c r="J13" i="6"/>
  <c r="K24" i="6"/>
  <c r="K51" i="6"/>
  <c r="J51" i="6"/>
  <c r="H22" i="7" s="1"/>
  <c r="K53" i="6"/>
  <c r="J23" i="6"/>
  <c r="H14" i="7" s="1"/>
  <c r="K29" i="6"/>
  <c r="K43" i="6"/>
  <c r="G26" i="7"/>
  <c r="T122" i="6"/>
  <c r="J21" i="6"/>
  <c r="J24" i="6"/>
  <c r="L8" i="9" s="1"/>
  <c r="L9" i="9" s="1"/>
  <c r="L13" i="9" s="1"/>
  <c r="L14" i="9" s="1"/>
  <c r="G25" i="7"/>
  <c r="T120" i="6"/>
  <c r="J43" i="6"/>
  <c r="H55" i="7" s="1"/>
  <c r="J50" i="6"/>
  <c r="M27" i="9" s="1"/>
  <c r="J29" i="6"/>
  <c r="G52" i="7"/>
  <c r="T110" i="6"/>
  <c r="J54" i="6"/>
  <c r="H26" i="7" s="1"/>
  <c r="J18" i="6"/>
  <c r="K37" i="6"/>
  <c r="J52" i="6"/>
  <c r="H25" i="7" s="1"/>
  <c r="J53" i="6"/>
  <c r="H27" i="7" s="1"/>
  <c r="K54" i="6"/>
  <c r="J42" i="6"/>
  <c r="J96" i="9"/>
  <c r="T10" i="4"/>
  <c r="J39" i="9"/>
  <c r="T16" i="4"/>
  <c r="O8" i="2"/>
  <c r="J35" i="9"/>
  <c r="T15" i="4"/>
  <c r="T12" i="4"/>
  <c r="N4" i="2"/>
  <c r="J104" i="9"/>
  <c r="J100" i="9"/>
  <c r="T19" i="4"/>
  <c r="T8" i="4"/>
  <c r="N11" i="2"/>
  <c r="N9" i="2"/>
  <c r="N7" i="2"/>
  <c r="N14" i="2"/>
  <c r="K7" i="6"/>
  <c r="N13" i="2"/>
  <c r="J7" i="6"/>
  <c r="O4" i="2"/>
  <c r="O12" i="2" s="1"/>
  <c r="N20" i="2"/>
  <c r="J1178" i="3" s="1"/>
  <c r="N8" i="2"/>
  <c r="N10" i="2"/>
  <c r="N12" i="2"/>
  <c r="O9" i="2"/>
  <c r="O10" i="2"/>
  <c r="O7" i="2"/>
  <c r="O14" i="2"/>
  <c r="G14" i="7"/>
  <c r="T91" i="6"/>
  <c r="G43" i="7"/>
  <c r="T86" i="6"/>
  <c r="G16" i="7"/>
  <c r="T92" i="6"/>
  <c r="G19" i="7"/>
  <c r="T97" i="6"/>
  <c r="J108" i="9"/>
  <c r="J44" i="9"/>
  <c r="T14" i="4"/>
  <c r="G48" i="7"/>
  <c r="T105" i="6"/>
  <c r="G15" i="7"/>
  <c r="T89" i="6"/>
  <c r="T81" i="6"/>
  <c r="G39" i="7"/>
  <c r="T75" i="6"/>
  <c r="G36" i="7"/>
  <c r="T77" i="6"/>
  <c r="G38" i="7"/>
  <c r="AT5" i="2"/>
  <c r="L22" i="2"/>
  <c r="AD5" i="2"/>
  <c r="M8" i="9" l="1"/>
  <c r="M9" i="9" s="1"/>
  <c r="M13" i="9" s="1"/>
  <c r="M14" i="9" s="1"/>
  <c r="M18" i="9"/>
  <c r="O16" i="18"/>
  <c r="O22" i="18" s="1"/>
  <c r="O26" i="18" s="1"/>
  <c r="L18" i="9"/>
  <c r="K76" i="9"/>
  <c r="K80" i="9"/>
  <c r="T123" i="6"/>
  <c r="K52" i="9"/>
  <c r="L56" i="9"/>
  <c r="L60" i="9"/>
  <c r="L27" i="9"/>
  <c r="I1088" i="3"/>
  <c r="I1109" i="3"/>
  <c r="I1209" i="3"/>
  <c r="L28" i="6"/>
  <c r="L1098" i="3"/>
  <c r="L1219" i="3"/>
  <c r="L1199" i="3"/>
  <c r="L1139" i="3"/>
  <c r="L1158" i="3"/>
  <c r="J1081" i="3"/>
  <c r="J1086" i="3" s="1"/>
  <c r="K1080" i="3" s="1"/>
  <c r="K1223" i="3"/>
  <c r="K1203" i="3"/>
  <c r="K1102" i="3"/>
  <c r="J1223" i="3"/>
  <c r="I1228" i="3"/>
  <c r="K1081" i="3"/>
  <c r="J1203" i="3"/>
  <c r="J1207" i="3" s="1"/>
  <c r="K1202" i="3" s="1"/>
  <c r="I1149" i="3"/>
  <c r="K1144" i="3"/>
  <c r="J1102" i="3"/>
  <c r="J1107" i="3" s="1"/>
  <c r="K1101" i="3" s="1"/>
  <c r="J1162" i="3"/>
  <c r="J1166" i="3" s="1"/>
  <c r="M1158" i="3"/>
  <c r="M28" i="6"/>
  <c r="M1098" i="3"/>
  <c r="M1219" i="3"/>
  <c r="M1223" i="3" s="1"/>
  <c r="M1139" i="3"/>
  <c r="M1199" i="3"/>
  <c r="M1203" i="3" s="1"/>
  <c r="J1182" i="3"/>
  <c r="J1187" i="3" s="1"/>
  <c r="K1181" i="3" s="1"/>
  <c r="J1048" i="3"/>
  <c r="K1182" i="3"/>
  <c r="J1144" i="3"/>
  <c r="J1147" i="3" s="1"/>
  <c r="K1162" i="3"/>
  <c r="I1168" i="3"/>
  <c r="Q11" i="2"/>
  <c r="M1057" i="3"/>
  <c r="M1077" i="3"/>
  <c r="M1038" i="3"/>
  <c r="P20" i="2"/>
  <c r="L1178" i="3" s="1"/>
  <c r="L1077" i="3"/>
  <c r="L1038" i="3"/>
  <c r="L1048" i="3" s="1"/>
  <c r="L1057" i="3"/>
  <c r="I39" i="7"/>
  <c r="Q17" i="2"/>
  <c r="Q55" i="2"/>
  <c r="O7" i="9" s="1"/>
  <c r="M7" i="4"/>
  <c r="Q20" i="2"/>
  <c r="M1178" i="3" s="1"/>
  <c r="M50" i="6"/>
  <c r="M10" i="6"/>
  <c r="I15" i="7"/>
  <c r="H48" i="7"/>
  <c r="P17" i="2"/>
  <c r="L50" i="6"/>
  <c r="L10" i="6"/>
  <c r="P55" i="2"/>
  <c r="N7" i="9" s="1"/>
  <c r="P10" i="2"/>
  <c r="M1065" i="3"/>
  <c r="J1067" i="3"/>
  <c r="L1065" i="3"/>
  <c r="K1067" i="3"/>
  <c r="J99" i="9"/>
  <c r="J101" i="9" s="1"/>
  <c r="P7" i="2"/>
  <c r="M7" i="6"/>
  <c r="P4" i="2"/>
  <c r="P12" i="2" s="1"/>
  <c r="H11" i="4"/>
  <c r="H13" i="4" s="1"/>
  <c r="P8" i="2"/>
  <c r="H35" i="7"/>
  <c r="I16" i="7"/>
  <c r="G35" i="7"/>
  <c r="I14" i="7"/>
  <c r="I35" i="7"/>
  <c r="P14" i="2"/>
  <c r="P11" i="2"/>
  <c r="I26" i="7"/>
  <c r="I48" i="7"/>
  <c r="I22" i="7"/>
  <c r="T78" i="6"/>
  <c r="L7" i="6"/>
  <c r="J36" i="7" s="1"/>
  <c r="P9" i="2"/>
  <c r="I43" i="7"/>
  <c r="I19" i="7"/>
  <c r="K55" i="6"/>
  <c r="I24" i="7"/>
  <c r="H19" i="7"/>
  <c r="Q14" i="2"/>
  <c r="M43" i="6"/>
  <c r="M29" i="6"/>
  <c r="M51" i="6"/>
  <c r="M24" i="6"/>
  <c r="M42" i="6"/>
  <c r="M23" i="6"/>
  <c r="M53" i="6"/>
  <c r="M52" i="6"/>
  <c r="M13" i="6"/>
  <c r="M37" i="6"/>
  <c r="M18" i="6"/>
  <c r="M54" i="6"/>
  <c r="M21" i="6"/>
  <c r="H52" i="7"/>
  <c r="H43" i="7"/>
  <c r="H24" i="7"/>
  <c r="H15" i="7"/>
  <c r="H16" i="7"/>
  <c r="I55" i="7"/>
  <c r="I27" i="7"/>
  <c r="L42" i="6"/>
  <c r="L23" i="6"/>
  <c r="J14" i="7" s="1"/>
  <c r="L51" i="6"/>
  <c r="J22" i="7" s="1"/>
  <c r="L13" i="6"/>
  <c r="L18" i="6"/>
  <c r="J43" i="7" s="1"/>
  <c r="L52" i="6"/>
  <c r="J25" i="7" s="1"/>
  <c r="L37" i="6"/>
  <c r="L21" i="6"/>
  <c r="N18" i="9" s="1"/>
  <c r="L54" i="6"/>
  <c r="J26" i="7" s="1"/>
  <c r="L43" i="6"/>
  <c r="J55" i="7" s="1"/>
  <c r="L29" i="6"/>
  <c r="J19" i="7" s="1"/>
  <c r="L53" i="6"/>
  <c r="J27" i="7" s="1"/>
  <c r="L24" i="6"/>
  <c r="I52" i="7"/>
  <c r="I25" i="7"/>
  <c r="H39" i="7"/>
  <c r="I36" i="7"/>
  <c r="H36" i="7"/>
  <c r="Q8" i="2"/>
  <c r="Q10" i="2"/>
  <c r="Q9" i="2"/>
  <c r="Q7" i="2"/>
  <c r="Q4" i="2"/>
  <c r="M15" i="4" s="1"/>
  <c r="L24" i="2"/>
  <c r="AD22" i="2"/>
  <c r="K1207" i="3" l="1"/>
  <c r="L1202" i="3" s="1"/>
  <c r="K1086" i="3"/>
  <c r="L1080" i="3" s="1"/>
  <c r="K1107" i="3"/>
  <c r="L1101" i="3" s="1"/>
  <c r="O35" i="9"/>
  <c r="O100" i="9"/>
  <c r="O39" i="9"/>
  <c r="O104" i="9"/>
  <c r="O44" i="9"/>
  <c r="O96" i="9"/>
  <c r="O108" i="9"/>
  <c r="O27" i="9"/>
  <c r="N27" i="9"/>
  <c r="O17" i="18"/>
  <c r="J15" i="7"/>
  <c r="O18" i="9"/>
  <c r="J16" i="7"/>
  <c r="O8" i="9"/>
  <c r="O9" i="9" s="1"/>
  <c r="O13" i="9" s="1"/>
  <c r="O14" i="9" s="1"/>
  <c r="N8" i="9"/>
  <c r="N9" i="9" s="1"/>
  <c r="N13" i="9" s="1"/>
  <c r="N14" i="9" s="1"/>
  <c r="N60" i="9"/>
  <c r="N56" i="9"/>
  <c r="M52" i="9"/>
  <c r="K1187" i="3"/>
  <c r="L1181" i="3" s="1"/>
  <c r="K1109" i="3"/>
  <c r="J1109" i="3"/>
  <c r="K1088" i="3"/>
  <c r="K1161" i="3"/>
  <c r="K1166" i="3" s="1"/>
  <c r="J1168" i="3"/>
  <c r="K1143" i="3"/>
  <c r="K1147" i="3" s="1"/>
  <c r="J1149" i="3"/>
  <c r="M1182" i="3"/>
  <c r="L1182" i="3"/>
  <c r="J1189" i="3"/>
  <c r="J1209" i="3"/>
  <c r="K1209" i="3"/>
  <c r="L1223" i="3"/>
  <c r="M1162" i="3"/>
  <c r="L1203" i="3"/>
  <c r="M1048" i="3"/>
  <c r="M1102" i="3"/>
  <c r="L1162" i="3"/>
  <c r="L1102" i="3"/>
  <c r="L1107" i="3" s="1"/>
  <c r="L1081" i="3"/>
  <c r="L1086" i="3" s="1"/>
  <c r="M1080" i="3" s="1"/>
  <c r="M1144" i="3"/>
  <c r="M1081" i="3"/>
  <c r="L1207" i="3"/>
  <c r="M1202" i="3" s="1"/>
  <c r="M1207" i="3" s="1"/>
  <c r="M1209" i="3" s="1"/>
  <c r="J1222" i="3"/>
  <c r="J1228" i="3" s="1"/>
  <c r="I1230" i="3"/>
  <c r="J1088" i="3"/>
  <c r="L1144" i="3"/>
  <c r="M10" i="4"/>
  <c r="K39" i="7"/>
  <c r="K33" i="7"/>
  <c r="K12" i="7"/>
  <c r="J48" i="7"/>
  <c r="T13" i="4"/>
  <c r="O19" i="18"/>
  <c r="F11" i="18"/>
  <c r="F13" i="18" s="1"/>
  <c r="F15" i="18" s="1"/>
  <c r="L1067" i="3"/>
  <c r="M1067" i="3"/>
  <c r="T11" i="4"/>
  <c r="K36" i="7"/>
  <c r="K43" i="7"/>
  <c r="K19" i="7"/>
  <c r="J24" i="7"/>
  <c r="K15" i="7"/>
  <c r="K48" i="7"/>
  <c r="K14" i="7"/>
  <c r="J39" i="7"/>
  <c r="K26" i="7"/>
  <c r="K52" i="7"/>
  <c r="K55" i="7"/>
  <c r="M55" i="6"/>
  <c r="O52" i="9" s="1"/>
  <c r="K24" i="7"/>
  <c r="K25" i="7"/>
  <c r="K16" i="7"/>
  <c r="J52" i="7"/>
  <c r="K27" i="7"/>
  <c r="K22" i="7"/>
  <c r="J35" i="7"/>
  <c r="J123" i="9"/>
  <c r="H18" i="4"/>
  <c r="T18" i="4" s="1"/>
  <c r="L26" i="2"/>
  <c r="J88" i="9"/>
  <c r="J90" i="9" s="1"/>
  <c r="J103" i="9"/>
  <c r="J105" i="9" s="1"/>
  <c r="J119" i="9"/>
  <c r="J115" i="9"/>
  <c r="AD24" i="2"/>
  <c r="O27" i="18" l="1"/>
  <c r="K1189" i="3"/>
  <c r="L1187" i="3"/>
  <c r="M1181" i="3" s="1"/>
  <c r="M1187" i="3" s="1"/>
  <c r="M1189" i="3" s="1"/>
  <c r="L1209" i="3"/>
  <c r="M1101" i="3"/>
  <c r="M1107" i="3" s="1"/>
  <c r="M1109" i="3" s="1"/>
  <c r="L1109" i="3"/>
  <c r="K1222" i="3"/>
  <c r="K1228" i="3" s="1"/>
  <c r="J1230" i="3"/>
  <c r="L1088" i="3"/>
  <c r="L1143" i="3"/>
  <c r="L1147" i="3" s="1"/>
  <c r="K1149" i="3"/>
  <c r="M1086" i="3"/>
  <c r="M1088" i="3" s="1"/>
  <c r="L1161" i="3"/>
  <c r="L1166" i="3" s="1"/>
  <c r="K1168" i="3"/>
  <c r="H20" i="4"/>
  <c r="J107" i="9"/>
  <c r="J109" i="9" s="1"/>
  <c r="L31" i="2"/>
  <c r="AD26" i="2"/>
  <c r="F6" i="7"/>
  <c r="F9" i="7" s="1"/>
  <c r="F13" i="7" s="1"/>
  <c r="I23" i="11"/>
  <c r="I24" i="11" s="1"/>
  <c r="F25" i="7"/>
  <c r="G36" i="6"/>
  <c r="F36" i="6"/>
  <c r="E36" i="6"/>
  <c r="D36" i="6"/>
  <c r="L1189" i="3" l="1"/>
  <c r="M1143" i="3"/>
  <c r="M1147" i="3" s="1"/>
  <c r="M1149" i="3" s="1"/>
  <c r="L1149" i="3"/>
  <c r="M1161" i="3"/>
  <c r="M1166" i="3" s="1"/>
  <c r="M1168" i="3" s="1"/>
  <c r="L1168" i="3"/>
  <c r="L1222" i="3"/>
  <c r="L1228" i="3" s="1"/>
  <c r="K1230" i="3"/>
  <c r="T20" i="4"/>
  <c r="O20" i="18"/>
  <c r="O24" i="18" s="1"/>
  <c r="J127" i="9"/>
  <c r="J129" i="9" s="1"/>
  <c r="J95" i="9"/>
  <c r="J97" i="9" s="1"/>
  <c r="L57" i="2"/>
  <c r="L58" i="2"/>
  <c r="J111" i="9"/>
  <c r="L37" i="2"/>
  <c r="AD37" i="2" s="1"/>
  <c r="L53" i="2"/>
  <c r="P104" i="6"/>
  <c r="R104" i="6"/>
  <c r="S104" i="6"/>
  <c r="Q104" i="6"/>
  <c r="F38" i="6"/>
  <c r="G38" i="6"/>
  <c r="D38" i="6"/>
  <c r="E38" i="6"/>
  <c r="AD31" i="2"/>
  <c r="F13" i="11"/>
  <c r="R37" i="11" l="1"/>
  <c r="R38" i="11" s="1"/>
  <c r="L54" i="2"/>
  <c r="M1222" i="3"/>
  <c r="M1228" i="3" s="1"/>
  <c r="M1230" i="3" s="1"/>
  <c r="L1230" i="3"/>
  <c r="I7" i="11"/>
  <c r="R36" i="11"/>
  <c r="S35" i="11" s="1"/>
  <c r="S42" i="11" s="1"/>
  <c r="S44" i="11" s="1"/>
  <c r="AU37" i="2"/>
  <c r="Q106" i="6"/>
  <c r="P106" i="6"/>
  <c r="R106" i="6"/>
  <c r="S106" i="6"/>
  <c r="J85" i="9"/>
  <c r="AD53" i="2"/>
  <c r="I8" i="11"/>
  <c r="F50" i="7"/>
  <c r="G14" i="11"/>
  <c r="M17" i="11" s="1"/>
  <c r="H14" i="11"/>
  <c r="F14" i="11"/>
  <c r="L17" i="11" s="1"/>
  <c r="I9" i="11" l="1"/>
  <c r="I10" i="11"/>
  <c r="I12" i="11" s="1"/>
  <c r="I16" i="11" s="1"/>
  <c r="N17" i="11"/>
  <c r="N9" i="11"/>
  <c r="O9" i="11"/>
  <c r="M9" i="11"/>
  <c r="L26" i="11" l="1"/>
  <c r="M26" i="11"/>
  <c r="N26" i="11"/>
  <c r="N11" i="11"/>
  <c r="O11" i="11"/>
  <c r="M11" i="11"/>
  <c r="H128" i="9" l="1"/>
  <c r="I128" i="9"/>
  <c r="G128" i="9"/>
  <c r="F22" i="11" l="1"/>
  <c r="G22" i="11"/>
  <c r="H22" i="11"/>
  <c r="D28" i="6" l="1"/>
  <c r="E28" i="6"/>
  <c r="F28" i="6"/>
  <c r="G28" i="6"/>
  <c r="I28" i="6" l="1"/>
  <c r="P96" i="6"/>
  <c r="R96" i="6"/>
  <c r="S96" i="6"/>
  <c r="Q96" i="6"/>
  <c r="G30" i="6"/>
  <c r="F30" i="6"/>
  <c r="F64" i="6" s="1"/>
  <c r="D17" i="18" s="1"/>
  <c r="D30" i="6"/>
  <c r="D64" i="6" s="1"/>
  <c r="E30" i="6"/>
  <c r="E64" i="6" s="1"/>
  <c r="C17" i="18" s="1"/>
  <c r="F18" i="7"/>
  <c r="F228" i="3"/>
  <c r="I16" i="2" s="1"/>
  <c r="G228" i="3"/>
  <c r="J16" i="2" s="1"/>
  <c r="H228" i="3"/>
  <c r="K16" i="2" s="1"/>
  <c r="E228" i="3"/>
  <c r="H16" i="2" s="1"/>
  <c r="E207" i="3"/>
  <c r="G40" i="9"/>
  <c r="I18" i="7" l="1"/>
  <c r="K18" i="7"/>
  <c r="F29" i="7"/>
  <c r="J45" i="9"/>
  <c r="J46" i="9" s="1"/>
  <c r="G64" i="6"/>
  <c r="E17" i="18" s="1"/>
  <c r="G18" i="7"/>
  <c r="T96" i="6"/>
  <c r="H18" i="7"/>
  <c r="J18" i="7"/>
  <c r="H45" i="9"/>
  <c r="AQ16" i="2"/>
  <c r="Q98" i="6"/>
  <c r="AR16" i="2"/>
  <c r="R98" i="6"/>
  <c r="S98" i="6"/>
  <c r="P98" i="6"/>
  <c r="I45" i="9"/>
  <c r="H8" i="9"/>
  <c r="I8" i="9"/>
  <c r="G8" i="9"/>
  <c r="H85" i="9" l="1"/>
  <c r="I85" i="9"/>
  <c r="G85" i="9"/>
  <c r="H63" i="9"/>
  <c r="I63" i="9"/>
  <c r="G63" i="9"/>
  <c r="G73" i="9" l="1"/>
  <c r="H73" i="9"/>
  <c r="I73" i="9"/>
  <c r="H27" i="9"/>
  <c r="I27" i="9"/>
  <c r="G27" i="9"/>
  <c r="G52" i="9"/>
  <c r="H52" i="9"/>
  <c r="I52" i="9"/>
  <c r="H55" i="9"/>
  <c r="I55" i="9"/>
  <c r="G55" i="9"/>
  <c r="H60" i="9"/>
  <c r="I60" i="9"/>
  <c r="G59" i="9"/>
  <c r="H59" i="9"/>
  <c r="I59" i="9"/>
  <c r="H56" i="9"/>
  <c r="I56" i="9"/>
  <c r="D46" i="6" l="1"/>
  <c r="F51" i="7"/>
  <c r="F56" i="7" s="1"/>
  <c r="G46" i="6"/>
  <c r="F46" i="6"/>
  <c r="E46" i="6"/>
  <c r="I72" i="9"/>
  <c r="I74" i="9" s="1"/>
  <c r="G63" i="6"/>
  <c r="H72" i="9"/>
  <c r="H74" i="9" s="1"/>
  <c r="F63" i="6"/>
  <c r="G72" i="9"/>
  <c r="G74" i="9" s="1"/>
  <c r="E63" i="6"/>
  <c r="D63" i="6"/>
  <c r="I57" i="9"/>
  <c r="I61" i="9"/>
  <c r="I77" i="9"/>
  <c r="G77" i="9"/>
  <c r="H77" i="9"/>
  <c r="H61" i="9"/>
  <c r="H57" i="9"/>
  <c r="P114" i="6" l="1"/>
  <c r="Q114" i="6"/>
  <c r="R114" i="6"/>
  <c r="S114" i="6"/>
  <c r="G56" i="6"/>
  <c r="G114" i="6" s="1"/>
  <c r="E56" i="6"/>
  <c r="F56" i="6"/>
  <c r="F114" i="6" s="1"/>
  <c r="D56" i="6"/>
  <c r="H76" i="9"/>
  <c r="H78" i="9" s="1"/>
  <c r="H80" i="9"/>
  <c r="I76" i="9"/>
  <c r="I78" i="9" s="1"/>
  <c r="I80" i="9"/>
  <c r="G80" i="9"/>
  <c r="G76" i="9"/>
  <c r="G78" i="9" s="1"/>
  <c r="G51" i="9"/>
  <c r="G53" i="9" s="1"/>
  <c r="H51" i="9"/>
  <c r="H53" i="9" s="1"/>
  <c r="I51" i="9"/>
  <c r="I53" i="9" s="1"/>
  <c r="H18" i="9"/>
  <c r="I18" i="9"/>
  <c r="G18" i="9"/>
  <c r="R124" i="6" l="1"/>
  <c r="S124" i="6"/>
  <c r="Q124" i="6"/>
  <c r="E114" i="6"/>
  <c r="P124" i="6"/>
  <c r="D122" i="6"/>
  <c r="D107" i="6"/>
  <c r="D115" i="6"/>
  <c r="D108" i="6"/>
  <c r="D116" i="6"/>
  <c r="D124" i="6"/>
  <c r="D113" i="6"/>
  <c r="D112" i="6"/>
  <c r="D121" i="6"/>
  <c r="D111" i="6"/>
  <c r="D110" i="6"/>
  <c r="D118" i="6"/>
  <c r="D102" i="6"/>
  <c r="D109" i="6"/>
  <c r="D117" i="6"/>
  <c r="D120" i="6"/>
  <c r="D119" i="6"/>
  <c r="D103" i="6"/>
  <c r="D105" i="6"/>
  <c r="D123" i="6"/>
  <c r="D104" i="6"/>
  <c r="D106" i="6"/>
  <c r="D114" i="6"/>
  <c r="E107" i="6"/>
  <c r="E108" i="6"/>
  <c r="E113" i="6"/>
  <c r="E115" i="6"/>
  <c r="E116" i="6"/>
  <c r="E122" i="6"/>
  <c r="E124" i="6"/>
  <c r="E102" i="6"/>
  <c r="E118" i="6"/>
  <c r="E111" i="6"/>
  <c r="E121" i="6"/>
  <c r="E112" i="6"/>
  <c r="E110" i="6"/>
  <c r="E109" i="6"/>
  <c r="E120" i="6"/>
  <c r="E119" i="6"/>
  <c r="E117" i="6"/>
  <c r="E103" i="6"/>
  <c r="E105" i="6"/>
  <c r="E123" i="6"/>
  <c r="E104" i="6"/>
  <c r="E106" i="6"/>
  <c r="F107" i="6"/>
  <c r="F108" i="6"/>
  <c r="F113" i="6"/>
  <c r="F115" i="6"/>
  <c r="F116" i="6"/>
  <c r="F122" i="6"/>
  <c r="F124" i="6"/>
  <c r="F111" i="6"/>
  <c r="F110" i="6"/>
  <c r="F102" i="6"/>
  <c r="F121" i="6"/>
  <c r="F112" i="6"/>
  <c r="F118" i="6"/>
  <c r="F109" i="6"/>
  <c r="F120" i="6"/>
  <c r="F119" i="6"/>
  <c r="F117" i="6"/>
  <c r="F103" i="6"/>
  <c r="F105" i="6"/>
  <c r="F123" i="6"/>
  <c r="F104" i="6"/>
  <c r="F106" i="6"/>
  <c r="G107" i="6"/>
  <c r="G108" i="6"/>
  <c r="G110" i="6"/>
  <c r="G113" i="6"/>
  <c r="G115" i="6"/>
  <c r="G116" i="6"/>
  <c r="G122" i="6"/>
  <c r="G124" i="6"/>
  <c r="G102" i="6"/>
  <c r="G121" i="6"/>
  <c r="G112" i="6"/>
  <c r="G111" i="6"/>
  <c r="G118" i="6"/>
  <c r="G119" i="6"/>
  <c r="G109" i="6"/>
  <c r="G117" i="6"/>
  <c r="G120" i="6"/>
  <c r="G103" i="6"/>
  <c r="G123" i="6"/>
  <c r="G105" i="6"/>
  <c r="G104" i="6"/>
  <c r="G106" i="6"/>
  <c r="G16" i="2"/>
  <c r="G48" i="2"/>
  <c r="I117" i="6" l="1"/>
  <c r="J49" i="6" s="1"/>
  <c r="I109" i="6"/>
  <c r="G51" i="2"/>
  <c r="G50" i="2"/>
  <c r="J41" i="6" l="1"/>
  <c r="L72" i="9" s="1"/>
  <c r="K41" i="6"/>
  <c r="M72" i="9" s="1"/>
  <c r="L49" i="6"/>
  <c r="I21" i="7"/>
  <c r="J55" i="6"/>
  <c r="H21" i="7"/>
  <c r="G20" i="2"/>
  <c r="G27" i="2"/>
  <c r="M80" i="9" l="1"/>
  <c r="M76" i="9"/>
  <c r="M27" i="11"/>
  <c r="M28" i="11" s="1"/>
  <c r="G20" i="11"/>
  <c r="M18" i="11" s="1"/>
  <c r="M19" i="11" s="1"/>
  <c r="M56" i="9"/>
  <c r="M60" i="9"/>
  <c r="L52" i="9"/>
  <c r="L80" i="9"/>
  <c r="L76" i="9"/>
  <c r="F20" i="11"/>
  <c r="L18" i="11" s="1"/>
  <c r="L19" i="11" s="1"/>
  <c r="L27" i="11"/>
  <c r="L28" i="11" s="1"/>
  <c r="J21" i="7"/>
  <c r="K21" i="7"/>
  <c r="L55" i="6"/>
  <c r="M41" i="6"/>
  <c r="O72" i="9" s="1"/>
  <c r="P18" i="2"/>
  <c r="I51" i="7"/>
  <c r="N18" i="2"/>
  <c r="L41" i="6"/>
  <c r="N72" i="9" s="1"/>
  <c r="H51" i="7"/>
  <c r="O18" i="2"/>
  <c r="G17" i="2"/>
  <c r="N80" i="9" l="1"/>
  <c r="N76" i="9"/>
  <c r="N27" i="11"/>
  <c r="N28" i="11" s="1"/>
  <c r="H20" i="11"/>
  <c r="N18" i="11" s="1"/>
  <c r="N19" i="11" s="1"/>
  <c r="O76" i="9"/>
  <c r="O80" i="9"/>
  <c r="O27" i="11"/>
  <c r="O28" i="11" s="1"/>
  <c r="I20" i="11"/>
  <c r="O60" i="9"/>
  <c r="O56" i="9"/>
  <c r="N52" i="9"/>
  <c r="K51" i="7"/>
  <c r="Q18" i="2"/>
  <c r="M14" i="4" s="1"/>
  <c r="O89" i="9" s="1"/>
  <c r="J51" i="7"/>
  <c r="G15" i="2"/>
  <c r="H405" i="3"/>
  <c r="H410" i="3" s="1"/>
  <c r="G405" i="3"/>
  <c r="G410" i="3" s="1"/>
  <c r="F18" i="6" s="1"/>
  <c r="F405" i="3"/>
  <c r="F410" i="3" s="1"/>
  <c r="E18" i="6" s="1"/>
  <c r="E405" i="3"/>
  <c r="E410" i="3" s="1"/>
  <c r="D18" i="6" s="1"/>
  <c r="H382" i="3"/>
  <c r="G382" i="3"/>
  <c r="E382" i="3"/>
  <c r="H388" i="3"/>
  <c r="G388" i="3"/>
  <c r="F388" i="3"/>
  <c r="F389" i="3" s="1"/>
  <c r="E388" i="3"/>
  <c r="O18" i="11" l="1"/>
  <c r="O19" i="11" s="1"/>
  <c r="I21" i="11"/>
  <c r="I25" i="11" s="1"/>
  <c r="O30" i="11" s="1"/>
  <c r="K47" i="7"/>
  <c r="K11" i="7"/>
  <c r="E15" i="6"/>
  <c r="P86" i="6"/>
  <c r="Q86" i="6"/>
  <c r="G18" i="6"/>
  <c r="E389" i="3"/>
  <c r="D62" i="6"/>
  <c r="E62" i="6"/>
  <c r="G389" i="3"/>
  <c r="H389" i="3"/>
  <c r="E369" i="3"/>
  <c r="F369" i="3"/>
  <c r="G369" i="3"/>
  <c r="H369" i="3"/>
  <c r="O31" i="11" l="1"/>
  <c r="C5" i="18" s="1"/>
  <c r="O21" i="11"/>
  <c r="O22" i="11"/>
  <c r="D15" i="6"/>
  <c r="P83" i="6" s="1"/>
  <c r="K391" i="3"/>
  <c r="F14" i="6"/>
  <c r="G370" i="3"/>
  <c r="D14" i="6"/>
  <c r="K371" i="3"/>
  <c r="J369" i="3" s="1"/>
  <c r="H370" i="3"/>
  <c r="I370" i="3"/>
  <c r="H390" i="3"/>
  <c r="I390" i="3"/>
  <c r="F15" i="6"/>
  <c r="Q83" i="6" s="1"/>
  <c r="G390" i="3"/>
  <c r="E14" i="6"/>
  <c r="F370" i="3"/>
  <c r="F390" i="3"/>
  <c r="R86" i="6"/>
  <c r="S86" i="6"/>
  <c r="F43" i="7"/>
  <c r="G15" i="6"/>
  <c r="G14" i="6"/>
  <c r="G120" i="9" a="1"/>
  <c r="G120" i="9" s="1"/>
  <c r="G124" i="9" a="1"/>
  <c r="G124" i="9" s="1"/>
  <c r="G36" i="9"/>
  <c r="F295" i="3"/>
  <c r="G295" i="3"/>
  <c r="H295" i="3"/>
  <c r="E295" i="3"/>
  <c r="H286" i="3"/>
  <c r="F286" i="3"/>
  <c r="F278" i="3"/>
  <c r="G278" i="3"/>
  <c r="H278" i="3"/>
  <c r="E278" i="3"/>
  <c r="P82" i="6" l="1"/>
  <c r="K369" i="3"/>
  <c r="K390" i="3"/>
  <c r="J389" i="3" s="1"/>
  <c r="I371" i="3"/>
  <c r="Q82" i="6"/>
  <c r="R83" i="6"/>
  <c r="S83" i="6"/>
  <c r="R82" i="6"/>
  <c r="S82" i="6"/>
  <c r="F41" i="7"/>
  <c r="F40" i="7"/>
  <c r="G305" i="3"/>
  <c r="H305" i="3"/>
  <c r="F305" i="3"/>
  <c r="E305" i="3"/>
  <c r="D232" i="3"/>
  <c r="F207" i="3"/>
  <c r="F208" i="3" s="1"/>
  <c r="G207" i="3"/>
  <c r="H207" i="3"/>
  <c r="G4" i="2"/>
  <c r="F139" i="3"/>
  <c r="I20" i="2" s="1"/>
  <c r="G139" i="3"/>
  <c r="J20" i="2" s="1"/>
  <c r="E139" i="3"/>
  <c r="H20" i="2" s="1"/>
  <c r="F89" i="3"/>
  <c r="G89" i="3"/>
  <c r="J17" i="2" s="1"/>
  <c r="H89" i="3"/>
  <c r="E89" i="3"/>
  <c r="H17" i="2" s="1"/>
  <c r="F81" i="3"/>
  <c r="G81" i="3"/>
  <c r="H81" i="3"/>
  <c r="E81" i="3"/>
  <c r="H15" i="2" s="1"/>
  <c r="H58" i="3"/>
  <c r="K4" i="2" s="1"/>
  <c r="F58" i="3"/>
  <c r="I4" i="2" s="1"/>
  <c r="G58" i="3"/>
  <c r="J4" i="2" s="1"/>
  <c r="E58" i="3"/>
  <c r="H4" i="2" s="1"/>
  <c r="G3" i="2"/>
  <c r="E18" i="3"/>
  <c r="H3" i="2" s="1"/>
  <c r="F18" i="3"/>
  <c r="I3" i="2" s="1"/>
  <c r="G18" i="3"/>
  <c r="J3" i="2" s="1"/>
  <c r="J7" i="2" l="1"/>
  <c r="G208" i="3"/>
  <c r="K7" i="2"/>
  <c r="H208" i="3"/>
  <c r="I208" i="3"/>
  <c r="I15" i="6"/>
  <c r="G41" i="7" s="1"/>
  <c r="K389" i="3"/>
  <c r="L369" i="3"/>
  <c r="AQ4" i="2"/>
  <c r="AR4" i="2"/>
  <c r="H55" i="2"/>
  <c r="AS4" i="2"/>
  <c r="AT4" i="2"/>
  <c r="I15" i="2"/>
  <c r="U15" i="2" s="1"/>
  <c r="I17" i="2"/>
  <c r="AQ17" i="2" s="1"/>
  <c r="J55" i="2"/>
  <c r="AR3" i="2"/>
  <c r="AS3" i="2"/>
  <c r="H5" i="2"/>
  <c r="AT7" i="2"/>
  <c r="I55" i="2"/>
  <c r="AQ3" i="2"/>
  <c r="K17" i="2"/>
  <c r="G10" i="4" s="1"/>
  <c r="S28" i="4" s="1"/>
  <c r="AQ20" i="2"/>
  <c r="AS20" i="2"/>
  <c r="AR20" i="2"/>
  <c r="V15" i="2"/>
  <c r="W15" i="2"/>
  <c r="F10" i="4"/>
  <c r="D7" i="4"/>
  <c r="S25" i="2"/>
  <c r="D10" i="4"/>
  <c r="F260" i="3"/>
  <c r="F232" i="3" s="1"/>
  <c r="G260" i="3"/>
  <c r="G232" i="3" s="1"/>
  <c r="H260" i="3"/>
  <c r="H232" i="3" s="1"/>
  <c r="E260" i="3"/>
  <c r="E232" i="3" s="1"/>
  <c r="H235" i="3"/>
  <c r="E235" i="3"/>
  <c r="F233" i="3"/>
  <c r="G233" i="3"/>
  <c r="H233" i="3"/>
  <c r="E233" i="3"/>
  <c r="AS7" i="2" l="1"/>
  <c r="V7" i="2"/>
  <c r="W7" i="2"/>
  <c r="O10" i="4"/>
  <c r="T83" i="6"/>
  <c r="M369" i="3"/>
  <c r="L389" i="3"/>
  <c r="J15" i="6"/>
  <c r="E10" i="4"/>
  <c r="Q28" i="4" s="1"/>
  <c r="AR15" i="2"/>
  <c r="AQ15" i="2"/>
  <c r="AR17" i="2"/>
  <c r="AQ5" i="2"/>
  <c r="T15" i="2"/>
  <c r="R15" i="2" s="1"/>
  <c r="AS17" i="2"/>
  <c r="AT17" i="2"/>
  <c r="AU25" i="2"/>
  <c r="R28" i="4"/>
  <c r="T20" i="2"/>
  <c r="O7" i="4"/>
  <c r="I17" i="4"/>
  <c r="T35" i="4" s="1"/>
  <c r="G234" i="3"/>
  <c r="G236" i="3" s="1"/>
  <c r="F13" i="6" s="1"/>
  <c r="H234" i="3"/>
  <c r="H236" i="3" s="1"/>
  <c r="G13" i="6" s="1"/>
  <c r="F236" i="3"/>
  <c r="E13" i="6" s="1"/>
  <c r="E236" i="3"/>
  <c r="D13" i="6" s="1"/>
  <c r="G7" i="2"/>
  <c r="E15" i="4"/>
  <c r="G15" i="4"/>
  <c r="R7" i="2" l="1"/>
  <c r="K15" i="6"/>
  <c r="I41" i="7" s="1"/>
  <c r="M389" i="3"/>
  <c r="H41" i="7"/>
  <c r="N369" i="3"/>
  <c r="Q81" i="6"/>
  <c r="P28" i="4"/>
  <c r="S33" i="4"/>
  <c r="P81" i="6"/>
  <c r="R81" i="6"/>
  <c r="S81" i="6"/>
  <c r="AV25" i="2"/>
  <c r="D19" i="6"/>
  <c r="E19" i="6"/>
  <c r="J17" i="4"/>
  <c r="U35" i="4" s="1"/>
  <c r="U4" i="2"/>
  <c r="F15" i="4"/>
  <c r="Q33" i="4" s="1"/>
  <c r="D6" i="10"/>
  <c r="V4" i="2"/>
  <c r="W4" i="2"/>
  <c r="F39" i="7"/>
  <c r="Z19" i="2"/>
  <c r="Z23" i="2"/>
  <c r="Z27" i="2"/>
  <c r="Z35" i="2"/>
  <c r="Z39" i="2"/>
  <c r="Z43" i="2"/>
  <c r="Z47" i="2"/>
  <c r="Z9" i="2"/>
  <c r="Z13" i="2"/>
  <c r="Z49" i="2"/>
  <c r="Z11" i="2"/>
  <c r="Z30" i="2"/>
  <c r="Z34" i="2"/>
  <c r="Z38" i="2"/>
  <c r="Z42" i="2"/>
  <c r="Z46" i="2"/>
  <c r="Z8" i="2"/>
  <c r="Z12" i="2"/>
  <c r="Z3" i="2"/>
  <c r="Z15" i="2"/>
  <c r="Z10" i="2"/>
  <c r="Z17" i="2"/>
  <c r="Z25" i="2"/>
  <c r="Z29" i="2"/>
  <c r="Z33" i="2"/>
  <c r="Z41" i="2"/>
  <c r="Z45" i="2"/>
  <c r="Z7" i="2"/>
  <c r="Z16" i="2"/>
  <c r="Z20" i="2"/>
  <c r="Z28" i="2"/>
  <c r="Z32" i="2"/>
  <c r="Z36" i="2"/>
  <c r="Z40" i="2"/>
  <c r="Z44" i="2"/>
  <c r="Z48" i="2"/>
  <c r="Z52" i="2"/>
  <c r="Z6" i="2"/>
  <c r="Z14" i="2"/>
  <c r="N389" i="3" l="1"/>
  <c r="M15" i="6" s="1"/>
  <c r="L15" i="6"/>
  <c r="P87" i="6"/>
  <c r="AW25" i="2"/>
  <c r="R33" i="4"/>
  <c r="D31" i="6"/>
  <c r="D87" i="6" s="1"/>
  <c r="E31" i="6"/>
  <c r="E57" i="6" s="1"/>
  <c r="K17" i="4"/>
  <c r="V35" i="4" s="1"/>
  <c r="E23" i="7"/>
  <c r="D23" i="7"/>
  <c r="C23" i="7"/>
  <c r="G45" i="9"/>
  <c r="K41" i="7" l="1"/>
  <c r="J41" i="7"/>
  <c r="AX25" i="2"/>
  <c r="E87" i="6"/>
  <c r="P99" i="6"/>
  <c r="E80" i="6"/>
  <c r="E88" i="6"/>
  <c r="E85" i="6"/>
  <c r="E90" i="6"/>
  <c r="E79" i="6"/>
  <c r="E99" i="6"/>
  <c r="E75" i="6"/>
  <c r="E94" i="6"/>
  <c r="E95" i="6"/>
  <c r="E97" i="6"/>
  <c r="E89" i="6"/>
  <c r="E91" i="6"/>
  <c r="E84" i="6"/>
  <c r="E77" i="6"/>
  <c r="E78" i="6"/>
  <c r="E76" i="6"/>
  <c r="E74" i="6"/>
  <c r="E92" i="6"/>
  <c r="E93" i="6"/>
  <c r="E96" i="6"/>
  <c r="E98" i="6"/>
  <c r="E86" i="6"/>
  <c r="E83" i="6"/>
  <c r="E82" i="6"/>
  <c r="E81" i="6"/>
  <c r="G81" i="9"/>
  <c r="G82" i="9" s="1"/>
  <c r="D90" i="6"/>
  <c r="D75" i="6"/>
  <c r="D79" i="6"/>
  <c r="D99" i="6"/>
  <c r="D80" i="6"/>
  <c r="D88" i="6"/>
  <c r="D85" i="6"/>
  <c r="D97" i="6"/>
  <c r="D94" i="6"/>
  <c r="D95" i="6"/>
  <c r="D91" i="6"/>
  <c r="D84" i="6"/>
  <c r="D89" i="6"/>
  <c r="D77" i="6"/>
  <c r="D78" i="6"/>
  <c r="D76" i="6"/>
  <c r="D74" i="6"/>
  <c r="D93" i="6"/>
  <c r="D92" i="6"/>
  <c r="D96" i="6"/>
  <c r="D98" i="6"/>
  <c r="D86" i="6"/>
  <c r="D82" i="6"/>
  <c r="D83" i="6"/>
  <c r="D81" i="6"/>
  <c r="G84" i="9"/>
  <c r="G86" i="9" s="1"/>
  <c r="G116" i="9"/>
  <c r="G112" i="9"/>
  <c r="L17" i="4"/>
  <c r="D57" i="6"/>
  <c r="G60" i="9"/>
  <c r="G61" i="9" s="1"/>
  <c r="G56" i="9"/>
  <c r="G57" i="9" s="1"/>
  <c r="C35" i="7"/>
  <c r="W35" i="4" l="1"/>
  <c r="X35" i="4"/>
  <c r="AY25" i="2"/>
  <c r="AW7" i="2"/>
  <c r="Z51" i="2"/>
  <c r="Z50" i="2"/>
  <c r="F51" i="2"/>
  <c r="F50" i="2"/>
  <c r="E53" i="7"/>
  <c r="D53" i="7"/>
  <c r="E54" i="7"/>
  <c r="D54" i="7"/>
  <c r="C54" i="7"/>
  <c r="C53" i="7"/>
  <c r="B54" i="7"/>
  <c r="B53" i="7"/>
  <c r="D21" i="7"/>
  <c r="E21" i="7"/>
  <c r="C21" i="7"/>
  <c r="K642" i="3"/>
  <c r="D51" i="7"/>
  <c r="E51" i="7"/>
  <c r="C51" i="7"/>
  <c r="D28" i="7"/>
  <c r="E28" i="7"/>
  <c r="D27" i="7"/>
  <c r="E27" i="7"/>
  <c r="D26" i="7"/>
  <c r="E26" i="7"/>
  <c r="D25" i="7"/>
  <c r="D24" i="7"/>
  <c r="E24" i="7"/>
  <c r="D22" i="7"/>
  <c r="E22" i="7"/>
  <c r="C22" i="7"/>
  <c r="C24" i="7"/>
  <c r="C25" i="7"/>
  <c r="C26" i="7"/>
  <c r="C27" i="7"/>
  <c r="C28" i="7"/>
  <c r="D20" i="7"/>
  <c r="E20" i="7"/>
  <c r="D19" i="7"/>
  <c r="E19" i="7"/>
  <c r="C19" i="7"/>
  <c r="D18" i="7"/>
  <c r="E18" i="7"/>
  <c r="D17" i="7"/>
  <c r="E17" i="7"/>
  <c r="D16" i="7"/>
  <c r="E16" i="7"/>
  <c r="E15" i="7"/>
  <c r="D15" i="7"/>
  <c r="D14" i="7"/>
  <c r="E14" i="7"/>
  <c r="C55" i="7"/>
  <c r="D55" i="7"/>
  <c r="E55" i="7"/>
  <c r="C52" i="7"/>
  <c r="D52" i="7"/>
  <c r="E52" i="7"/>
  <c r="D48" i="7"/>
  <c r="E48" i="7"/>
  <c r="C48" i="7"/>
  <c r="C49" i="7"/>
  <c r="D49" i="7"/>
  <c r="E49" i="7"/>
  <c r="C43" i="7"/>
  <c r="D43" i="7"/>
  <c r="E43" i="7"/>
  <c r="C41" i="7"/>
  <c r="D41" i="7"/>
  <c r="E41" i="7"/>
  <c r="C40" i="7"/>
  <c r="D40" i="7"/>
  <c r="E40" i="7"/>
  <c r="C39" i="7"/>
  <c r="D39" i="7"/>
  <c r="E39" i="7"/>
  <c r="C38" i="7"/>
  <c r="D38" i="7"/>
  <c r="E38" i="7"/>
  <c r="C37" i="7"/>
  <c r="D37" i="7"/>
  <c r="E37" i="7"/>
  <c r="D35" i="7"/>
  <c r="E35" i="7"/>
  <c r="C36" i="7"/>
  <c r="D36" i="7"/>
  <c r="E36" i="7"/>
  <c r="C18" i="7"/>
  <c r="C20" i="7"/>
  <c r="C17" i="7"/>
  <c r="C16" i="7"/>
  <c r="C15" i="7"/>
  <c r="C14" i="7"/>
  <c r="AY7" i="2" l="1"/>
  <c r="AX7" i="2"/>
  <c r="H13" i="11"/>
  <c r="H11" i="11" s="1"/>
  <c r="G13" i="11"/>
  <c r="G11" i="11" s="1"/>
  <c r="G8" i="4"/>
  <c r="F8" i="4"/>
  <c r="G17" i="4"/>
  <c r="E12" i="7"/>
  <c r="G12" i="4"/>
  <c r="E8" i="4"/>
  <c r="D8" i="4"/>
  <c r="O8" i="4" s="1"/>
  <c r="D16" i="4"/>
  <c r="O16" i="4" s="1"/>
  <c r="E19" i="4"/>
  <c r="F19" i="4"/>
  <c r="G19" i="4"/>
  <c r="D19" i="4"/>
  <c r="O19" i="4" s="1"/>
  <c r="E17" i="4"/>
  <c r="F17" i="4"/>
  <c r="D17" i="4"/>
  <c r="O17" i="4" s="1"/>
  <c r="E16" i="4"/>
  <c r="F16" i="4"/>
  <c r="G16" i="4"/>
  <c r="S34" i="4" s="1"/>
  <c r="D12" i="7"/>
  <c r="E12" i="4"/>
  <c r="F12" i="4"/>
  <c r="D12" i="4"/>
  <c r="O12" i="4" s="1"/>
  <c r="P30" i="4" l="1"/>
  <c r="Q30" i="4"/>
  <c r="P35" i="4"/>
  <c r="R30" i="4"/>
  <c r="S30" i="4"/>
  <c r="R35" i="4"/>
  <c r="S35" i="4"/>
  <c r="Q35" i="4"/>
  <c r="Q37" i="4"/>
  <c r="R37" i="4"/>
  <c r="S37" i="4"/>
  <c r="P37" i="4"/>
  <c r="P26" i="4"/>
  <c r="Q26" i="4"/>
  <c r="R26" i="4"/>
  <c r="S26" i="4"/>
  <c r="J64" i="9"/>
  <c r="J65" i="9" s="1"/>
  <c r="G26" i="9"/>
  <c r="G28" i="9" s="1"/>
  <c r="G31" i="9" s="1"/>
  <c r="G32" i="9" s="1"/>
  <c r="H64" i="9"/>
  <c r="H65" i="9" s="1"/>
  <c r="G17" i="9"/>
  <c r="G19" i="9" s="1"/>
  <c r="G22" i="9" s="1"/>
  <c r="G23" i="9" s="1"/>
  <c r="I26" i="9"/>
  <c r="I28" i="9" s="1"/>
  <c r="I31" i="9" s="1"/>
  <c r="I32" i="9" s="1"/>
  <c r="I17" i="9"/>
  <c r="I19" i="9" s="1"/>
  <c r="I22" i="9" s="1"/>
  <c r="I23" i="9" s="1"/>
  <c r="H26" i="9"/>
  <c r="H28" i="9" s="1"/>
  <c r="H31" i="9" s="1"/>
  <c r="H32" i="9" s="1"/>
  <c r="I64" i="9"/>
  <c r="I65" i="9" s="1"/>
  <c r="H17" i="9"/>
  <c r="H19" i="9" s="1"/>
  <c r="H22" i="9" s="1"/>
  <c r="H23" i="9" s="1"/>
  <c r="G64" i="9"/>
  <c r="G65" i="9" s="1"/>
  <c r="C10" i="7"/>
  <c r="C34" i="7"/>
  <c r="D10" i="7"/>
  <c r="E10" i="7"/>
  <c r="C33" i="7"/>
  <c r="C12" i="7"/>
  <c r="E33" i="7"/>
  <c r="D33" i="7"/>
  <c r="D9" i="4"/>
  <c r="O9" i="4" s="1"/>
  <c r="C44" i="7" l="1"/>
  <c r="D11" i="4"/>
  <c r="H97" i="3"/>
  <c r="G97" i="3"/>
  <c r="F97" i="3"/>
  <c r="E97" i="3"/>
  <c r="D13" i="4" l="1"/>
  <c r="O13" i="4" s="1"/>
  <c r="O11" i="4"/>
  <c r="E100" i="3"/>
  <c r="H18" i="2" s="1"/>
  <c r="H21" i="2" s="1"/>
  <c r="H22" i="2" s="1"/>
  <c r="H24" i="2" s="1"/>
  <c r="H26" i="2" s="1"/>
  <c r="H31" i="2" s="1"/>
  <c r="F100" i="3"/>
  <c r="I18" i="2" s="1"/>
  <c r="G100" i="3"/>
  <c r="J18" i="2" s="1"/>
  <c r="H100" i="3"/>
  <c r="K18" i="2" s="1"/>
  <c r="E18" i="2" s="1"/>
  <c r="AR18" i="2" l="1"/>
  <c r="J21" i="2"/>
  <c r="AQ18" i="2"/>
  <c r="I21" i="2"/>
  <c r="H37" i="2"/>
  <c r="H53" i="2"/>
  <c r="H54" i="2" s="1"/>
  <c r="AS18" i="2"/>
  <c r="AT18" i="2"/>
  <c r="K21" i="2"/>
  <c r="D14" i="4"/>
  <c r="O14" i="4" s="1"/>
  <c r="T18" i="2"/>
  <c r="Z21" i="2"/>
  <c r="Z18" i="2"/>
  <c r="G14" i="4"/>
  <c r="W18" i="2"/>
  <c r="F14" i="4"/>
  <c r="V18" i="2"/>
  <c r="E14" i="4"/>
  <c r="U18" i="2"/>
  <c r="P32" i="4" l="1"/>
  <c r="Q32" i="4"/>
  <c r="AQ21" i="2"/>
  <c r="I22" i="2"/>
  <c r="AA22" i="2" s="1"/>
  <c r="AR21" i="2"/>
  <c r="J22" i="2"/>
  <c r="AB22" i="2" s="1"/>
  <c r="K22" i="2"/>
  <c r="AC22" i="2" s="1"/>
  <c r="AT21" i="2"/>
  <c r="AS21" i="2"/>
  <c r="R32" i="4"/>
  <c r="S32" i="4"/>
  <c r="G89" i="9"/>
  <c r="E47" i="7"/>
  <c r="D11" i="7"/>
  <c r="H19" i="11"/>
  <c r="H21" i="11" s="1"/>
  <c r="I89" i="9"/>
  <c r="D47" i="7"/>
  <c r="E11" i="7"/>
  <c r="G19" i="11"/>
  <c r="G21" i="11" s="1"/>
  <c r="H89" i="9"/>
  <c r="C11" i="7"/>
  <c r="F19" i="11"/>
  <c r="F21" i="11" s="1"/>
  <c r="C47" i="7"/>
  <c r="R18" i="2"/>
  <c r="U25" i="2"/>
  <c r="F7" i="4"/>
  <c r="T25" i="2"/>
  <c r="E7" i="4"/>
  <c r="V25" i="2"/>
  <c r="G7" i="4"/>
  <c r="T4" i="2"/>
  <c r="R4" i="2" s="1"/>
  <c r="D15" i="4"/>
  <c r="P33" i="4" s="1"/>
  <c r="U3" i="2"/>
  <c r="V3" i="2"/>
  <c r="W3" i="2"/>
  <c r="E3" i="2"/>
  <c r="T3" i="2"/>
  <c r="AA29" i="2"/>
  <c r="G7" i="9"/>
  <c r="G9" i="9" s="1"/>
  <c r="G13" i="9" s="1"/>
  <c r="G14" i="9" s="1"/>
  <c r="G67" i="9" s="1"/>
  <c r="AC7" i="2"/>
  <c r="H7" i="9"/>
  <c r="H9" i="9" s="1"/>
  <c r="H13" i="9" s="1"/>
  <c r="H14" i="9" s="1"/>
  <c r="H67" i="9" s="1"/>
  <c r="G137" i="9"/>
  <c r="D26" i="10"/>
  <c r="D18" i="10"/>
  <c r="D17" i="10"/>
  <c r="D19" i="10"/>
  <c r="D22" i="10"/>
  <c r="D20" i="10"/>
  <c r="D16" i="10"/>
  <c r="D12" i="10"/>
  <c r="D15" i="10"/>
  <c r="D11" i="10"/>
  <c r="D10" i="10"/>
  <c r="D14" i="10"/>
  <c r="D13" i="10"/>
  <c r="D9" i="10"/>
  <c r="Z4" i="2"/>
  <c r="AA33" i="2"/>
  <c r="AA41" i="2"/>
  <c r="AA45" i="2"/>
  <c r="AA49" i="2"/>
  <c r="AA17" i="2"/>
  <c r="AA21" i="2"/>
  <c r="AA25" i="2"/>
  <c r="AA6" i="2"/>
  <c r="AA10" i="2"/>
  <c r="AA3" i="2"/>
  <c r="AA32" i="2"/>
  <c r="AA36" i="2"/>
  <c r="AA40" i="2"/>
  <c r="AA44" i="2"/>
  <c r="AA48" i="2"/>
  <c r="AA52" i="2"/>
  <c r="AA16" i="2"/>
  <c r="AA20" i="2"/>
  <c r="AA28" i="2"/>
  <c r="AA5" i="2"/>
  <c r="AA9" i="2"/>
  <c r="AA13" i="2"/>
  <c r="AA35" i="2"/>
  <c r="AA39" i="2"/>
  <c r="AA43" i="2"/>
  <c r="AA47" i="2"/>
  <c r="AA51" i="2"/>
  <c r="AA15" i="2"/>
  <c r="AA19" i="2"/>
  <c r="AA23" i="2"/>
  <c r="AA27" i="2"/>
  <c r="AA8" i="2"/>
  <c r="AA12" i="2"/>
  <c r="AA34" i="2"/>
  <c r="AA38" i="2"/>
  <c r="AA42" i="2"/>
  <c r="AA46" i="2"/>
  <c r="AA50" i="2"/>
  <c r="AA14" i="2"/>
  <c r="AA18" i="2"/>
  <c r="AA30" i="2"/>
  <c r="AA7" i="2"/>
  <c r="AA11" i="2"/>
  <c r="AA4" i="2"/>
  <c r="AC3" i="2"/>
  <c r="AC29" i="2"/>
  <c r="AC33" i="2"/>
  <c r="AC35" i="2"/>
  <c r="AC39" i="2"/>
  <c r="AC41" i="2"/>
  <c r="AC43" i="2"/>
  <c r="AC45" i="2"/>
  <c r="AC47" i="2"/>
  <c r="AC49" i="2"/>
  <c r="AC13" i="2"/>
  <c r="AC15" i="2"/>
  <c r="AC17" i="2"/>
  <c r="AC19" i="2"/>
  <c r="AC21" i="2"/>
  <c r="AC23" i="2"/>
  <c r="AC25" i="2"/>
  <c r="AC27" i="2"/>
  <c r="AC5" i="2"/>
  <c r="AC9" i="2"/>
  <c r="AC11" i="2"/>
  <c r="I7" i="9"/>
  <c r="I9" i="9" s="1"/>
  <c r="I13" i="9" s="1"/>
  <c r="I14" i="9" s="1"/>
  <c r="I67" i="9" s="1"/>
  <c r="AC28" i="2"/>
  <c r="AC30" i="2"/>
  <c r="AC32" i="2"/>
  <c r="AC34" i="2"/>
  <c r="AC36" i="2"/>
  <c r="AC38" i="2"/>
  <c r="AC40" i="2"/>
  <c r="AC42" i="2"/>
  <c r="AC44" i="2"/>
  <c r="AC46" i="2"/>
  <c r="AC48" i="2"/>
  <c r="AC52" i="2"/>
  <c r="AC12" i="2"/>
  <c r="AC14" i="2"/>
  <c r="AC16" i="2"/>
  <c r="AC18" i="2"/>
  <c r="AC20" i="2"/>
  <c r="AC6" i="2"/>
  <c r="AC8" i="2"/>
  <c r="AC10" i="2"/>
  <c r="AC4" i="2"/>
  <c r="AC51" i="2"/>
  <c r="AC50" i="2"/>
  <c r="AB28" i="2"/>
  <c r="AB30" i="2"/>
  <c r="AB32" i="2"/>
  <c r="AB34" i="2"/>
  <c r="AB36" i="2"/>
  <c r="AB38" i="2"/>
  <c r="AB40" i="2"/>
  <c r="AB42" i="2"/>
  <c r="AB44" i="2"/>
  <c r="AB46" i="2"/>
  <c r="AB48" i="2"/>
  <c r="AB52" i="2"/>
  <c r="AB12" i="2"/>
  <c r="AB14" i="2"/>
  <c r="AB16" i="2"/>
  <c r="AB18" i="2"/>
  <c r="AB20" i="2"/>
  <c r="AB6" i="2"/>
  <c r="AB8" i="2"/>
  <c r="AB10" i="2"/>
  <c r="AB29" i="2"/>
  <c r="AB33" i="2"/>
  <c r="AB35" i="2"/>
  <c r="AB39" i="2"/>
  <c r="AB41" i="2"/>
  <c r="AB43" i="2"/>
  <c r="AB45" i="2"/>
  <c r="AB47" i="2"/>
  <c r="AB49" i="2"/>
  <c r="AB13" i="2"/>
  <c r="AB15" i="2"/>
  <c r="AB17" i="2"/>
  <c r="AB19" i="2"/>
  <c r="AB21" i="2"/>
  <c r="AB23" i="2"/>
  <c r="AB25" i="2"/>
  <c r="AB27" i="2"/>
  <c r="AB5" i="2"/>
  <c r="AB7" i="2"/>
  <c r="AB9" i="2"/>
  <c r="AB11" i="2"/>
  <c r="AB3" i="2"/>
  <c r="AB4" i="2"/>
  <c r="AB51" i="2"/>
  <c r="AB50" i="2"/>
  <c r="J24" i="2" l="1"/>
  <c r="AR22" i="2"/>
  <c r="AQ22" i="2"/>
  <c r="I24" i="2"/>
  <c r="K24" i="2"/>
  <c r="AT22" i="2"/>
  <c r="AS22" i="2"/>
  <c r="G100" i="9"/>
  <c r="P25" i="4"/>
  <c r="AY18" i="2"/>
  <c r="AU4" i="2"/>
  <c r="S14" i="4"/>
  <c r="R25" i="4"/>
  <c r="S25" i="4"/>
  <c r="Q14" i="4"/>
  <c r="Q25" i="4"/>
  <c r="W20" i="2"/>
  <c r="S7" i="4"/>
  <c r="S10" i="4"/>
  <c r="S15" i="4"/>
  <c r="S8" i="4"/>
  <c r="S17" i="4"/>
  <c r="S12" i="4"/>
  <c r="S16" i="4"/>
  <c r="S19" i="4"/>
  <c r="V20" i="2"/>
  <c r="Q7" i="4"/>
  <c r="R7" i="4"/>
  <c r="R10" i="4"/>
  <c r="Q10" i="4"/>
  <c r="R15" i="4"/>
  <c r="Q15" i="4"/>
  <c r="Q12" i="4"/>
  <c r="R17" i="4"/>
  <c r="R16" i="4"/>
  <c r="Q8" i="4"/>
  <c r="R8" i="4"/>
  <c r="R12" i="4"/>
  <c r="Q19" i="4"/>
  <c r="Q16" i="4"/>
  <c r="Q17" i="4"/>
  <c r="R19" i="4"/>
  <c r="D18" i="4"/>
  <c r="D20" i="4" s="1"/>
  <c r="O20" i="4" s="1"/>
  <c r="O15" i="4"/>
  <c r="G104" i="9"/>
  <c r="P7" i="4"/>
  <c r="P10" i="4"/>
  <c r="P15" i="4"/>
  <c r="P16" i="4"/>
  <c r="P8" i="4"/>
  <c r="P12" i="4"/>
  <c r="P17" i="4"/>
  <c r="P19" i="4"/>
  <c r="R14" i="4"/>
  <c r="P14" i="4"/>
  <c r="AX18" i="2"/>
  <c r="G39" i="9"/>
  <c r="G41" i="9" s="1"/>
  <c r="G96" i="9"/>
  <c r="I104" i="9"/>
  <c r="I100" i="9"/>
  <c r="H96" i="9"/>
  <c r="H39" i="9"/>
  <c r="I39" i="9"/>
  <c r="I108" i="9"/>
  <c r="I44" i="9"/>
  <c r="I46" i="9" s="1"/>
  <c r="H108" i="9"/>
  <c r="H44" i="9"/>
  <c r="H46" i="9" s="1"/>
  <c r="H104" i="9"/>
  <c r="H35" i="9"/>
  <c r="H100" i="9"/>
  <c r="F9" i="4"/>
  <c r="E9" i="4"/>
  <c r="P27" i="4" s="1"/>
  <c r="K14" i="4"/>
  <c r="L14" i="4"/>
  <c r="N89" i="9" s="1"/>
  <c r="G9" i="4"/>
  <c r="I35" i="9"/>
  <c r="I96" i="9"/>
  <c r="G35" i="9"/>
  <c r="G37" i="9" s="1"/>
  <c r="G108" i="9"/>
  <c r="R3" i="2"/>
  <c r="K35" i="7" s="1"/>
  <c r="G44" i="9"/>
  <c r="G46" i="9" s="1"/>
  <c r="U20" i="2"/>
  <c r="D5" i="10"/>
  <c r="D7" i="10" s="1"/>
  <c r="I15" i="4"/>
  <c r="Z5" i="2"/>
  <c r="D23" i="10"/>
  <c r="M89" i="9" l="1"/>
  <c r="T33" i="4"/>
  <c r="W32" i="4"/>
  <c r="X32" i="4"/>
  <c r="J47" i="7"/>
  <c r="J11" i="7"/>
  <c r="I11" i="7"/>
  <c r="I47" i="7"/>
  <c r="G12" i="7"/>
  <c r="G33" i="7"/>
  <c r="O18" i="4"/>
  <c r="Q27" i="4"/>
  <c r="AQ24" i="2"/>
  <c r="I26" i="2"/>
  <c r="AA24" i="2"/>
  <c r="K26" i="2"/>
  <c r="AT24" i="2"/>
  <c r="AS24" i="2"/>
  <c r="AC24" i="2"/>
  <c r="AR24" i="2"/>
  <c r="J26" i="2"/>
  <c r="AB24" i="2"/>
  <c r="AV4" i="2"/>
  <c r="AU3" i="2"/>
  <c r="R27" i="4"/>
  <c r="S27" i="4"/>
  <c r="I99" i="9"/>
  <c r="I101" i="9" s="1"/>
  <c r="S9" i="4"/>
  <c r="H99" i="9"/>
  <c r="H101" i="9" s="1"/>
  <c r="Q9" i="4"/>
  <c r="R9" i="4"/>
  <c r="G99" i="9"/>
  <c r="G101" i="9" s="1"/>
  <c r="P9" i="4"/>
  <c r="AV3" i="2"/>
  <c r="M5" i="2"/>
  <c r="E11" i="4"/>
  <c r="P29" i="4" s="1"/>
  <c r="F11" i="4"/>
  <c r="D24" i="10"/>
  <c r="G11" i="4"/>
  <c r="J15" i="4"/>
  <c r="U33" i="4" s="1"/>
  <c r="Z22" i="2"/>
  <c r="I14" i="6" l="1"/>
  <c r="I27" i="6"/>
  <c r="H12" i="7"/>
  <c r="H33" i="7"/>
  <c r="AU5" i="2"/>
  <c r="K31" i="2"/>
  <c r="AT26" i="2"/>
  <c r="AS26" i="2"/>
  <c r="D27" i="10"/>
  <c r="H23" i="11"/>
  <c r="H24" i="11" s="1"/>
  <c r="H25" i="11" s="1"/>
  <c r="E6" i="7"/>
  <c r="E9" i="7" s="1"/>
  <c r="E13" i="7" s="1"/>
  <c r="E29" i="7" s="1"/>
  <c r="AC26" i="2"/>
  <c r="AQ26" i="2"/>
  <c r="I31" i="2"/>
  <c r="F23" i="11"/>
  <c r="F24" i="11" s="1"/>
  <c r="F25" i="11" s="1"/>
  <c r="C6" i="7"/>
  <c r="C9" i="7" s="1"/>
  <c r="C13" i="7" s="1"/>
  <c r="C29" i="7" s="1"/>
  <c r="AA26" i="2"/>
  <c r="J31" i="2"/>
  <c r="AR26" i="2"/>
  <c r="G23" i="11"/>
  <c r="G24" i="11" s="1"/>
  <c r="G25" i="11" s="1"/>
  <c r="AB26" i="2"/>
  <c r="D6" i="7"/>
  <c r="D9" i="7" s="1"/>
  <c r="D13" i="7" s="1"/>
  <c r="D29" i="7" s="1"/>
  <c r="Q29" i="4"/>
  <c r="AW4" i="2"/>
  <c r="R29" i="4"/>
  <c r="S29" i="4"/>
  <c r="G13" i="4"/>
  <c r="S11" i="4"/>
  <c r="F13" i="4"/>
  <c r="R11" i="4"/>
  <c r="Q11" i="4"/>
  <c r="E13" i="4"/>
  <c r="P11" i="4"/>
  <c r="AW3" i="2"/>
  <c r="N5" i="2"/>
  <c r="I7" i="4"/>
  <c r="J7" i="4"/>
  <c r="AF6" i="2"/>
  <c r="AF34" i="2"/>
  <c r="AF38" i="2"/>
  <c r="AF42" i="2"/>
  <c r="AF46" i="2"/>
  <c r="AF3" i="2"/>
  <c r="AE15" i="2"/>
  <c r="AE23" i="2"/>
  <c r="AE35" i="2"/>
  <c r="AE39" i="2"/>
  <c r="AE43" i="2"/>
  <c r="AE47" i="2"/>
  <c r="AF15" i="2"/>
  <c r="AF23" i="2"/>
  <c r="AF35" i="2"/>
  <c r="AF39" i="2"/>
  <c r="AF43" i="2"/>
  <c r="AF47" i="2"/>
  <c r="AE16" i="2"/>
  <c r="AE32" i="2"/>
  <c r="AE36" i="2"/>
  <c r="AE40" i="2"/>
  <c r="AE44" i="2"/>
  <c r="AE48" i="2"/>
  <c r="AE52" i="2"/>
  <c r="AF17" i="2"/>
  <c r="AF33" i="2"/>
  <c r="AF41" i="2"/>
  <c r="AF49" i="2"/>
  <c r="AE6" i="2"/>
  <c r="AE38" i="2"/>
  <c r="AE46" i="2"/>
  <c r="AE3" i="2"/>
  <c r="AF48" i="2"/>
  <c r="AF36" i="2"/>
  <c r="AF44" i="2"/>
  <c r="AF52" i="2"/>
  <c r="AE17" i="2"/>
  <c r="AE33" i="2"/>
  <c r="AE41" i="2"/>
  <c r="AE49" i="2"/>
  <c r="AF32" i="2"/>
  <c r="AE37" i="2"/>
  <c r="AF37" i="2"/>
  <c r="AF45" i="2"/>
  <c r="AE34" i="2"/>
  <c r="AE42" i="2"/>
  <c r="AF16" i="2"/>
  <c r="AF40" i="2"/>
  <c r="AE45" i="2"/>
  <c r="AE25" i="2"/>
  <c r="AF25" i="2"/>
  <c r="AE7" i="2"/>
  <c r="AF7" i="2"/>
  <c r="AF4" i="2"/>
  <c r="AE4" i="2"/>
  <c r="K15" i="4"/>
  <c r="Z24" i="2"/>
  <c r="K100" i="9" l="1"/>
  <c r="K104" i="9"/>
  <c r="K35" i="9"/>
  <c r="K39" i="9"/>
  <c r="K44" i="9"/>
  <c r="K96" i="9"/>
  <c r="K108" i="9"/>
  <c r="L35" i="9"/>
  <c r="L39" i="9"/>
  <c r="L44" i="9"/>
  <c r="L96" i="9"/>
  <c r="L108" i="9"/>
  <c r="L100" i="9"/>
  <c r="L104" i="9"/>
  <c r="T25" i="4"/>
  <c r="U25" i="4"/>
  <c r="V33" i="4"/>
  <c r="C11" i="18"/>
  <c r="C13" i="18" s="1"/>
  <c r="C15" i="18" s="1"/>
  <c r="J14" i="6"/>
  <c r="H40" i="7" s="1"/>
  <c r="J27" i="6"/>
  <c r="G17" i="7"/>
  <c r="T95" i="6"/>
  <c r="T82" i="6"/>
  <c r="G40" i="7"/>
  <c r="H115" i="9"/>
  <c r="D11" i="18"/>
  <c r="D13" i="18" s="1"/>
  <c r="D15" i="18" s="1"/>
  <c r="I119" i="9"/>
  <c r="E11" i="18"/>
  <c r="E13" i="18" s="1"/>
  <c r="E15" i="18" s="1"/>
  <c r="V15" i="4"/>
  <c r="I12" i="7"/>
  <c r="I33" i="7"/>
  <c r="AV5" i="2"/>
  <c r="J57" i="2"/>
  <c r="J58" i="2"/>
  <c r="I57" i="2"/>
  <c r="I58" i="2"/>
  <c r="K58" i="2"/>
  <c r="K57" i="2"/>
  <c r="AG41" i="2"/>
  <c r="AG16" i="2"/>
  <c r="M22" i="11"/>
  <c r="M31" i="11"/>
  <c r="L22" i="11"/>
  <c r="L31" i="11"/>
  <c r="J37" i="2"/>
  <c r="J53" i="2"/>
  <c r="AR31" i="2"/>
  <c r="AB31" i="2"/>
  <c r="I53" i="2"/>
  <c r="AQ31" i="2"/>
  <c r="I37" i="2"/>
  <c r="G136" i="9"/>
  <c r="G138" i="9" s="1"/>
  <c r="AA31" i="2"/>
  <c r="N31" i="11"/>
  <c r="N22" i="11"/>
  <c r="K37" i="2"/>
  <c r="K53" i="2"/>
  <c r="AT31" i="2"/>
  <c r="AS31" i="2"/>
  <c r="AC31" i="2"/>
  <c r="G115" i="9"/>
  <c r="G117" i="9" s="1"/>
  <c r="P31" i="4"/>
  <c r="AY4" i="2"/>
  <c r="AX4" i="2"/>
  <c r="H119" i="9"/>
  <c r="Q31" i="4"/>
  <c r="I88" i="9"/>
  <c r="I90" i="9" s="1"/>
  <c r="G18" i="4"/>
  <c r="I107" i="9" s="1"/>
  <c r="I109" i="9" s="1"/>
  <c r="R31" i="4"/>
  <c r="S31" i="4"/>
  <c r="I115" i="9"/>
  <c r="H123" i="9"/>
  <c r="H88" i="9"/>
  <c r="H90" i="9" s="1"/>
  <c r="I103" i="9"/>
  <c r="I105" i="9" s="1"/>
  <c r="S13" i="4"/>
  <c r="I123" i="9"/>
  <c r="K10" i="4"/>
  <c r="V7" i="4"/>
  <c r="V16" i="4"/>
  <c r="V17" i="4"/>
  <c r="AF20" i="2"/>
  <c r="U7" i="4"/>
  <c r="U16" i="4"/>
  <c r="U17" i="4"/>
  <c r="U15" i="4"/>
  <c r="F18" i="4"/>
  <c r="H103" i="9"/>
  <c r="H105" i="9" s="1"/>
  <c r="Q13" i="4"/>
  <c r="R13" i="4"/>
  <c r="G119" i="9"/>
  <c r="G121" i="9" s="1"/>
  <c r="P13" i="4"/>
  <c r="G123" i="9"/>
  <c r="G125" i="9" s="1"/>
  <c r="G103" i="9"/>
  <c r="G105" i="9" s="1"/>
  <c r="G88" i="9"/>
  <c r="G90" i="9" s="1"/>
  <c r="E18" i="4"/>
  <c r="E20" i="4" s="1"/>
  <c r="AX3" i="2"/>
  <c r="O5" i="2"/>
  <c r="AG37" i="2"/>
  <c r="AG44" i="2"/>
  <c r="AG46" i="2"/>
  <c r="AG47" i="2"/>
  <c r="AG7" i="2"/>
  <c r="AG36" i="2"/>
  <c r="AG48" i="2"/>
  <c r="AG42" i="2"/>
  <c r="AG43" i="2"/>
  <c r="AG4" i="2"/>
  <c r="AG45" i="2"/>
  <c r="AG49" i="2"/>
  <c r="AG18" i="2"/>
  <c r="AG33" i="2"/>
  <c r="AG40" i="2"/>
  <c r="AG3" i="2"/>
  <c r="AG38" i="2"/>
  <c r="AG35" i="2"/>
  <c r="AG15" i="2"/>
  <c r="AG25" i="2"/>
  <c r="AG52" i="2"/>
  <c r="AG17" i="2"/>
  <c r="AG32" i="2"/>
  <c r="AG34" i="2"/>
  <c r="K7" i="4"/>
  <c r="AG6" i="2"/>
  <c r="AG39" i="2"/>
  <c r="AG23" i="2"/>
  <c r="AF5" i="2"/>
  <c r="AE5" i="2"/>
  <c r="L15" i="4"/>
  <c r="X33" i="4" s="1"/>
  <c r="Z26" i="2"/>
  <c r="M35" i="9" l="1"/>
  <c r="M39" i="9"/>
  <c r="M44" i="9"/>
  <c r="M96" i="9"/>
  <c r="M108" i="9"/>
  <c r="M100" i="9"/>
  <c r="M104" i="9"/>
  <c r="W33" i="4"/>
  <c r="V25" i="4"/>
  <c r="P37" i="11"/>
  <c r="P38" i="11" s="1"/>
  <c r="K54" i="2"/>
  <c r="L37" i="11"/>
  <c r="L38" i="11" s="1"/>
  <c r="I54" i="2"/>
  <c r="K27" i="6"/>
  <c r="I17" i="7" s="1"/>
  <c r="K14" i="6"/>
  <c r="I40" i="7" s="1"/>
  <c r="N37" i="11"/>
  <c r="N38" i="11" s="1"/>
  <c r="J54" i="2"/>
  <c r="H17" i="7"/>
  <c r="W15" i="4"/>
  <c r="J12" i="7"/>
  <c r="J33" i="7"/>
  <c r="M57" i="2"/>
  <c r="AW5" i="2"/>
  <c r="M58" i="2"/>
  <c r="AH4" i="2"/>
  <c r="G20" i="4"/>
  <c r="I111" i="9" s="1"/>
  <c r="AG5" i="2"/>
  <c r="AH40" i="2"/>
  <c r="AG20" i="2"/>
  <c r="AH46" i="2"/>
  <c r="J10" i="4"/>
  <c r="V28" i="4" s="1"/>
  <c r="AQ37" i="2"/>
  <c r="AA37" i="2"/>
  <c r="AT53" i="2"/>
  <c r="AS53" i="2"/>
  <c r="H8" i="11"/>
  <c r="H9" i="11" s="1"/>
  <c r="AC53" i="2"/>
  <c r="E50" i="7"/>
  <c r="E56" i="7" s="1"/>
  <c r="AQ53" i="2"/>
  <c r="C50" i="7"/>
  <c r="C56" i="7" s="1"/>
  <c r="C58" i="7" s="1"/>
  <c r="C60" i="7" s="1"/>
  <c r="C62" i="7" s="1"/>
  <c r="AA53" i="2"/>
  <c r="F8" i="11"/>
  <c r="F9" i="11" s="1"/>
  <c r="AR53" i="2"/>
  <c r="G8" i="11"/>
  <c r="G9" i="11" s="1"/>
  <c r="AB53" i="2"/>
  <c r="D50" i="7"/>
  <c r="D56" i="7" s="1"/>
  <c r="AT37" i="2"/>
  <c r="AS37" i="2"/>
  <c r="AC37" i="2"/>
  <c r="AR37" i="2"/>
  <c r="AB37" i="2"/>
  <c r="AH34" i="2"/>
  <c r="AH15" i="2"/>
  <c r="P38" i="4"/>
  <c r="P36" i="4"/>
  <c r="Q36" i="4"/>
  <c r="R36" i="4"/>
  <c r="S36" i="4"/>
  <c r="S18" i="4"/>
  <c r="L10" i="4"/>
  <c r="X28" i="4" s="1"/>
  <c r="W7" i="4"/>
  <c r="W16" i="4"/>
  <c r="W17" i="4"/>
  <c r="W14" i="4"/>
  <c r="F20" i="4"/>
  <c r="H107" i="9"/>
  <c r="H109" i="9" s="1"/>
  <c r="Q18" i="4"/>
  <c r="R18" i="4"/>
  <c r="W10" i="4"/>
  <c r="G142" i="9"/>
  <c r="P18" i="4"/>
  <c r="G107" i="9"/>
  <c r="G109" i="9" s="1"/>
  <c r="AI17" i="2"/>
  <c r="P5" i="2"/>
  <c r="AH3" i="2"/>
  <c r="AH49" i="2"/>
  <c r="AH47" i="2"/>
  <c r="AH7" i="2"/>
  <c r="AH41" i="2"/>
  <c r="AH38" i="2"/>
  <c r="AH43" i="2"/>
  <c r="AH52" i="2"/>
  <c r="AH36" i="2"/>
  <c r="AH16" i="2"/>
  <c r="AH18" i="2"/>
  <c r="AH25" i="2"/>
  <c r="AH42" i="2"/>
  <c r="AH33" i="2"/>
  <c r="AH45" i="2"/>
  <c r="AH6" i="2"/>
  <c r="AH39" i="2"/>
  <c r="AH23" i="2"/>
  <c r="AH48" i="2"/>
  <c r="AH32" i="2"/>
  <c r="L7" i="4"/>
  <c r="AH17" i="2"/>
  <c r="AH37" i="2"/>
  <c r="AH35" i="2"/>
  <c r="AH44" i="2"/>
  <c r="AE20" i="2"/>
  <c r="Z37" i="2"/>
  <c r="Z31" i="2"/>
  <c r="Z53" i="2"/>
  <c r="W28" i="4" l="1"/>
  <c r="N104" i="9"/>
  <c r="N35" i="9"/>
  <c r="N39" i="9"/>
  <c r="N44" i="9"/>
  <c r="N96" i="9"/>
  <c r="N108" i="9"/>
  <c r="N100" i="9"/>
  <c r="X25" i="4"/>
  <c r="W25" i="4"/>
  <c r="L27" i="6"/>
  <c r="J17" i="7" s="1"/>
  <c r="L14" i="6"/>
  <c r="I95" i="9"/>
  <c r="I97" i="9" s="1"/>
  <c r="P13" i="2"/>
  <c r="I127" i="9"/>
  <c r="I129" i="9" s="1"/>
  <c r="S38" i="4"/>
  <c r="S20" i="4"/>
  <c r="V10" i="4"/>
  <c r="G141" i="9"/>
  <c r="G143" i="9" s="1"/>
  <c r="P20" i="4"/>
  <c r="G95" i="9"/>
  <c r="G97" i="9" s="1"/>
  <c r="Q38" i="4"/>
  <c r="G111" i="9"/>
  <c r="G113" i="9" s="1"/>
  <c r="G127" i="9"/>
  <c r="G129" i="9" s="1"/>
  <c r="Q5" i="2"/>
  <c r="AY3" i="2"/>
  <c r="AH5" i="2"/>
  <c r="AX5" i="2"/>
  <c r="Q20" i="4"/>
  <c r="R38" i="4"/>
  <c r="H127" i="9"/>
  <c r="H129" i="9" s="1"/>
  <c r="H111" i="9"/>
  <c r="AI20" i="2"/>
  <c r="X7" i="4"/>
  <c r="X16" i="4"/>
  <c r="X17" i="4"/>
  <c r="X14" i="4"/>
  <c r="R20" i="4"/>
  <c r="H95" i="9"/>
  <c r="H97" i="9" s="1"/>
  <c r="X15" i="4"/>
  <c r="X10" i="4"/>
  <c r="AI48" i="2"/>
  <c r="AI41" i="2"/>
  <c r="AI34" i="2"/>
  <c r="AH20" i="2"/>
  <c r="AI43" i="2"/>
  <c r="AI36" i="2"/>
  <c r="AI23" i="2"/>
  <c r="AI7" i="2"/>
  <c r="AI35" i="2"/>
  <c r="AI32" i="2"/>
  <c r="AI37" i="2"/>
  <c r="AI39" i="2"/>
  <c r="AI52" i="2"/>
  <c r="AI16" i="2"/>
  <c r="AI46" i="2"/>
  <c r="AI47" i="2"/>
  <c r="AI15" i="2"/>
  <c r="AI44" i="2"/>
  <c r="AI49" i="2"/>
  <c r="AI33" i="2"/>
  <c r="AI6" i="2"/>
  <c r="AI18" i="2"/>
  <c r="AI25" i="2"/>
  <c r="AI38" i="2"/>
  <c r="AI42" i="2"/>
  <c r="AI3" i="2"/>
  <c r="AI40" i="2"/>
  <c r="AI45" i="2"/>
  <c r="AI4" i="2"/>
  <c r="P984" i="3"/>
  <c r="P985" i="3"/>
  <c r="P983" i="3"/>
  <c r="P982" i="3"/>
  <c r="O986" i="3"/>
  <c r="P981" i="3"/>
  <c r="Q13" i="2" l="1"/>
  <c r="M27" i="6"/>
  <c r="K17" i="7" s="1"/>
  <c r="M14" i="6"/>
  <c r="K40" i="7" s="1"/>
  <c r="J40" i="7"/>
  <c r="G7" i="11"/>
  <c r="G10" i="11" s="1"/>
  <c r="G12" i="11" s="1"/>
  <c r="G16" i="11" s="1"/>
  <c r="M30" i="11" s="1"/>
  <c r="N36" i="11"/>
  <c r="O35" i="11" s="1"/>
  <c r="O42" i="11" s="1"/>
  <c r="O44" i="11" s="1"/>
  <c r="F7" i="11"/>
  <c r="F10" i="11" s="1"/>
  <c r="F12" i="11" s="1"/>
  <c r="F16" i="11" s="1"/>
  <c r="L21" i="11" s="1"/>
  <c r="L36" i="11"/>
  <c r="M35" i="11" s="1"/>
  <c r="M42" i="11" s="1"/>
  <c r="M44" i="11" s="1"/>
  <c r="H7" i="11"/>
  <c r="H10" i="11" s="1"/>
  <c r="H12" i="11" s="1"/>
  <c r="H16" i="11" s="1"/>
  <c r="N21" i="11" s="1"/>
  <c r="P36" i="11"/>
  <c r="Q35" i="11" s="1"/>
  <c r="Q42" i="11" s="1"/>
  <c r="Q44" i="11" s="1"/>
  <c r="P986" i="3"/>
  <c r="H8" i="6" s="1"/>
  <c r="AY5" i="2"/>
  <c r="AI5" i="2"/>
  <c r="M21" i="11" l="1"/>
  <c r="L30" i="11"/>
  <c r="N30" i="11"/>
  <c r="J8" i="6"/>
  <c r="K8" i="6"/>
  <c r="L8" i="6"/>
  <c r="M8" i="6"/>
  <c r="F37" i="7"/>
  <c r="S76" i="6"/>
  <c r="I8" i="6"/>
  <c r="H37" i="7" l="1"/>
  <c r="K37" i="7"/>
  <c r="J37" i="7"/>
  <c r="I37" i="7"/>
  <c r="T76" i="6"/>
  <c r="G37" i="7"/>
  <c r="D25" i="13" l="1"/>
  <c r="E25" i="13"/>
  <c r="G25" i="13"/>
  <c r="F25" i="13"/>
  <c r="C25" i="13"/>
  <c r="D29" i="13"/>
  <c r="C29" i="13"/>
  <c r="F29" i="13"/>
  <c r="E29" i="13"/>
  <c r="G29" i="13"/>
  <c r="Q81" i="13"/>
  <c r="Q92" i="13" s="1"/>
  <c r="Q98" i="13" s="1"/>
  <c r="N25" i="13"/>
  <c r="O25" i="13"/>
  <c r="Q25" i="13"/>
  <c r="P25" i="13"/>
  <c r="M25" i="13"/>
  <c r="AT22" i="13"/>
  <c r="U25" i="13"/>
  <c r="U37" i="13"/>
  <c r="U49" i="13"/>
  <c r="P37" i="13"/>
  <c r="P49" i="13"/>
  <c r="Q37" i="13"/>
  <c r="N37" i="13"/>
  <c r="R25" i="13"/>
  <c r="R37" i="13"/>
  <c r="S25" i="13"/>
  <c r="S37" i="13"/>
  <c r="S49" i="13"/>
  <c r="S81" i="13"/>
  <c r="S92" i="13" s="1"/>
  <c r="S98" i="13" s="1"/>
  <c r="T81" i="13"/>
  <c r="U81" i="13"/>
  <c r="U92" i="13" s="1"/>
  <c r="U98" i="13" s="1"/>
  <c r="S29" i="13"/>
  <c r="S41" i="13"/>
  <c r="S53" i="13"/>
  <c r="Q29" i="13"/>
  <c r="Q41" i="13"/>
  <c r="Q53" i="13"/>
  <c r="M37" i="13"/>
  <c r="V25" i="13"/>
  <c r="V37" i="13"/>
  <c r="V49" i="13"/>
  <c r="U29" i="13"/>
  <c r="U41" i="13"/>
  <c r="U53" i="13"/>
  <c r="V29" i="13"/>
  <c r="V41" i="13"/>
  <c r="V53" i="13"/>
  <c r="N49" i="13"/>
  <c r="O37" i="13"/>
  <c r="O49" i="13"/>
  <c r="M29" i="13"/>
  <c r="M41" i="13"/>
  <c r="M53" i="13"/>
  <c r="T25" i="13"/>
  <c r="T37" i="13"/>
  <c r="T49" i="13"/>
  <c r="R29" i="13"/>
  <c r="R41" i="13"/>
  <c r="R53" i="13"/>
  <c r="O29" i="13"/>
  <c r="O41" i="13"/>
  <c r="O53" i="13"/>
  <c r="O81" i="13"/>
  <c r="O92" i="13" s="1"/>
  <c r="O98" i="13" s="1"/>
  <c r="AW22" i="13"/>
  <c r="AR22" i="13"/>
  <c r="N29" i="13"/>
  <c r="AT26" i="13"/>
  <c r="P29" i="13"/>
  <c r="AY58" i="13"/>
  <c r="R49" i="13"/>
  <c r="Q49" i="13"/>
  <c r="P41" i="13"/>
  <c r="P53" i="13"/>
  <c r="AY26" i="13"/>
  <c r="T29" i="13"/>
  <c r="T41" i="13"/>
  <c r="T53" i="13"/>
  <c r="M49" i="13"/>
  <c r="N41" i="13"/>
  <c r="N53" i="13"/>
  <c r="P81" i="13"/>
  <c r="P92" i="13" s="1"/>
  <c r="P98" i="13" s="1"/>
  <c r="AX22" i="13"/>
  <c r="AS22" i="13"/>
  <c r="N81" i="13"/>
  <c r="N92" i="13" s="1"/>
  <c r="N98" i="13" s="1"/>
  <c r="AQ22" i="13"/>
  <c r="AY22" i="13"/>
  <c r="AT58" i="13"/>
  <c r="AW58" i="13"/>
  <c r="AR58" i="13"/>
  <c r="W81" i="13"/>
  <c r="W92" i="13" s="1"/>
  <c r="W98" i="13" s="1"/>
  <c r="AZ22" i="13"/>
  <c r="H81" i="13"/>
  <c r="H92" i="13" s="1"/>
  <c r="H98" i="13" s="1"/>
  <c r="AK22" i="13"/>
  <c r="X81" i="13"/>
  <c r="X92" i="13" s="1"/>
  <c r="X98" i="13" s="1"/>
  <c r="BA26" i="13"/>
  <c r="AV26" i="13"/>
  <c r="AQ26" i="13"/>
  <c r="AU58" i="13"/>
  <c r="AP58" i="13"/>
  <c r="K81" i="13"/>
  <c r="K92" i="13" s="1"/>
  <c r="K98" i="13" s="1"/>
  <c r="AN22" i="13"/>
  <c r="AZ26" i="13"/>
  <c r="AK26" i="13"/>
  <c r="AX58" i="13"/>
  <c r="AS58" i="13"/>
  <c r="AX26" i="13"/>
  <c r="AS26" i="13"/>
  <c r="AN26" i="13"/>
  <c r="BA22" i="13"/>
  <c r="AV22" i="13"/>
  <c r="AW26" i="13"/>
  <c r="AR26" i="13"/>
  <c r="AV58" i="13"/>
  <c r="AQ58" i="13"/>
  <c r="Y50" i="13"/>
  <c r="BB50" i="13" s="1"/>
  <c r="Z50" i="13"/>
  <c r="BC50" i="13" s="1"/>
  <c r="BD11" i="13"/>
  <c r="Y62" i="13"/>
  <c r="Z62" i="13"/>
  <c r="BC62" i="13" s="1"/>
  <c r="Y54" i="13"/>
  <c r="BB54" i="13" s="1"/>
  <c r="Z54" i="13"/>
  <c r="BC54" i="13" s="1"/>
  <c r="BB15" i="13"/>
  <c r="BC15" i="13"/>
  <c r="BD15" i="13"/>
  <c r="BB66" i="13"/>
  <c r="Y30" i="13"/>
  <c r="Z30" i="13"/>
  <c r="BC30" i="13" s="1"/>
  <c r="Y38" i="13"/>
  <c r="BB38" i="13" s="1"/>
  <c r="Z38" i="13"/>
  <c r="BC38" i="13" s="1"/>
  <c r="Y34" i="13"/>
  <c r="Y35" i="13" s="1"/>
  <c r="Z34" i="13"/>
  <c r="BC34" i="13" s="1"/>
  <c r="Y12" i="13"/>
  <c r="Z12" i="13"/>
  <c r="AQ42" i="13"/>
  <c r="AR42" i="13"/>
  <c r="BE42" i="13" s="1"/>
  <c r="Y42" i="13" s="1"/>
  <c r="Y44" i="13" s="1"/>
  <c r="AS42" i="13"/>
  <c r="BF42" i="13" s="1"/>
  <c r="Z42" i="13" s="1"/>
  <c r="Z44" i="13" s="1"/>
  <c r="N63" i="13"/>
  <c r="O63" i="13"/>
  <c r="P63" i="13"/>
  <c r="R63" i="13"/>
  <c r="N67" i="13"/>
  <c r="O67" i="13"/>
  <c r="P67" i="13"/>
  <c r="R67" i="13"/>
  <c r="S67" i="13"/>
  <c r="N71" i="13"/>
  <c r="O71" i="13"/>
  <c r="P71" i="13"/>
  <c r="R71" i="13"/>
  <c r="S71" i="13"/>
  <c r="T71" i="13"/>
  <c r="Y46" i="13"/>
  <c r="Z46" i="13"/>
  <c r="Z48" i="13" s="1"/>
  <c r="Y91" i="13"/>
  <c r="Z91" i="13"/>
  <c r="AA91" i="13"/>
  <c r="W14" i="13"/>
  <c r="X14" i="13"/>
  <c r="Y14" i="13"/>
  <c r="Z14" i="13"/>
  <c r="AA14" i="13"/>
  <c r="BB70" i="13"/>
  <c r="Y48" i="13" l="1"/>
  <c r="AA46" i="13"/>
  <c r="M12" i="2" s="1"/>
  <c r="BE58" i="13"/>
  <c r="BE22" i="13"/>
  <c r="Y22" i="13" s="1"/>
  <c r="BE26" i="13"/>
  <c r="Y26" i="13" s="1"/>
  <c r="BB26" i="13" s="1"/>
  <c r="AA30" i="13"/>
  <c r="BD30" i="13" s="1"/>
  <c r="BF22" i="13"/>
  <c r="Z22" i="13" s="1"/>
  <c r="AA50" i="13"/>
  <c r="BF26" i="13"/>
  <c r="Z26" i="13" s="1"/>
  <c r="AA26" i="13" s="1"/>
  <c r="BF58" i="13"/>
  <c r="BC58" i="13" s="1"/>
  <c r="V81" i="13"/>
  <c r="V92" i="13" s="1"/>
  <c r="BB34" i="13"/>
  <c r="AA66" i="13"/>
  <c r="M19" i="2" s="1"/>
  <c r="G14" i="18" s="1"/>
  <c r="AA62" i="13"/>
  <c r="Z56" i="13"/>
  <c r="Z64" i="13" s="1"/>
  <c r="Z72" i="13" s="1"/>
  <c r="Z85" i="13" s="1"/>
  <c r="BB30" i="13"/>
  <c r="AA54" i="13"/>
  <c r="T92" i="13"/>
  <c r="T98" i="13" s="1"/>
  <c r="V98" i="13" s="1"/>
  <c r="BB62" i="13"/>
  <c r="Y56" i="13"/>
  <c r="Y64" i="13" s="1"/>
  <c r="Y72" i="13" s="1"/>
  <c r="Y85" i="13" s="1"/>
  <c r="Z39" i="13"/>
  <c r="BC42" i="13"/>
  <c r="Y52" i="13"/>
  <c r="AA42" i="13"/>
  <c r="M11" i="2" s="1"/>
  <c r="BB42" i="13"/>
  <c r="BB46" i="13"/>
  <c r="AA34" i="13"/>
  <c r="M9" i="2" s="1"/>
  <c r="Z40" i="13"/>
  <c r="Y39" i="13"/>
  <c r="Y40" i="13"/>
  <c r="BC46" i="13"/>
  <c r="AA38" i="13"/>
  <c r="M10" i="2" s="1"/>
  <c r="Z24" i="13" l="1"/>
  <c r="BC22" i="13"/>
  <c r="AA22" i="13"/>
  <c r="Y24" i="13"/>
  <c r="BB22" i="13"/>
  <c r="AU10" i="2"/>
  <c r="AU9" i="2"/>
  <c r="BD62" i="13"/>
  <c r="M18" i="2"/>
  <c r="AU12" i="2"/>
  <c r="AU19" i="2"/>
  <c r="I12" i="4"/>
  <c r="T30" i="4" s="1"/>
  <c r="BD26" i="13"/>
  <c r="M8" i="2"/>
  <c r="BD54" i="13"/>
  <c r="M13" i="2"/>
  <c r="BD50" i="13"/>
  <c r="M14" i="2"/>
  <c r="AU11" i="2"/>
  <c r="Y27" i="13"/>
  <c r="AA58" i="13"/>
  <c r="BB58" i="13"/>
  <c r="Y60" i="13"/>
  <c r="Y68" i="13" s="1"/>
  <c r="Y28" i="13"/>
  <c r="Y36" i="13" s="1"/>
  <c r="Y74" i="13"/>
  <c r="Y76" i="13" s="1"/>
  <c r="Y81" i="13" s="1"/>
  <c r="BC26" i="13"/>
  <c r="Z74" i="13"/>
  <c r="Z76" i="13" s="1"/>
  <c r="Z81" i="13" s="1"/>
  <c r="Z28" i="13"/>
  <c r="Z36" i="13" s="1"/>
  <c r="Z52" i="13" s="1"/>
  <c r="Z60" i="13" s="1"/>
  <c r="Z68" i="13" s="1"/>
  <c r="Z27" i="13"/>
  <c r="Y45" i="13"/>
  <c r="X45" i="13"/>
  <c r="AA48" i="13"/>
  <c r="AA56" i="13" s="1"/>
  <c r="AA64" i="13" s="1"/>
  <c r="AA72" i="13" s="1"/>
  <c r="AA85" i="13" s="1"/>
  <c r="BD46" i="13"/>
  <c r="Y41" i="13"/>
  <c r="Z41" i="13"/>
  <c r="AA36" i="13"/>
  <c r="BD34" i="13"/>
  <c r="W41" i="13"/>
  <c r="AA41" i="13"/>
  <c r="X41" i="13"/>
  <c r="AA40" i="13"/>
  <c r="BD38" i="13"/>
  <c r="W45" i="13"/>
  <c r="AZ62" i="13" s="1"/>
  <c r="AA45" i="13"/>
  <c r="BA62" i="13"/>
  <c r="AA44" i="13"/>
  <c r="AA52" i="13" s="1"/>
  <c r="BD42" i="13"/>
  <c r="Z45" i="13"/>
  <c r="AW18" i="2" l="1"/>
  <c r="J14" i="4"/>
  <c r="AE18" i="2"/>
  <c r="AF18" i="2"/>
  <c r="M7" i="2"/>
  <c r="AA24" i="13"/>
  <c r="BD22" i="13"/>
  <c r="AV12" i="2"/>
  <c r="AF12" i="2"/>
  <c r="AE12" i="2"/>
  <c r="AV9" i="2"/>
  <c r="AF9" i="2"/>
  <c r="AE9" i="2"/>
  <c r="G10" i="7"/>
  <c r="U12" i="4"/>
  <c r="AU18" i="2"/>
  <c r="I14" i="4"/>
  <c r="AV18" i="2"/>
  <c r="AV10" i="2"/>
  <c r="AF10" i="2"/>
  <c r="AE10" i="2"/>
  <c r="AU8" i="2"/>
  <c r="AU13" i="2"/>
  <c r="AU14" i="2"/>
  <c r="I8" i="4"/>
  <c r="AV11" i="2"/>
  <c r="AF11" i="2"/>
  <c r="AE11" i="2"/>
  <c r="BD58" i="13"/>
  <c r="M17" i="2"/>
  <c r="AA60" i="13"/>
  <c r="AA68" i="13" s="1"/>
  <c r="AA74" i="13"/>
  <c r="AA76" i="13" s="1"/>
  <c r="AA81" i="13" s="1"/>
  <c r="D16" i="13"/>
  <c r="E16" i="13"/>
  <c r="AI11" i="13"/>
  <c r="H12" i="13"/>
  <c r="K13" i="13"/>
  <c r="AI15" i="13"/>
  <c r="F20" i="13"/>
  <c r="AI22" i="13"/>
  <c r="AI26" i="13"/>
  <c r="AI30" i="13"/>
  <c r="AI34" i="13"/>
  <c r="AI38" i="13"/>
  <c r="AI42" i="13"/>
  <c r="AI46" i="13"/>
  <c r="AI50" i="13"/>
  <c r="AI54" i="13"/>
  <c r="AI58" i="13"/>
  <c r="AI62" i="13"/>
  <c r="AI66" i="13"/>
  <c r="AI70" i="13"/>
  <c r="F76" i="13"/>
  <c r="F81" i="13" s="1"/>
  <c r="F92" i="13" s="1"/>
  <c r="F98" i="13" s="1"/>
  <c r="AH11" i="13"/>
  <c r="F12" i="13"/>
  <c r="J13" i="13"/>
  <c r="AH15" i="13"/>
  <c r="E20" i="13"/>
  <c r="E76" i="13" s="1"/>
  <c r="E81" i="13" s="1"/>
  <c r="E92" i="13" s="1"/>
  <c r="E98" i="13" s="1"/>
  <c r="AH22" i="13"/>
  <c r="AH26" i="13"/>
  <c r="AH30" i="13"/>
  <c r="AH34" i="13"/>
  <c r="AH38" i="13"/>
  <c r="AH42" i="13"/>
  <c r="AH46" i="13"/>
  <c r="AH50" i="13"/>
  <c r="AH54" i="13"/>
  <c r="AH58" i="13"/>
  <c r="AH62" i="13"/>
  <c r="AH66" i="13"/>
  <c r="AH70" i="13"/>
  <c r="AG11" i="13"/>
  <c r="E12" i="13"/>
  <c r="I13" i="13"/>
  <c r="AG15" i="13"/>
  <c r="D20" i="13"/>
  <c r="D76" i="13" s="1"/>
  <c r="D81" i="13" s="1"/>
  <c r="D92" i="13" s="1"/>
  <c r="D98" i="13" s="1"/>
  <c r="AG22" i="13"/>
  <c r="AG26" i="13"/>
  <c r="AG30" i="13"/>
  <c r="AG34" i="13"/>
  <c r="AG38" i="13"/>
  <c r="AG42" i="13"/>
  <c r="AG46" i="13"/>
  <c r="AG50" i="13"/>
  <c r="AG54" i="13"/>
  <c r="AG58" i="13"/>
  <c r="AG62" i="13"/>
  <c r="AG66" i="13"/>
  <c r="AG70" i="13"/>
  <c r="G11" i="13"/>
  <c r="AF11" i="13"/>
  <c r="D12" i="13"/>
  <c r="H13" i="13"/>
  <c r="AF15" i="13"/>
  <c r="C20" i="13"/>
  <c r="C76" i="13" s="1"/>
  <c r="AF22" i="13"/>
  <c r="AF26" i="13"/>
  <c r="AF30" i="13"/>
  <c r="AF34" i="13"/>
  <c r="AF38" i="13"/>
  <c r="AF42" i="13"/>
  <c r="AF46" i="13"/>
  <c r="AF50" i="13"/>
  <c r="AF54" i="13"/>
  <c r="AF58" i="13"/>
  <c r="AF62" i="13"/>
  <c r="AF66" i="13"/>
  <c r="AF70" i="13"/>
  <c r="K17" i="9" l="1"/>
  <c r="K19" i="9" s="1"/>
  <c r="K22" i="9" s="1"/>
  <c r="K23" i="9" s="1"/>
  <c r="K26" i="9"/>
  <c r="K28" i="9" s="1"/>
  <c r="K31" i="9" s="1"/>
  <c r="K32" i="9" s="1"/>
  <c r="K89" i="9"/>
  <c r="T32" i="4"/>
  <c r="L89" i="9"/>
  <c r="U32" i="4"/>
  <c r="V32" i="4"/>
  <c r="T26" i="4"/>
  <c r="M21" i="2"/>
  <c r="M22" i="2" s="1"/>
  <c r="U8" i="4"/>
  <c r="I9" i="4"/>
  <c r="K99" i="9" s="1"/>
  <c r="K101" i="9" s="1"/>
  <c r="H47" i="7"/>
  <c r="H11" i="7"/>
  <c r="V14" i="4"/>
  <c r="AJ83" i="13"/>
  <c r="E14" i="13"/>
  <c r="AU7" i="2"/>
  <c r="AV7" i="2"/>
  <c r="G47" i="7"/>
  <c r="G11" i="7"/>
  <c r="U14" i="4"/>
  <c r="AW10" i="2"/>
  <c r="AG10" i="2"/>
  <c r="AW9" i="2"/>
  <c r="AG9" i="2"/>
  <c r="AW12" i="2"/>
  <c r="AG12" i="2"/>
  <c r="J8" i="4"/>
  <c r="AV8" i="2"/>
  <c r="AE8" i="2"/>
  <c r="AF8" i="2"/>
  <c r="AU21" i="2"/>
  <c r="AV13" i="2"/>
  <c r="AF13" i="2"/>
  <c r="AE13" i="2"/>
  <c r="AV14" i="2"/>
  <c r="AF14" i="2"/>
  <c r="AE14" i="2"/>
  <c r="AW11" i="2"/>
  <c r="AG11" i="2"/>
  <c r="AU17" i="2"/>
  <c r="I10" i="4"/>
  <c r="K64" i="9" s="1"/>
  <c r="AJ46" i="13"/>
  <c r="AJ54" i="13"/>
  <c r="AJ30" i="13"/>
  <c r="G76" i="13"/>
  <c r="AJ38" i="13"/>
  <c r="AJ15" i="13"/>
  <c r="AJ22" i="13"/>
  <c r="AJ62" i="13"/>
  <c r="C81" i="13"/>
  <c r="AJ58" i="13"/>
  <c r="AJ50" i="13"/>
  <c r="AJ42" i="13"/>
  <c r="AJ34" i="13"/>
  <c r="AJ26" i="13"/>
  <c r="G20" i="13"/>
  <c r="G14" i="13"/>
  <c r="C14" i="13"/>
  <c r="AJ11" i="13"/>
  <c r="AJ70" i="13"/>
  <c r="D14" i="13"/>
  <c r="AJ66" i="13"/>
  <c r="F14" i="13"/>
  <c r="L13" i="13"/>
  <c r="L17" i="9" l="1"/>
  <c r="L19" i="9" s="1"/>
  <c r="L22" i="9" s="1"/>
  <c r="L23" i="9" s="1"/>
  <c r="L26" i="9"/>
  <c r="L28" i="9" s="1"/>
  <c r="L31" i="9" s="1"/>
  <c r="L32" i="9" s="1"/>
  <c r="U26" i="4"/>
  <c r="K67" i="9"/>
  <c r="L64" i="9"/>
  <c r="U28" i="4"/>
  <c r="T28" i="4"/>
  <c r="U9" i="4"/>
  <c r="T27" i="4"/>
  <c r="V8" i="4"/>
  <c r="J9" i="4"/>
  <c r="L99" i="9" s="1"/>
  <c r="L101" i="9" s="1"/>
  <c r="AX9" i="2"/>
  <c r="AH9" i="2"/>
  <c r="AX10" i="2"/>
  <c r="AH10" i="2"/>
  <c r="Q12" i="2"/>
  <c r="AX12" i="2"/>
  <c r="AH12" i="2"/>
  <c r="K8" i="4"/>
  <c r="AU22" i="2"/>
  <c r="M24" i="2"/>
  <c r="AW8" i="2"/>
  <c r="AG8" i="2"/>
  <c r="AW13" i="2"/>
  <c r="AG13" i="2"/>
  <c r="AW14" i="2"/>
  <c r="AG14" i="2"/>
  <c r="AX11" i="2"/>
  <c r="AH11" i="2"/>
  <c r="I11" i="4"/>
  <c r="U10" i="4"/>
  <c r="C92" i="13"/>
  <c r="G81" i="13"/>
  <c r="L67" i="9" l="1"/>
  <c r="M17" i="9"/>
  <c r="M19" i="9" s="1"/>
  <c r="M22" i="9" s="1"/>
  <c r="M23" i="9" s="1"/>
  <c r="M26" i="9"/>
  <c r="M28" i="9" s="1"/>
  <c r="M31" i="9" s="1"/>
  <c r="M32" i="9" s="1"/>
  <c r="U27" i="4"/>
  <c r="M64" i="9"/>
  <c r="T29" i="4"/>
  <c r="V26" i="4"/>
  <c r="W8" i="4"/>
  <c r="K9" i="4"/>
  <c r="M99" i="9" s="1"/>
  <c r="M101" i="9" s="1"/>
  <c r="V9" i="4"/>
  <c r="J11" i="4"/>
  <c r="U29" i="4" s="1"/>
  <c r="M8" i="4"/>
  <c r="AU24" i="2"/>
  <c r="M26" i="2"/>
  <c r="AY12" i="2"/>
  <c r="AI12" i="2"/>
  <c r="AY10" i="2"/>
  <c r="AI10" i="2"/>
  <c r="AY9" i="2"/>
  <c r="AI9" i="2"/>
  <c r="AX8" i="2"/>
  <c r="AH8" i="2"/>
  <c r="AX13" i="2"/>
  <c r="AH13" i="2"/>
  <c r="AX14" i="2"/>
  <c r="AH14" i="2"/>
  <c r="L8" i="4"/>
  <c r="W26" i="4" s="1"/>
  <c r="AY11" i="2"/>
  <c r="AI11" i="2"/>
  <c r="I13" i="4"/>
  <c r="U11" i="4"/>
  <c r="G92" i="13"/>
  <c r="C98" i="13"/>
  <c r="G98" i="13" s="1"/>
  <c r="O17" i="9" l="1"/>
  <c r="O19" i="9" s="1"/>
  <c r="O22" i="9" s="1"/>
  <c r="O23" i="9" s="1"/>
  <c r="O26" i="9"/>
  <c r="O28" i="9" s="1"/>
  <c r="O31" i="9" s="1"/>
  <c r="O32" i="9" s="1"/>
  <c r="O64" i="9"/>
  <c r="N17" i="9"/>
  <c r="N19" i="9" s="1"/>
  <c r="N22" i="9" s="1"/>
  <c r="N23" i="9" s="1"/>
  <c r="N26" i="9"/>
  <c r="N28" i="9" s="1"/>
  <c r="N31" i="9" s="1"/>
  <c r="N32" i="9" s="1"/>
  <c r="K103" i="9"/>
  <c r="K105" i="9" s="1"/>
  <c r="K115" i="9"/>
  <c r="K119" i="9"/>
  <c r="K88" i="9"/>
  <c r="K90" i="9" s="1"/>
  <c r="N64" i="9"/>
  <c r="M67" i="9"/>
  <c r="V27" i="4"/>
  <c r="M9" i="4"/>
  <c r="O99" i="9" s="1"/>
  <c r="O101" i="9" s="1"/>
  <c r="X26" i="4"/>
  <c r="T31" i="4"/>
  <c r="G11" i="18"/>
  <c r="G13" i="18" s="1"/>
  <c r="G15" i="18" s="1"/>
  <c r="I16" i="6"/>
  <c r="I44" i="6"/>
  <c r="I63" i="6" s="1"/>
  <c r="I17" i="6"/>
  <c r="M28" i="2"/>
  <c r="AU28" i="2" s="1"/>
  <c r="M29" i="2"/>
  <c r="AU29" i="2" s="1"/>
  <c r="I45" i="6"/>
  <c r="W9" i="4"/>
  <c r="K11" i="4"/>
  <c r="X8" i="4"/>
  <c r="L9" i="4"/>
  <c r="N99" i="9" s="1"/>
  <c r="N101" i="9" s="1"/>
  <c r="V11" i="4"/>
  <c r="M27" i="2"/>
  <c r="AU26" i="2"/>
  <c r="AY8" i="2"/>
  <c r="AI8" i="2"/>
  <c r="AY13" i="2"/>
  <c r="AI13" i="2"/>
  <c r="AY14" i="2"/>
  <c r="AI14" i="2"/>
  <c r="I18" i="4"/>
  <c r="K107" i="9" s="1"/>
  <c r="K109" i="9" s="1"/>
  <c r="U13" i="4"/>
  <c r="N67" i="9" l="1"/>
  <c r="W27" i="4"/>
  <c r="O67" i="9"/>
  <c r="M11" i="4"/>
  <c r="X27" i="4"/>
  <c r="T36" i="4"/>
  <c r="V29" i="4"/>
  <c r="G23" i="7"/>
  <c r="T85" i="6"/>
  <c r="T113" i="6"/>
  <c r="G42" i="7"/>
  <c r="T112" i="6"/>
  <c r="I46" i="6"/>
  <c r="T114" i="6" s="1"/>
  <c r="G28" i="7"/>
  <c r="G20" i="7"/>
  <c r="T84" i="6"/>
  <c r="W11" i="4"/>
  <c r="X9" i="4"/>
  <c r="L11" i="4"/>
  <c r="W29" i="4" s="1"/>
  <c r="M30" i="2"/>
  <c r="AU27" i="2"/>
  <c r="U18" i="4"/>
  <c r="X29" i="4" l="1"/>
  <c r="X11" i="4"/>
  <c r="I19" i="4"/>
  <c r="AU30" i="2"/>
  <c r="M31" i="2"/>
  <c r="J602" i="3" s="1"/>
  <c r="G6" i="7"/>
  <c r="G9" i="7" s="1"/>
  <c r="G13" i="7" s="1"/>
  <c r="G29" i="7" s="1"/>
  <c r="T37" i="4" l="1"/>
  <c r="K123" i="9"/>
  <c r="U19" i="4"/>
  <c r="I20" i="4"/>
  <c r="M51" i="2"/>
  <c r="M50" i="2"/>
  <c r="AU31" i="2"/>
  <c r="K111" i="9" l="1"/>
  <c r="K127" i="9"/>
  <c r="K95" i="9"/>
  <c r="K97" i="9" s="1"/>
  <c r="U20" i="4"/>
  <c r="T38" i="4"/>
  <c r="M53" i="2"/>
  <c r="G53" i="7"/>
  <c r="AU50" i="2"/>
  <c r="G54" i="7"/>
  <c r="AU51" i="2"/>
  <c r="J603" i="3" l="1"/>
  <c r="I35" i="6" s="1"/>
  <c r="G50" i="7" s="1"/>
  <c r="G56" i="7" s="1"/>
  <c r="M54" i="2"/>
  <c r="AU53" i="2"/>
  <c r="T103" i="6" l="1"/>
  <c r="K128" i="9"/>
  <c r="K129" i="9" s="1"/>
  <c r="I36" i="6"/>
  <c r="I38" i="6" s="1"/>
  <c r="K73" i="9" l="1"/>
  <c r="K74" i="9" s="1"/>
  <c r="K85" i="9"/>
  <c r="K77" i="9"/>
  <c r="K78" i="9" s="1"/>
  <c r="T104" i="6"/>
  <c r="I56" i="6"/>
  <c r="T124" i="6" s="1"/>
  <c r="T106" i="6"/>
  <c r="F1113" i="3" l="1"/>
  <c r="F1119" i="3" s="1"/>
  <c r="F1235" i="3" s="1"/>
  <c r="G1113" i="3" l="1"/>
  <c r="G1119" i="3" s="1"/>
  <c r="F1130" i="3"/>
  <c r="F1237" i="3" s="1"/>
  <c r="F6" i="6" s="1"/>
  <c r="C16" i="18" l="1"/>
  <c r="C18" i="18" s="1"/>
  <c r="D65" i="7"/>
  <c r="Q74" i="6"/>
  <c r="H40" i="9"/>
  <c r="H41" i="9" s="1"/>
  <c r="F62" i="6"/>
  <c r="F19" i="6"/>
  <c r="D34" i="7"/>
  <c r="D44" i="7" s="1"/>
  <c r="D58" i="7" s="1"/>
  <c r="D60" i="7" s="1"/>
  <c r="D62" i="7" s="1"/>
  <c r="G1130" i="3"/>
  <c r="G1237" i="3" s="1"/>
  <c r="G6" i="6" s="1"/>
  <c r="H1113" i="3"/>
  <c r="H1119" i="3" s="1"/>
  <c r="G1235" i="3"/>
  <c r="D16" i="18" l="1"/>
  <c r="D18" i="18" s="1"/>
  <c r="E65" i="7"/>
  <c r="I1129" i="3"/>
  <c r="J1119" i="3"/>
  <c r="K1119" i="3"/>
  <c r="M1119" i="3"/>
  <c r="L1119" i="3"/>
  <c r="I1119" i="3"/>
  <c r="I40" i="9"/>
  <c r="I41" i="9" s="1"/>
  <c r="H124" i="9" a="1"/>
  <c r="H124" i="9" s="1"/>
  <c r="H125" i="9" s="1"/>
  <c r="H120" i="9" a="1"/>
  <c r="H120" i="9" s="1"/>
  <c r="H121" i="9" s="1"/>
  <c r="R74" i="6"/>
  <c r="G62" i="6"/>
  <c r="G19" i="6"/>
  <c r="F31" i="6"/>
  <c r="F87" i="6" s="1"/>
  <c r="Q87" i="6"/>
  <c r="E34" i="7"/>
  <c r="E44" i="7" s="1"/>
  <c r="E58" i="7" s="1"/>
  <c r="E60" i="7" s="1"/>
  <c r="E62" i="7" s="1"/>
  <c r="H36" i="9"/>
  <c r="H37" i="9" s="1"/>
  <c r="H1130" i="3"/>
  <c r="H1237" i="3" s="1"/>
  <c r="H6" i="6" s="1"/>
  <c r="H1235" i="3"/>
  <c r="F65" i="7" l="1"/>
  <c r="M1123" i="3"/>
  <c r="M1239" i="3" s="1"/>
  <c r="M1235" i="3"/>
  <c r="K1123" i="3"/>
  <c r="K1239" i="3" s="1"/>
  <c r="K1235" i="3"/>
  <c r="I1235" i="3"/>
  <c r="I1123" i="3"/>
  <c r="J1235" i="3"/>
  <c r="J1123" i="3"/>
  <c r="J1239" i="3" s="1"/>
  <c r="L1123" i="3"/>
  <c r="L1239" i="3" s="1"/>
  <c r="L1235" i="3"/>
  <c r="E16" i="18"/>
  <c r="E18" i="18" s="1"/>
  <c r="J6" i="6"/>
  <c r="I6" i="6"/>
  <c r="H65" i="7" s="1"/>
  <c r="K6" i="6"/>
  <c r="L6" i="6"/>
  <c r="P19" i="2" s="1"/>
  <c r="J14" i="18" s="1"/>
  <c r="M6" i="6"/>
  <c r="J40" i="9"/>
  <c r="J41" i="9" s="1"/>
  <c r="I124" i="9" a="1"/>
  <c r="I124" i="9" s="1"/>
  <c r="I125" i="9" s="1"/>
  <c r="I120" i="9" a="1"/>
  <c r="I120" i="9" s="1"/>
  <c r="I121" i="9" s="1"/>
  <c r="I36" i="9"/>
  <c r="I37" i="9" s="1"/>
  <c r="H62" i="6"/>
  <c r="J120" i="9" s="1" a="1"/>
  <c r="S74" i="6"/>
  <c r="H19" i="6"/>
  <c r="R87" i="6"/>
  <c r="G31" i="6"/>
  <c r="G87" i="6" s="1"/>
  <c r="Q99" i="6"/>
  <c r="F88" i="6"/>
  <c r="F97" i="6"/>
  <c r="F89" i="6"/>
  <c r="F76" i="6"/>
  <c r="F96" i="6"/>
  <c r="F83" i="6"/>
  <c r="F57" i="6"/>
  <c r="F90" i="6"/>
  <c r="F79" i="6"/>
  <c r="F95" i="6"/>
  <c r="F91" i="6"/>
  <c r="F98" i="6"/>
  <c r="H81" i="9"/>
  <c r="H82" i="9" s="1"/>
  <c r="H116" i="9"/>
  <c r="H117" i="9" s="1"/>
  <c r="F85" i="6"/>
  <c r="F75" i="6"/>
  <c r="F94" i="6"/>
  <c r="F77" i="6"/>
  <c r="F93" i="6"/>
  <c r="F86" i="6"/>
  <c r="F81" i="6"/>
  <c r="H112" i="9"/>
  <c r="H113" i="9" s="1"/>
  <c r="F80" i="6"/>
  <c r="F99" i="6"/>
  <c r="F84" i="6"/>
  <c r="F78" i="6"/>
  <c r="F92" i="6"/>
  <c r="F82" i="6"/>
  <c r="H84" i="9"/>
  <c r="H86" i="9" s="1"/>
  <c r="H137" i="9"/>
  <c r="H136" i="9"/>
  <c r="H142" i="9"/>
  <c r="H141" i="9"/>
  <c r="F74" i="6"/>
  <c r="F34" i="7"/>
  <c r="F44" i="7" s="1"/>
  <c r="F58" i="7" s="1"/>
  <c r="F60" i="7" s="1"/>
  <c r="F62" i="7" s="1"/>
  <c r="N40" i="9" l="1"/>
  <c r="N41" i="9" s="1"/>
  <c r="K65" i="7"/>
  <c r="G65" i="7"/>
  <c r="I1128" i="3"/>
  <c r="I1239" i="3"/>
  <c r="M40" i="9"/>
  <c r="M41" i="9" s="1"/>
  <c r="F16" i="18"/>
  <c r="F18" i="18" s="1"/>
  <c r="L40" i="9"/>
  <c r="L41" i="9" s="1"/>
  <c r="O40" i="9"/>
  <c r="O41" i="9" s="1"/>
  <c r="N19" i="2"/>
  <c r="H14" i="18" s="1"/>
  <c r="K40" i="9"/>
  <c r="K41" i="9" s="1"/>
  <c r="G34" i="7"/>
  <c r="G44" i="7" s="1"/>
  <c r="G58" i="7" s="1"/>
  <c r="G60" i="7" s="1"/>
  <c r="I25" i="6" s="1"/>
  <c r="O19" i="2"/>
  <c r="I14" i="18" s="1"/>
  <c r="J16" i="18"/>
  <c r="G16" i="18"/>
  <c r="Q19" i="2"/>
  <c r="K14" i="18" s="1"/>
  <c r="I16" i="18"/>
  <c r="J124" i="9" a="1"/>
  <c r="J124" i="9" s="1"/>
  <c r="J125" i="9" s="1"/>
  <c r="J120" i="9"/>
  <c r="J121" i="9" s="1"/>
  <c r="I116" i="9"/>
  <c r="I117" i="9" s="1"/>
  <c r="J36" i="9"/>
  <c r="J37" i="9" s="1"/>
  <c r="I84" i="9"/>
  <c r="I86" i="9" s="1"/>
  <c r="I112" i="9"/>
  <c r="I113" i="9" s="1"/>
  <c r="H143" i="9"/>
  <c r="I19" i="6"/>
  <c r="T74" i="6"/>
  <c r="G57" i="6"/>
  <c r="R99" i="6"/>
  <c r="G75" i="6"/>
  <c r="G85" i="6"/>
  <c r="G94" i="6"/>
  <c r="G91" i="6"/>
  <c r="G98" i="6"/>
  <c r="G81" i="6"/>
  <c r="G79" i="6"/>
  <c r="G80" i="6"/>
  <c r="G97" i="6"/>
  <c r="G77" i="6"/>
  <c r="G93" i="6"/>
  <c r="G86" i="6"/>
  <c r="I81" i="9"/>
  <c r="I82" i="9" s="1"/>
  <c r="G99" i="6"/>
  <c r="G88" i="6"/>
  <c r="G84" i="6"/>
  <c r="G78" i="6"/>
  <c r="G92" i="6"/>
  <c r="G83" i="6"/>
  <c r="G90" i="6"/>
  <c r="G95" i="6"/>
  <c r="G89" i="6"/>
  <c r="G76" i="6"/>
  <c r="G96" i="6"/>
  <c r="G82" i="6"/>
  <c r="I137" i="9"/>
  <c r="I136" i="9"/>
  <c r="I142" i="9"/>
  <c r="I141" i="9"/>
  <c r="G74" i="6"/>
  <c r="H138" i="9"/>
  <c r="S87" i="6"/>
  <c r="H31" i="6"/>
  <c r="J84" i="9" s="1"/>
  <c r="J86" i="9" s="1"/>
  <c r="AH19" i="2"/>
  <c r="L12" i="4"/>
  <c r="X12" i="4" s="1"/>
  <c r="P21" i="2"/>
  <c r="AH21" i="2" s="1"/>
  <c r="I65" i="7" l="1"/>
  <c r="J65" i="7"/>
  <c r="J1122" i="3"/>
  <c r="J1128" i="3" s="1"/>
  <c r="I1130" i="3"/>
  <c r="I1237" i="3" s="1"/>
  <c r="K12" i="4"/>
  <c r="W12" i="4" s="1"/>
  <c r="H16" i="18"/>
  <c r="O21" i="2"/>
  <c r="AG21" i="2" s="1"/>
  <c r="AG19" i="2"/>
  <c r="I62" i="6"/>
  <c r="K59" i="9"/>
  <c r="K61" i="9" s="1"/>
  <c r="K63" i="9"/>
  <c r="K65" i="9" s="1"/>
  <c r="K55" i="9"/>
  <c r="K57" i="9" s="1"/>
  <c r="Q21" i="2"/>
  <c r="Q22" i="2" s="1"/>
  <c r="AI22" i="2" s="1"/>
  <c r="M12" i="4"/>
  <c r="K34" i="7" s="1"/>
  <c r="AI19" i="2"/>
  <c r="G61" i="7"/>
  <c r="G62" i="7" s="1"/>
  <c r="I30" i="6"/>
  <c r="T98" i="6" s="1"/>
  <c r="T93" i="6"/>
  <c r="H59" i="7"/>
  <c r="K16" i="18"/>
  <c r="I143" i="9"/>
  <c r="I138" i="9"/>
  <c r="P22" i="2"/>
  <c r="AH22" i="2" s="1"/>
  <c r="H87" i="6"/>
  <c r="J136" i="9"/>
  <c r="H81" i="6"/>
  <c r="H88" i="6"/>
  <c r="H93" i="6"/>
  <c r="H78" i="6"/>
  <c r="H77" i="6"/>
  <c r="H96" i="6"/>
  <c r="H76" i="6"/>
  <c r="H97" i="6"/>
  <c r="H57" i="6"/>
  <c r="H99" i="6"/>
  <c r="H94" i="6"/>
  <c r="H85" i="6"/>
  <c r="H79" i="6"/>
  <c r="J142" i="9"/>
  <c r="H89" i="6"/>
  <c r="H75" i="6"/>
  <c r="O21" i="18"/>
  <c r="O25" i="18" s="1"/>
  <c r="H84" i="6"/>
  <c r="S99" i="6"/>
  <c r="H95" i="6"/>
  <c r="J141" i="9"/>
  <c r="H92" i="6"/>
  <c r="H80" i="6"/>
  <c r="H86" i="6"/>
  <c r="J137" i="9"/>
  <c r="H98" i="6"/>
  <c r="H83" i="6"/>
  <c r="H82" i="6"/>
  <c r="H90" i="6"/>
  <c r="H91" i="6"/>
  <c r="J81" i="9"/>
  <c r="J82" i="9" s="1"/>
  <c r="H74" i="6"/>
  <c r="J116" i="9"/>
  <c r="J117" i="9" s="1"/>
  <c r="T87" i="6"/>
  <c r="J112" i="9"/>
  <c r="J113" i="9" s="1"/>
  <c r="L13" i="4"/>
  <c r="J10" i="7"/>
  <c r="J34" i="7"/>
  <c r="K13" i="4" l="1"/>
  <c r="M103" i="9" s="1"/>
  <c r="M105" i="9" s="1"/>
  <c r="W30" i="4"/>
  <c r="I10" i="7"/>
  <c r="Q24" i="2"/>
  <c r="K1122" i="3"/>
  <c r="K1128" i="3" s="1"/>
  <c r="J1130" i="3"/>
  <c r="J1237" i="3" s="1"/>
  <c r="O22" i="2"/>
  <c r="AI21" i="2"/>
  <c r="M119" i="9"/>
  <c r="M88" i="9"/>
  <c r="M90" i="9" s="1"/>
  <c r="I64" i="6"/>
  <c r="G17" i="18" s="1"/>
  <c r="G18" i="18" s="1"/>
  <c r="K45" i="9"/>
  <c r="K46" i="9" s="1"/>
  <c r="K51" i="9"/>
  <c r="K53" i="9" s="1"/>
  <c r="N119" i="9"/>
  <c r="N88" i="9"/>
  <c r="N90" i="9" s="1"/>
  <c r="N103" i="9"/>
  <c r="N105" i="9" s="1"/>
  <c r="N115" i="9"/>
  <c r="K36" i="9"/>
  <c r="K37" i="9" s="1"/>
  <c r="K124" i="9" a="1"/>
  <c r="K124" i="9" s="1"/>
  <c r="K125" i="9" s="1"/>
  <c r="K120" i="9" a="1"/>
  <c r="K120" i="9" s="1"/>
  <c r="K121" i="9" s="1"/>
  <c r="P24" i="2"/>
  <c r="AH24" i="2" s="1"/>
  <c r="I31" i="6"/>
  <c r="T99" i="6" s="1"/>
  <c r="W31" i="4"/>
  <c r="K10" i="7"/>
  <c r="X30" i="4"/>
  <c r="M13" i="4"/>
  <c r="L44" i="6"/>
  <c r="L63" i="6" s="1"/>
  <c r="L17" i="6"/>
  <c r="P29" i="2"/>
  <c r="AH29" i="2" s="1"/>
  <c r="L16" i="6"/>
  <c r="P28" i="2"/>
  <c r="AH28" i="2" s="1"/>
  <c r="L45" i="6"/>
  <c r="K16" i="6"/>
  <c r="O28" i="2"/>
  <c r="AG28" i="2" s="1"/>
  <c r="J143" i="9"/>
  <c r="J138" i="9"/>
  <c r="L18" i="4"/>
  <c r="J11" i="18"/>
  <c r="J13" i="18" s="1"/>
  <c r="J15" i="18" s="1"/>
  <c r="X13" i="4"/>
  <c r="K18" i="4"/>
  <c r="O24" i="2"/>
  <c r="AG22" i="2"/>
  <c r="Q26" i="2"/>
  <c r="AI24" i="2"/>
  <c r="I11" i="18" l="1"/>
  <c r="I13" i="18" s="1"/>
  <c r="I15" i="18" s="1"/>
  <c r="K44" i="6"/>
  <c r="K63" i="6" s="1"/>
  <c r="O29" i="2"/>
  <c r="AG29" i="2" s="1"/>
  <c r="M115" i="9"/>
  <c r="W13" i="4"/>
  <c r="K45" i="6"/>
  <c r="J42" i="7" s="1"/>
  <c r="J44" i="7" s="1"/>
  <c r="K17" i="6"/>
  <c r="L1122" i="3"/>
  <c r="L1128" i="3" s="1"/>
  <c r="K1130" i="3"/>
  <c r="K1237" i="3" s="1"/>
  <c r="P26" i="2"/>
  <c r="AH26" i="2" s="1"/>
  <c r="O88" i="9"/>
  <c r="O90" i="9" s="1"/>
  <c r="O103" i="9"/>
  <c r="O105" i="9" s="1"/>
  <c r="O115" i="9"/>
  <c r="O119" i="9"/>
  <c r="K116" i="9"/>
  <c r="K117" i="9" s="1"/>
  <c r="K137" i="9"/>
  <c r="K81" i="9"/>
  <c r="K82" i="9" s="1"/>
  <c r="K112" i="9"/>
  <c r="K113" i="9" s="1"/>
  <c r="K141" i="9"/>
  <c r="K142" i="9"/>
  <c r="K84" i="9"/>
  <c r="K86" i="9" s="1"/>
  <c r="K136" i="9"/>
  <c r="N107" i="9"/>
  <c r="N109" i="9" s="1"/>
  <c r="M107" i="9"/>
  <c r="M109" i="9" s="1"/>
  <c r="I57" i="6"/>
  <c r="W36" i="4"/>
  <c r="X31" i="4"/>
  <c r="M18" i="4"/>
  <c r="Q29" i="2"/>
  <c r="AI29" i="2" s="1"/>
  <c r="K11" i="18"/>
  <c r="K13" i="18" s="1"/>
  <c r="K15" i="18" s="1"/>
  <c r="M45" i="6"/>
  <c r="K42" i="7" s="1"/>
  <c r="K44" i="7" s="1"/>
  <c r="M16" i="6"/>
  <c r="M44" i="6"/>
  <c r="K28" i="7" s="1"/>
  <c r="Q28" i="2"/>
  <c r="AI28" i="2" s="1"/>
  <c r="M17" i="6"/>
  <c r="K23" i="7" s="1"/>
  <c r="J23" i="7"/>
  <c r="L46" i="6"/>
  <c r="J20" i="7"/>
  <c r="K19" i="6"/>
  <c r="L19" i="6"/>
  <c r="K46" i="6"/>
  <c r="AI26" i="2"/>
  <c r="Q27" i="2"/>
  <c r="X18" i="4"/>
  <c r="W18" i="4"/>
  <c r="AG24" i="2"/>
  <c r="O26" i="2"/>
  <c r="J28" i="7" l="1"/>
  <c r="M1122" i="3"/>
  <c r="M1128" i="3" s="1"/>
  <c r="M1130" i="3" s="1"/>
  <c r="M1237" i="3" s="1"/>
  <c r="L1130" i="3"/>
  <c r="L1237" i="3" s="1"/>
  <c r="P27" i="2"/>
  <c r="AH27" i="2" s="1"/>
  <c r="K143" i="9"/>
  <c r="K138" i="9"/>
  <c r="X36" i="4"/>
  <c r="O107" i="9"/>
  <c r="O109" i="9" s="1"/>
  <c r="M19" i="6"/>
  <c r="K20" i="7"/>
  <c r="M63" i="6"/>
  <c r="M46" i="6"/>
  <c r="P30" i="2"/>
  <c r="AI27" i="2"/>
  <c r="Q30" i="2"/>
  <c r="AG26" i="2"/>
  <c r="O27" i="2"/>
  <c r="AG27" i="2" l="1"/>
  <c r="O30" i="2"/>
  <c r="L19" i="4"/>
  <c r="N123" i="9" s="1"/>
  <c r="AH30" i="2"/>
  <c r="J6" i="7"/>
  <c r="J9" i="7" s="1"/>
  <c r="J13" i="7" s="1"/>
  <c r="J29" i="7" s="1"/>
  <c r="P31" i="2"/>
  <c r="AI30" i="2"/>
  <c r="M19" i="4"/>
  <c r="O123" i="9" s="1"/>
  <c r="Q31" i="2"/>
  <c r="K6" i="7"/>
  <c r="K9" i="7" s="1"/>
  <c r="K13" i="7" s="1"/>
  <c r="K29" i="7" s="1"/>
  <c r="M20" i="4" l="1"/>
  <c r="X37" i="4"/>
  <c r="N602" i="3"/>
  <c r="N603" i="3" s="1"/>
  <c r="M35" i="6" s="1"/>
  <c r="Q51" i="2"/>
  <c r="AI31" i="2"/>
  <c r="Q50" i="2"/>
  <c r="X19" i="4"/>
  <c r="L20" i="4"/>
  <c r="K19" i="4"/>
  <c r="AG30" i="2"/>
  <c r="O31" i="2"/>
  <c r="I6" i="7"/>
  <c r="I9" i="7" s="1"/>
  <c r="I13" i="7" s="1"/>
  <c r="AH31" i="2"/>
  <c r="P50" i="2"/>
  <c r="M602" i="3"/>
  <c r="M603" i="3" s="1"/>
  <c r="L35" i="6" s="1"/>
  <c r="O128" i="9" s="1"/>
  <c r="P51" i="2"/>
  <c r="N111" i="9" l="1"/>
  <c r="N127" i="9"/>
  <c r="N95" i="9"/>
  <c r="N97" i="9" s="1"/>
  <c r="W37" i="4"/>
  <c r="M123" i="9"/>
  <c r="O127" i="9"/>
  <c r="O129" i="9" s="1"/>
  <c r="O95" i="9"/>
  <c r="O97" i="9" s="1"/>
  <c r="O111" i="9"/>
  <c r="X20" i="4"/>
  <c r="X38" i="4"/>
  <c r="Q53" i="2"/>
  <c r="AH51" i="2"/>
  <c r="J54" i="7"/>
  <c r="J53" i="7"/>
  <c r="AH50" i="2"/>
  <c r="L36" i="6"/>
  <c r="L38" i="6" s="1"/>
  <c r="O50" i="2"/>
  <c r="O51" i="2"/>
  <c r="AG31" i="2"/>
  <c r="L602" i="3"/>
  <c r="L603" i="3" s="1"/>
  <c r="K35" i="6" s="1"/>
  <c r="N128" i="9" s="1"/>
  <c r="P53" i="2"/>
  <c r="W19" i="4"/>
  <c r="K20" i="4"/>
  <c r="AI51" i="2"/>
  <c r="K54" i="7"/>
  <c r="K53" i="7"/>
  <c r="AI50" i="2"/>
  <c r="M36" i="6"/>
  <c r="M38" i="6" s="1"/>
  <c r="N129" i="9" l="1"/>
  <c r="W38" i="4"/>
  <c r="M127" i="9"/>
  <c r="M95" i="9"/>
  <c r="M97" i="9" s="1"/>
  <c r="M111" i="9"/>
  <c r="M56" i="6"/>
  <c r="O77" i="9"/>
  <c r="O78" i="9" s="1"/>
  <c r="O73" i="9"/>
  <c r="O74" i="9" s="1"/>
  <c r="L56" i="6"/>
  <c r="N73" i="9"/>
  <c r="N74" i="9" s="1"/>
  <c r="N77" i="9"/>
  <c r="N78" i="9" s="1"/>
  <c r="O85" i="9"/>
  <c r="W20" i="4"/>
  <c r="AH53" i="2"/>
  <c r="P54" i="2"/>
  <c r="AI53" i="2"/>
  <c r="Q54" i="2"/>
  <c r="K50" i="7"/>
  <c r="K56" i="7" s="1"/>
  <c r="K58" i="7" s="1"/>
  <c r="J50" i="7"/>
  <c r="J56" i="7" s="1"/>
  <c r="J58" i="7" s="1"/>
  <c r="AG51" i="2"/>
  <c r="I54" i="7"/>
  <c r="AG50" i="2"/>
  <c r="I53" i="7"/>
  <c r="K36" i="6"/>
  <c r="K38" i="6" s="1"/>
  <c r="O53" i="2"/>
  <c r="I34" i="7"/>
  <c r="AF19" i="2"/>
  <c r="AE19" i="2"/>
  <c r="N21" i="2"/>
  <c r="K56" i="6" l="1"/>
  <c r="N85" i="9"/>
  <c r="M73" i="9"/>
  <c r="M74" i="9" s="1"/>
  <c r="M77" i="9"/>
  <c r="M78" i="9" s="1"/>
  <c r="AG53" i="2"/>
  <c r="O54" i="2"/>
  <c r="AE21" i="2"/>
  <c r="N22" i="2"/>
  <c r="AF21" i="2"/>
  <c r="J12" i="4"/>
  <c r="U30" i="4" l="1"/>
  <c r="V30" i="4"/>
  <c r="AF22" i="2"/>
  <c r="N24" i="2"/>
  <c r="AE22" i="2"/>
  <c r="H34" i="7"/>
  <c r="V12" i="4"/>
  <c r="J13" i="4"/>
  <c r="H10" i="7"/>
  <c r="L88" i="9" l="1"/>
  <c r="L90" i="9" s="1"/>
  <c r="L103" i="9"/>
  <c r="L105" i="9" s="1"/>
  <c r="L115" i="9"/>
  <c r="L119" i="9"/>
  <c r="U31" i="4"/>
  <c r="V31" i="4"/>
  <c r="J16" i="6"/>
  <c r="N28" i="2"/>
  <c r="J45" i="6"/>
  <c r="J44" i="6"/>
  <c r="J63" i="6" s="1"/>
  <c r="J17" i="6"/>
  <c r="N29" i="2"/>
  <c r="N26" i="2"/>
  <c r="AF24" i="2"/>
  <c r="AE24" i="2"/>
  <c r="J18" i="4"/>
  <c r="H11" i="18"/>
  <c r="H13" i="18" s="1"/>
  <c r="H15" i="18" s="1"/>
  <c r="V13" i="4"/>
  <c r="L107" i="9" l="1"/>
  <c r="L109" i="9" s="1"/>
  <c r="U36" i="4"/>
  <c r="V36" i="4"/>
  <c r="H42" i="7"/>
  <c r="H44" i="7" s="1"/>
  <c r="I42" i="7"/>
  <c r="I44" i="7" s="1"/>
  <c r="AF28" i="2"/>
  <c r="AE28" i="2"/>
  <c r="H23" i="7"/>
  <c r="I23" i="7"/>
  <c r="H20" i="7"/>
  <c r="I20" i="7"/>
  <c r="J19" i="6"/>
  <c r="AF29" i="2"/>
  <c r="AE29" i="2"/>
  <c r="H28" i="7"/>
  <c r="J46" i="6"/>
  <c r="I28" i="7"/>
  <c r="V18" i="4"/>
  <c r="N27" i="2"/>
  <c r="AE26" i="2"/>
  <c r="AF26" i="2"/>
  <c r="I29" i="7" l="1"/>
  <c r="AF27" i="2"/>
  <c r="N30" i="2"/>
  <c r="AE27" i="2"/>
  <c r="J19" i="4" l="1"/>
  <c r="L123" i="9" s="1"/>
  <c r="AE30" i="2"/>
  <c r="AF30" i="2"/>
  <c r="H6" i="7"/>
  <c r="H9" i="7" s="1"/>
  <c r="H13" i="7" s="1"/>
  <c r="H29" i="7" s="1"/>
  <c r="N31" i="2"/>
  <c r="U37" i="4" l="1"/>
  <c r="V37" i="4"/>
  <c r="K602" i="3"/>
  <c r="K603" i="3" s="1"/>
  <c r="J35" i="6" s="1"/>
  <c r="AE31" i="2"/>
  <c r="N51" i="2"/>
  <c r="N50" i="2"/>
  <c r="AF31" i="2"/>
  <c r="V19" i="4"/>
  <c r="J20" i="4"/>
  <c r="M128" i="9" l="1"/>
  <c r="M129" i="9" s="1"/>
  <c r="L128" i="9"/>
  <c r="L95" i="9"/>
  <c r="L97" i="9" s="1"/>
  <c r="L111" i="9"/>
  <c r="L127" i="9"/>
  <c r="V20" i="4"/>
  <c r="U38" i="4"/>
  <c r="V38" i="4"/>
  <c r="J36" i="6"/>
  <c r="J38" i="6" s="1"/>
  <c r="I50" i="7"/>
  <c r="I56" i="7" s="1"/>
  <c r="I58" i="7" s="1"/>
  <c r="H53" i="7"/>
  <c r="AF50" i="2"/>
  <c r="AE50" i="2"/>
  <c r="N53" i="2"/>
  <c r="N54" i="2" s="1"/>
  <c r="AE51" i="2"/>
  <c r="H54" i="7"/>
  <c r="AF51" i="2"/>
  <c r="J56" i="6" l="1"/>
  <c r="M85" i="9"/>
  <c r="L73" i="9"/>
  <c r="L74" i="9" s="1"/>
  <c r="L77" i="9"/>
  <c r="L78" i="9" s="1"/>
  <c r="L85" i="9"/>
  <c r="L129" i="9"/>
  <c r="AE53" i="2"/>
  <c r="AF53" i="2"/>
  <c r="H50" i="7"/>
  <c r="H56" i="7" s="1"/>
  <c r="H58" i="7" s="1"/>
  <c r="H60" i="7" s="1"/>
  <c r="J25" i="6" l="1"/>
  <c r="J62" i="6" l="1"/>
  <c r="L63" i="9"/>
  <c r="L65" i="9" s="1"/>
  <c r="L59" i="9"/>
  <c r="L61" i="9" s="1"/>
  <c r="L55" i="9"/>
  <c r="L57" i="9" s="1"/>
  <c r="I59" i="7"/>
  <c r="I60" i="7" s="1"/>
  <c r="J30" i="6"/>
  <c r="H61" i="7"/>
  <c r="H62" i="7" s="1"/>
  <c r="L51" i="9" l="1"/>
  <c r="L53" i="9" s="1"/>
  <c r="L45" i="9"/>
  <c r="L46" i="9" s="1"/>
  <c r="L120" i="9" a="1"/>
  <c r="L120" i="9" s="1"/>
  <c r="L121" i="9" s="1"/>
  <c r="L36" i="9"/>
  <c r="L37" i="9" s="1"/>
  <c r="L124" i="9" a="1"/>
  <c r="L124" i="9" s="1"/>
  <c r="L125" i="9" s="1"/>
  <c r="J31" i="6"/>
  <c r="J64" i="6"/>
  <c r="H17" i="18" s="1"/>
  <c r="H18" i="18" s="1"/>
  <c r="H20" i="18" s="1"/>
  <c r="K25" i="6"/>
  <c r="K62" i="6" l="1"/>
  <c r="M55" i="9"/>
  <c r="M57" i="9" s="1"/>
  <c r="M63" i="9"/>
  <c r="M65" i="9" s="1"/>
  <c r="M59" i="9"/>
  <c r="M61" i="9" s="1"/>
  <c r="J57" i="6"/>
  <c r="L137" i="9"/>
  <c r="L81" i="9"/>
  <c r="L82" i="9" s="1"/>
  <c r="L116" i="9"/>
  <c r="L117" i="9" s="1"/>
  <c r="L112" i="9"/>
  <c r="L113" i="9" s="1"/>
  <c r="L84" i="9"/>
  <c r="L86" i="9" s="1"/>
  <c r="L142" i="9"/>
  <c r="L136" i="9"/>
  <c r="L141" i="9"/>
  <c r="I61" i="7"/>
  <c r="I62" i="7" s="1"/>
  <c r="J59" i="7"/>
  <c r="J60" i="7" s="1"/>
  <c r="K30" i="6"/>
  <c r="M51" i="9" l="1"/>
  <c r="M53" i="9" s="1"/>
  <c r="M45" i="9"/>
  <c r="M46" i="9" s="1"/>
  <c r="L138" i="9"/>
  <c r="L143" i="9"/>
  <c r="M124" i="9" a="1"/>
  <c r="M124" i="9" s="1"/>
  <c r="M125" i="9" s="1"/>
  <c r="M36" i="9"/>
  <c r="M37" i="9" s="1"/>
  <c r="M120" i="9" a="1"/>
  <c r="M120" i="9" s="1"/>
  <c r="M121" i="9" s="1"/>
  <c r="K31" i="6"/>
  <c r="K64" i="6"/>
  <c r="I17" i="18" s="1"/>
  <c r="I18" i="18" s="1"/>
  <c r="I20" i="18" s="1"/>
  <c r="L25" i="6"/>
  <c r="K57" i="6" l="1"/>
  <c r="M137" i="9"/>
  <c r="M81" i="9"/>
  <c r="M82" i="9" s="1"/>
  <c r="M142" i="9"/>
  <c r="M136" i="9"/>
  <c r="M141" i="9"/>
  <c r="M84" i="9"/>
  <c r="M86" i="9" s="1"/>
  <c r="M112" i="9"/>
  <c r="M113" i="9" s="1"/>
  <c r="M116" i="9"/>
  <c r="M117" i="9" s="1"/>
  <c r="L62" i="6"/>
  <c r="N55" i="9"/>
  <c r="N57" i="9" s="1"/>
  <c r="N63" i="9"/>
  <c r="N65" i="9" s="1"/>
  <c r="N59" i="9"/>
  <c r="N61" i="9" s="1"/>
  <c r="J61" i="7"/>
  <c r="J62" i="7" s="1"/>
  <c r="L30" i="6"/>
  <c r="K59" i="7"/>
  <c r="K60" i="7" s="1"/>
  <c r="M143" i="9" l="1"/>
  <c r="M138" i="9"/>
  <c r="N51" i="9"/>
  <c r="N53" i="9" s="1"/>
  <c r="N45" i="9"/>
  <c r="N46" i="9" s="1"/>
  <c r="N120" i="9" a="1"/>
  <c r="N120" i="9" s="1"/>
  <c r="N121" i="9" s="1"/>
  <c r="N124" i="9" a="1"/>
  <c r="N124" i="9" s="1"/>
  <c r="N125" i="9" s="1"/>
  <c r="N36" i="9"/>
  <c r="N37" i="9" s="1"/>
  <c r="L31" i="6"/>
  <c r="L64" i="6"/>
  <c r="M25" i="6"/>
  <c r="J17" i="18" l="1"/>
  <c r="J18" i="18" s="1"/>
  <c r="J20" i="18" s="1"/>
  <c r="M62" i="6"/>
  <c r="O55" i="9"/>
  <c r="O57" i="9" s="1"/>
  <c r="O63" i="9"/>
  <c r="O65" i="9" s="1"/>
  <c r="O59" i="9"/>
  <c r="O61" i="9" s="1"/>
  <c r="L57" i="6"/>
  <c r="N81" i="9"/>
  <c r="N82" i="9" s="1"/>
  <c r="N137" i="9"/>
  <c r="N142" i="9"/>
  <c r="N136" i="9"/>
  <c r="N141" i="9"/>
  <c r="N116" i="9"/>
  <c r="N117" i="9" s="1"/>
  <c r="N112" i="9"/>
  <c r="N113" i="9" s="1"/>
  <c r="N84" i="9"/>
  <c r="N86" i="9" s="1"/>
  <c r="K61" i="7"/>
  <c r="K62" i="7" s="1"/>
  <c r="M30" i="6"/>
  <c r="N138" i="9" l="1"/>
  <c r="O51" i="9"/>
  <c r="O53" i="9" s="1"/>
  <c r="O45" i="9"/>
  <c r="O46" i="9" s="1"/>
  <c r="N143" i="9"/>
  <c r="O124" i="9" a="1"/>
  <c r="O124" i="9" s="1"/>
  <c r="O125" i="9" s="1"/>
  <c r="O36" i="9"/>
  <c r="O37" i="9" s="1"/>
  <c r="O120" i="9" a="1"/>
  <c r="O120" i="9" s="1"/>
  <c r="O121" i="9" s="1"/>
  <c r="M31" i="6"/>
  <c r="M64" i="6"/>
  <c r="K17" i="18" s="1"/>
  <c r="K18" i="18" s="1"/>
  <c r="M57" i="6" l="1"/>
  <c r="O137" i="9"/>
  <c r="O81" i="9"/>
  <c r="O82" i="9" s="1"/>
  <c r="O142" i="9"/>
  <c r="O136" i="9"/>
  <c r="O141" i="9"/>
  <c r="O84" i="9"/>
  <c r="O86" i="9" s="1"/>
  <c r="O116" i="9"/>
  <c r="O117" i="9" s="1"/>
  <c r="O112" i="9"/>
  <c r="O113" i="9" s="1"/>
  <c r="K20" i="18"/>
  <c r="K22" i="18" s="1"/>
  <c r="K24" i="18" s="1"/>
  <c r="K26" i="18" s="1"/>
  <c r="O8" i="18"/>
  <c r="O9" i="18" s="1"/>
  <c r="O143" i="9" l="1"/>
  <c r="O138" i="9"/>
  <c r="P59" i="13"/>
  <c r="O59" i="13"/>
  <c r="N5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E18" authorId="0" shapeId="0" xr:uid="{0ACAC4A0-E235-4E4A-869F-EB5E7724928A}">
      <text>
        <r>
          <rPr>
            <b/>
            <sz val="9"/>
            <color indexed="81"/>
            <rFont val="Tahoma"/>
            <family val="2"/>
          </rPr>
          <t>Lenovo:</t>
        </r>
        <r>
          <rPr>
            <sz val="9"/>
            <color indexed="81"/>
            <rFont val="Tahoma"/>
            <family val="2"/>
          </rPr>
          <t xml:space="preserve">
financial liabilites 
current and noncurrent 
current maturities of non current bprrowings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F865" authorId="0" shapeId="0" xr:uid="{45A9946F-137C-483D-9424-1ADB6586F7A4}">
      <text>
        <r>
          <rPr>
            <b/>
            <sz val="9"/>
            <color indexed="81"/>
            <rFont val="Tahoma"/>
            <family val="2"/>
          </rPr>
          <t>lenovo:</t>
        </r>
        <r>
          <rPr>
            <sz val="9"/>
            <color indexed="81"/>
            <rFont val="Tahoma"/>
            <family val="2"/>
          </rPr>
          <t xml:space="preserve">
Acquired on Acquisition of
subsidiary
</t>
        </r>
      </text>
    </comment>
    <comment ref="F877" authorId="0" shapeId="0" xr:uid="{354A51ED-FE60-4B0F-8D1A-376CE89FEFA6}">
      <text>
        <r>
          <rPr>
            <b/>
            <sz val="9"/>
            <color indexed="81"/>
            <rFont val="Tahoma"/>
            <family val="2"/>
          </rPr>
          <t>lenovo:</t>
        </r>
        <r>
          <rPr>
            <sz val="9"/>
            <color indexed="81"/>
            <rFont val="Tahoma"/>
            <family val="2"/>
          </rPr>
          <t xml:space="preserve">
Acquired on Acquisition of
subsidiary
</t>
        </r>
      </text>
    </comment>
    <comment ref="F889" authorId="0" shapeId="0" xr:uid="{DA8CD4BA-6C9B-47A2-8801-C064BEDDEB7E}">
      <text>
        <r>
          <rPr>
            <b/>
            <sz val="9"/>
            <color indexed="81"/>
            <rFont val="Tahoma"/>
            <family val="2"/>
          </rPr>
          <t>lenovo:</t>
        </r>
        <r>
          <rPr>
            <sz val="9"/>
            <color indexed="81"/>
            <rFont val="Tahoma"/>
            <family val="2"/>
          </rPr>
          <t xml:space="preserve">
Acquired on Acquisition of
subsidiary
</t>
        </r>
      </text>
    </comment>
    <comment ref="F901" authorId="0" shapeId="0" xr:uid="{617ABE74-8FDA-4F00-B716-F8E8E09E519E}">
      <text>
        <r>
          <rPr>
            <b/>
            <sz val="9"/>
            <color indexed="81"/>
            <rFont val="Tahoma"/>
            <family val="2"/>
          </rPr>
          <t>lenovo:</t>
        </r>
        <r>
          <rPr>
            <sz val="9"/>
            <color indexed="81"/>
            <rFont val="Tahoma"/>
            <family val="2"/>
          </rPr>
          <t xml:space="preserve">
Acquired on Acquisition of
subsidiary
</t>
        </r>
      </text>
    </comment>
    <comment ref="F913" authorId="0" shapeId="0" xr:uid="{026CA77A-2D48-4EC4-B062-52170A74FBAF}">
      <text>
        <r>
          <rPr>
            <b/>
            <sz val="9"/>
            <color indexed="81"/>
            <rFont val="Tahoma"/>
            <family val="2"/>
          </rPr>
          <t>lenovo:</t>
        </r>
        <r>
          <rPr>
            <sz val="9"/>
            <color indexed="81"/>
            <rFont val="Tahoma"/>
            <family val="2"/>
          </rPr>
          <t xml:space="preserve">
Acquired on Acquisition of
subsidiary
</t>
        </r>
      </text>
    </comment>
    <comment ref="F926" authorId="0" shapeId="0" xr:uid="{9B33C528-39B1-48C2-9155-C6B67C67EDFE}">
      <text>
        <r>
          <rPr>
            <b/>
            <sz val="9"/>
            <color indexed="81"/>
            <rFont val="Tahoma"/>
            <family val="2"/>
          </rPr>
          <t>lenovo:</t>
        </r>
        <r>
          <rPr>
            <sz val="9"/>
            <color indexed="81"/>
            <rFont val="Tahoma"/>
            <family val="2"/>
          </rPr>
          <t xml:space="preserve">
Acquired on Acquisition of
subsidiary
</t>
        </r>
      </text>
    </comment>
    <comment ref="F938" authorId="0" shapeId="0" xr:uid="{080DBB87-8212-42AA-8F1D-AE803BA4CF78}">
      <text>
        <r>
          <rPr>
            <b/>
            <sz val="9"/>
            <color indexed="81"/>
            <rFont val="Tahoma"/>
            <family val="2"/>
          </rPr>
          <t>lenovo:</t>
        </r>
        <r>
          <rPr>
            <sz val="9"/>
            <color indexed="81"/>
            <rFont val="Tahoma"/>
            <family val="2"/>
          </rPr>
          <t xml:space="preserve">
Acquired on Acquisition of
subsidiary
</t>
        </r>
      </text>
    </comment>
    <comment ref="F950" authorId="0" shapeId="0" xr:uid="{301E545C-E0F1-4B57-A944-4AEB67DA05B1}">
      <text>
        <r>
          <rPr>
            <b/>
            <sz val="9"/>
            <color indexed="81"/>
            <rFont val="Tahoma"/>
            <family val="2"/>
          </rPr>
          <t>lenovo:</t>
        </r>
        <r>
          <rPr>
            <sz val="9"/>
            <color indexed="81"/>
            <rFont val="Tahoma"/>
            <family val="2"/>
          </rPr>
          <t xml:space="preserve">
Acquired on Acquisition of
subsidiary
</t>
        </r>
      </text>
    </comment>
    <comment ref="F963" authorId="0" shapeId="0" xr:uid="{183E437B-3B61-43E5-86EA-6864EA85A9EE}">
      <text>
        <r>
          <rPr>
            <b/>
            <sz val="9"/>
            <color indexed="81"/>
            <rFont val="Tahoma"/>
            <family val="2"/>
          </rPr>
          <t>lenovo:</t>
        </r>
        <r>
          <rPr>
            <sz val="9"/>
            <color indexed="81"/>
            <rFont val="Tahoma"/>
            <family val="2"/>
          </rPr>
          <t xml:space="preserve">
Acquired on Acquisition of
subsidiary
</t>
        </r>
      </text>
    </comment>
    <comment ref="F977" authorId="0" shapeId="0" xr:uid="{7140BD3F-9047-4BF4-9D39-32641B76FBD1}">
      <text>
        <r>
          <rPr>
            <b/>
            <sz val="9"/>
            <color indexed="81"/>
            <rFont val="Tahoma"/>
            <family val="2"/>
          </rPr>
          <t>lenovo:</t>
        </r>
        <r>
          <rPr>
            <sz val="9"/>
            <color indexed="81"/>
            <rFont val="Tahoma"/>
            <family val="2"/>
          </rPr>
          <t xml:space="preserve">
Acquired on Acquisition of
subsidiary
</t>
        </r>
      </text>
    </comment>
    <comment ref="F991" authorId="0" shapeId="0" xr:uid="{C2BB37D4-9947-46F7-AEDC-F320204B6212}">
      <text>
        <r>
          <rPr>
            <b/>
            <sz val="9"/>
            <color indexed="81"/>
            <rFont val="Tahoma"/>
            <family val="2"/>
          </rPr>
          <t>lenovo:</t>
        </r>
        <r>
          <rPr>
            <sz val="9"/>
            <color indexed="81"/>
            <rFont val="Tahoma"/>
            <family val="2"/>
          </rPr>
          <t xml:space="preserve">
Acquired on Acquisition of
subsidiary
</t>
        </r>
      </text>
    </comment>
    <comment ref="F998" authorId="0" shapeId="0" xr:uid="{6B9BBB23-677A-4889-8B4A-EAFF02FCC021}">
      <text>
        <r>
          <rPr>
            <b/>
            <sz val="9"/>
            <color indexed="81"/>
            <rFont val="Tahoma"/>
            <family val="2"/>
          </rPr>
          <t>lenovo:</t>
        </r>
        <r>
          <rPr>
            <sz val="9"/>
            <color indexed="81"/>
            <rFont val="Tahoma"/>
            <family val="2"/>
          </rPr>
          <t xml:space="preserve">
Acquired on Acquisition of
subsidiary
</t>
        </r>
      </text>
    </comment>
    <comment ref="F1005" authorId="0" shapeId="0" xr:uid="{F3AA92AD-942C-44EC-83A7-6465FCF7FCC1}">
      <text>
        <r>
          <rPr>
            <b/>
            <sz val="9"/>
            <color indexed="81"/>
            <rFont val="Tahoma"/>
            <family val="2"/>
          </rPr>
          <t>lenovo:</t>
        </r>
        <r>
          <rPr>
            <sz val="9"/>
            <color indexed="81"/>
            <rFont val="Tahoma"/>
            <family val="2"/>
          </rPr>
          <t xml:space="preserve">
Acquired on Acquisition of
subsidiary
</t>
        </r>
      </text>
    </comment>
    <comment ref="F1012" authorId="0" shapeId="0" xr:uid="{E95395F1-3169-4B27-B44B-50476295A48C}">
      <text>
        <r>
          <rPr>
            <b/>
            <sz val="9"/>
            <color indexed="81"/>
            <rFont val="Tahoma"/>
            <family val="2"/>
          </rPr>
          <t>lenovo:</t>
        </r>
        <r>
          <rPr>
            <sz val="9"/>
            <color indexed="81"/>
            <rFont val="Tahoma"/>
            <family val="2"/>
          </rPr>
          <t xml:space="preserve">
Acquired on Acquisition of
subsidiary
</t>
        </r>
      </text>
    </comment>
    <comment ref="F1020" authorId="0" shapeId="0" xr:uid="{7FEA7EB6-713B-4B3A-A25E-02AA88A615AE}">
      <text>
        <r>
          <rPr>
            <b/>
            <sz val="9"/>
            <color indexed="81"/>
            <rFont val="Tahoma"/>
            <family val="2"/>
          </rPr>
          <t>lenovo:</t>
        </r>
        <r>
          <rPr>
            <sz val="9"/>
            <color indexed="81"/>
            <rFont val="Tahoma"/>
            <family val="2"/>
          </rPr>
          <t xml:space="preserve">
Acquired on Acquisition of
subsidiary
</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<sst xmlns="http://schemas.openxmlformats.org/spreadsheetml/2006/main" count="2984" uniqueCount="1209">
  <si>
    <t>EXPENSES</t>
  </si>
  <si>
    <t>Cost of sales on projects</t>
  </si>
  <si>
    <t>Property and facilities operating expenses</t>
  </si>
  <si>
    <t>Employee benefits expense</t>
  </si>
  <si>
    <t>Finance costs</t>
  </si>
  <si>
    <t>Other expenses</t>
  </si>
  <si>
    <t>Tax expense</t>
  </si>
  <si>
    <t>Note No.</t>
  </si>
  <si>
    <t>6,7,8</t>
  </si>
  <si>
    <t>Revenue from Operations</t>
  </si>
  <si>
    <t>Other Income</t>
  </si>
  <si>
    <t>Depreciation and amortisation expense</t>
  </si>
  <si>
    <t>Current tax</t>
  </si>
  <si>
    <t>Tax impact</t>
  </si>
  <si>
    <t>Profit for the year attributable to</t>
  </si>
  <si>
    <t>Owners of the Company</t>
  </si>
  <si>
    <t>Non-controlling interests</t>
  </si>
  <si>
    <t>Other comprehensive income for the year attributable to</t>
  </si>
  <si>
    <t>Total comprehensive income for the year attributable to</t>
  </si>
  <si>
    <t>Total Income  (I)</t>
  </si>
  <si>
    <t>Total Expenses  (II)</t>
  </si>
  <si>
    <t>Profit before share of profit/(loss) from associate and jointly controlled entities and tax expense (III = I-II)</t>
  </si>
  <si>
    <t>Total Tax expense (VI)</t>
  </si>
  <si>
    <t>Earning per Equity Share (par value of ` 10 each)</t>
  </si>
  <si>
    <t>Basic and diluted EPS (in `)</t>
  </si>
  <si>
    <t xml:space="preserve">Remeasurements of the defined benefit liabilities / (asset)  </t>
  </si>
  <si>
    <t xml:space="preserve">Owners of the Company </t>
  </si>
  <si>
    <t>Other Comprehensive income</t>
  </si>
  <si>
    <t xml:space="preserve"> Items that will not be recycled to profit or loss</t>
  </si>
  <si>
    <t>PARTICULARS</t>
  </si>
  <si>
    <t>(Increase) / decrease in inventory</t>
  </si>
  <si>
    <t>Contractor cost</t>
  </si>
  <si>
    <t>Purchase of project material</t>
  </si>
  <si>
    <t>Purchase of completed units</t>
  </si>
  <si>
    <t>Land purchase cost</t>
  </si>
  <si>
    <t>Rental expenses</t>
  </si>
  <si>
    <t>Rates and taxes</t>
  </si>
  <si>
    <t>Facility management expense</t>
  </si>
  <si>
    <t>Profit before exceptional Items (III = I-II)</t>
  </si>
  <si>
    <t>Exceptional items (IV)</t>
  </si>
  <si>
    <t>-</t>
  </si>
  <si>
    <t>INCOME STATEMENT</t>
  </si>
  <si>
    <t>Sale of services</t>
  </si>
  <si>
    <t>Residential and commercial projects</t>
  </si>
  <si>
    <t>Other operating revenues Project management fees</t>
  </si>
  <si>
    <t>Property income</t>
  </si>
  <si>
    <t>Assignment fees</t>
  </si>
  <si>
    <t>Marketing fees</t>
  </si>
  <si>
    <t>Share of profit from partnership firms (Net) - Subsidiaries</t>
  </si>
  <si>
    <t>Particulars</t>
  </si>
  <si>
    <t>Note No</t>
  </si>
  <si>
    <t>Sale of real estate developments</t>
  </si>
  <si>
    <t>Contractual Projects</t>
  </si>
  <si>
    <t>Revenue from contracts with customers</t>
  </si>
  <si>
    <t>Interest income -</t>
  </si>
  <si>
    <t xml:space="preserve">On Bank deposits </t>
  </si>
  <si>
    <t>- On loans &amp; advances including intercorporate deposits</t>
  </si>
  <si>
    <t>- Others</t>
  </si>
  <si>
    <t>Dividend income - from others</t>
  </si>
  <si>
    <t>Profit on sale of fixed assets</t>
  </si>
  <si>
    <t>Profit on sale of Investments (mutual funds</t>
  </si>
  <si>
    <t>Net gain on financial assets designated at FVPL</t>
  </si>
  <si>
    <t>Excess provision for property tax written back</t>
  </si>
  <si>
    <t>Gain on disposal of associate on business combination</t>
  </si>
  <si>
    <t>Miscellaneous income</t>
  </si>
  <si>
    <t xml:space="preserve">Profit on redemption of Investments </t>
  </si>
  <si>
    <t>Opening units in completed projects / work in progress projects</t>
  </si>
  <si>
    <t>Opening stock of materials</t>
  </si>
  <si>
    <t>Add: Cost of residential and commercial projects / purchase of materials incurred during the year</t>
  </si>
  <si>
    <t>Less : Closing units in completed projects / work in progress projects</t>
  </si>
  <si>
    <t>Less : Closing stock of materials</t>
  </si>
  <si>
    <t xml:space="preserve">Purchase of Project Material </t>
  </si>
  <si>
    <t>Land cost</t>
  </si>
  <si>
    <t>Legal &amp; professional charges</t>
  </si>
  <si>
    <t>Power and fuel</t>
  </si>
  <si>
    <t>other expense</t>
  </si>
  <si>
    <t>corporate Social Responsibility</t>
  </si>
  <si>
    <t>Add: Stock transferred from fixed asset</t>
  </si>
  <si>
    <t>Less : Stock capitalised / transferred to capital work in progress</t>
  </si>
  <si>
    <t>Impact of Ind AS 115</t>
  </si>
  <si>
    <t xml:space="preserve">Salaries and wages </t>
  </si>
  <si>
    <t>Contribution to Provident and other funds</t>
  </si>
  <si>
    <t>Gratuity expense</t>
  </si>
  <si>
    <t>Staff welfare expenses</t>
  </si>
  <si>
    <t xml:space="preserve">Interest on borrowings </t>
  </si>
  <si>
    <t>Interest on delayed payment of income tax</t>
  </si>
  <si>
    <t>Interest - Others</t>
  </si>
  <si>
    <t>Other borrowing costs</t>
  </si>
  <si>
    <t>Less: Borrowing cost capitalised to fixed assets including Capital Work In Progress</t>
  </si>
  <si>
    <t>Less: borrowing cost apportioned to projects</t>
  </si>
  <si>
    <t>Costs considered as finance cost in Consolidated Statement of Profit &amp; Loss*</t>
  </si>
  <si>
    <t>*Gross of finance cost inventorised to work in progress</t>
  </si>
  <si>
    <t xml:space="preserve">Selling Expenses </t>
  </si>
  <si>
    <t xml:space="preserve">Repairs and maintenance </t>
  </si>
  <si>
    <t xml:space="preserve">Food and beverages consumed </t>
  </si>
  <si>
    <t xml:space="preserve">Current tax </t>
  </si>
  <si>
    <t xml:space="preserve">a. Income tax recognised in consolidated statement of profit and loss </t>
  </si>
  <si>
    <t xml:space="preserve">In respect of the current year </t>
  </si>
  <si>
    <t xml:space="preserve">In respect of prior years </t>
  </si>
  <si>
    <t xml:space="preserve">Deferred tax </t>
  </si>
  <si>
    <t>Total income tax expense recognised in the current year</t>
  </si>
  <si>
    <t>b Income tax recognised in other comprehensive income</t>
  </si>
  <si>
    <t xml:space="preserve">Arising on income and expenses recognised in other comprehensive income: </t>
  </si>
  <si>
    <t xml:space="preserve">Remeasurement of defined benefit obligation </t>
  </si>
  <si>
    <t>Total income tax recognised in other comprehensive income</t>
  </si>
  <si>
    <t>Items that will not be reclassified to consolidated statement of profit and loss</t>
  </si>
  <si>
    <t xml:space="preserve">c Reconciliation of tax expense and accounting profit </t>
  </si>
  <si>
    <t xml:space="preserve">Profit before tax from continuing operations </t>
  </si>
  <si>
    <t xml:space="preserve">Applicable tax rate </t>
  </si>
  <si>
    <t>Adjustment on account of :</t>
  </si>
  <si>
    <t xml:space="preserve">Tax effect of exempt operating income </t>
  </si>
  <si>
    <t xml:space="preserve">Tax effect of exempt non-operating income </t>
  </si>
  <si>
    <t xml:space="preserve">Tax effect of permanent non deductible expenses </t>
  </si>
  <si>
    <t xml:space="preserve">Tax effect of deductible expenses </t>
  </si>
  <si>
    <t xml:space="preserve">Unabsorbed losses </t>
  </si>
  <si>
    <t xml:space="preserve">Difference in tax rates </t>
  </si>
  <si>
    <t>Others</t>
  </si>
  <si>
    <t>Shortfall in tax provision for prior years recognised in current yea</t>
  </si>
  <si>
    <t>Income tax expense recognised in Consolidated Statement of Profit and Loss (A+B)</t>
  </si>
  <si>
    <t xml:space="preserve">Earning per share (in Rupees)     </t>
  </si>
  <si>
    <t>Profit for the year attributable to owners of the Company and used in calculation of EPS (` in Million)</t>
  </si>
  <si>
    <t xml:space="preserve">Weighted average number of equity shares  </t>
  </si>
  <si>
    <t>Basic (in Numbers)</t>
  </si>
  <si>
    <t>Diluted (in Numbers)</t>
  </si>
  <si>
    <t xml:space="preserve">Nominal value of shares (in Rupees) </t>
  </si>
  <si>
    <t>Basic</t>
  </si>
  <si>
    <t>Diluted</t>
  </si>
  <si>
    <t>Opening inventory</t>
  </si>
  <si>
    <t>Add: Stock acquired on purchase of subsidiary</t>
  </si>
  <si>
    <t xml:space="preserve">Add: Impact of Ind AS 115 </t>
  </si>
  <si>
    <t>Add: Stock transferred from capital work in progress</t>
  </si>
  <si>
    <t>Less : Stock capitalised/ transferred to capital work in progress</t>
  </si>
  <si>
    <t>Less : Closing inventory</t>
  </si>
  <si>
    <t>Property expenses</t>
  </si>
  <si>
    <t>Facilities operating expenses</t>
  </si>
  <si>
    <t>Sub lease rent</t>
  </si>
  <si>
    <t>Property tax and other expenses</t>
  </si>
  <si>
    <t>Facilities management expenses</t>
  </si>
  <si>
    <t>Security charges for parking</t>
  </si>
  <si>
    <t>Electricity and other expenses</t>
  </si>
  <si>
    <t>Sub lease rental - Malls</t>
  </si>
  <si>
    <t>Property tax - Malls</t>
  </si>
  <si>
    <t>Signages, insurance and other expenses</t>
  </si>
  <si>
    <t>Food and beverages consumed</t>
  </si>
  <si>
    <t>Operating fees</t>
  </si>
  <si>
    <t>Contractors and franchise cost</t>
  </si>
  <si>
    <t>Crockery, cutlery and silverware</t>
  </si>
  <si>
    <t>Linen</t>
  </si>
  <si>
    <t>Spares and supplies</t>
  </si>
  <si>
    <t>Banquet and security expenses</t>
  </si>
  <si>
    <t>ANALYTICAL INCOME STATEMENTS</t>
  </si>
  <si>
    <t>NOTE NO.</t>
  </si>
  <si>
    <t>2017-18</t>
  </si>
  <si>
    <t>2018-19</t>
  </si>
  <si>
    <t xml:space="preserve">Revenue from Operation </t>
  </si>
  <si>
    <t xml:space="preserve">Less: Cost of Good Sold </t>
  </si>
  <si>
    <t>Less: Selling, distribution and admistraction / selling general administraction</t>
  </si>
  <si>
    <t>Earning Before Interest Tax Deprecitaion and amortation</t>
  </si>
  <si>
    <t>Less: Depreciation, amortation and impariments</t>
  </si>
  <si>
    <t>Earning before interest and tax (OPERATION PROFIT)</t>
  </si>
  <si>
    <t>Less: Interest</t>
  </si>
  <si>
    <t>Add: Other Income</t>
  </si>
  <si>
    <t>Earning before Tax</t>
  </si>
  <si>
    <t>Less: Tax</t>
  </si>
  <si>
    <t>NET INCOME</t>
  </si>
  <si>
    <t xml:space="preserve">Legal and professional charges </t>
  </si>
  <si>
    <t xml:space="preserve">Advertisement and sponsorship fee </t>
  </si>
  <si>
    <t>GROSS MARGIN</t>
  </si>
  <si>
    <t xml:space="preserve">Add: Extraordinary item / Expectional item </t>
  </si>
  <si>
    <t xml:space="preserve">Particulars  </t>
  </si>
  <si>
    <t>A. ASSETS</t>
  </si>
  <si>
    <t>(1) Non-current assets</t>
  </si>
  <si>
    <t>B. EQUITY AND LIABILITIES</t>
  </si>
  <si>
    <t>(1) Equity</t>
  </si>
  <si>
    <t>(2) Non-current liabilities</t>
  </si>
  <si>
    <t>(3) Current liabilities</t>
  </si>
  <si>
    <t>(a) Property, plant and equipment</t>
  </si>
  <si>
    <t>(b)  Capital work-in-progress (including Investment property under construction)</t>
  </si>
  <si>
    <t>(c)  Investment property</t>
  </si>
  <si>
    <t>(d)  Goodwill</t>
  </si>
  <si>
    <t>(e)  Other intangible assets</t>
  </si>
  <si>
    <t>(g)  Financial assets</t>
  </si>
  <si>
    <t>(i) Investments</t>
  </si>
  <si>
    <t>(ii) Loans</t>
  </si>
  <si>
    <t>(iii) Other financial assets</t>
  </si>
  <si>
    <t>(j)  Other non-current assets</t>
  </si>
  <si>
    <t>(2)  Current assets</t>
  </si>
  <si>
    <t>(a)  Inventories</t>
  </si>
  <si>
    <t>(b) Financial assets</t>
  </si>
  <si>
    <t>(ii) Trade receivables</t>
  </si>
  <si>
    <t>(iii) Cash and cash equivalents</t>
  </si>
  <si>
    <t>(iv) Other bank balances</t>
  </si>
  <si>
    <t>(v) Loans</t>
  </si>
  <si>
    <t>(vi) Other financial assets</t>
  </si>
  <si>
    <t>(c) Other current assets</t>
  </si>
  <si>
    <t>Total</t>
  </si>
  <si>
    <t>(a) Equity share capital</t>
  </si>
  <si>
    <t>(b) Other equity</t>
  </si>
  <si>
    <t>Equity attributable to owners of the Company</t>
  </si>
  <si>
    <t>Non controlling interest</t>
  </si>
  <si>
    <t>Total Equity</t>
  </si>
  <si>
    <t>(a) Financial liabilities</t>
  </si>
  <si>
    <t>(i) Borrowings</t>
  </si>
  <si>
    <t>(ii) Other financial liabilities</t>
  </si>
  <si>
    <t>(b) Provisions</t>
  </si>
  <si>
    <t>(ii) Trade payables</t>
  </si>
  <si>
    <t>(iii) Other financial liabilities</t>
  </si>
  <si>
    <t>(b) Other current liabilities</t>
  </si>
  <si>
    <t>(c) Provisions</t>
  </si>
  <si>
    <t>(h)  Deferred tax assets (net)</t>
  </si>
  <si>
    <t>(i) Income tax assets (net)</t>
  </si>
  <si>
    <t>(c) Deferred tax liabilities (net)</t>
  </si>
  <si>
    <t xml:space="preserve">(d)  Income tax liabilities (net) </t>
  </si>
  <si>
    <t>CONSOLIDATED BALANCE SHEET</t>
  </si>
  <si>
    <t>Carrying amount determined using the equity method of accounting</t>
  </si>
  <si>
    <t>City Properties Maintenance Company Bangalore Limited</t>
  </si>
  <si>
    <t>Sub-total</t>
  </si>
  <si>
    <t>Equity Instruments (Unquoted, Fully paid up unless otherwise stated)</t>
  </si>
  <si>
    <t>Prestige Exora Business Parks Limited (subsidiary w.e.f. December 21,2015)</t>
  </si>
  <si>
    <t>Prestige Exora Business Parks Limited (subsidiary w.e.f. December 21, 2015)</t>
  </si>
  <si>
    <t>Preference Shares (Unquoted, Fully paid up unless otherwise stated)</t>
  </si>
  <si>
    <t>Investment in associates</t>
  </si>
  <si>
    <t>Investment in joint ventures - Jointly Controlled Entities</t>
  </si>
  <si>
    <t>Other investments</t>
  </si>
  <si>
    <t>10b</t>
  </si>
  <si>
    <t>10c</t>
  </si>
  <si>
    <t>Partnership Firms (Unquoted)</t>
  </si>
  <si>
    <t>Prestige KRPL Techpark (Dissolved on September 19, 2016)</t>
  </si>
  <si>
    <t>Silver Oak Projects (subsidiary w.e.f. October 1, 2015)</t>
  </si>
  <si>
    <t>Debentures (Unquoted, Fully paid up unless otherwise stated)</t>
  </si>
  <si>
    <t>Prestige Mangalore Retail Ventures Private Limited</t>
  </si>
  <si>
    <t>Prestige Mysore Retail Ventures Private Limited</t>
  </si>
  <si>
    <t>Prestige Garden Constructions Private Limited</t>
  </si>
  <si>
    <t>Prestige Projects Private Limited</t>
  </si>
  <si>
    <t>Babji Realtors Private Limited</t>
  </si>
  <si>
    <t>Thomsun Realtors Private Limited</t>
  </si>
  <si>
    <t>CapitaLand Retail Prestige Mall Management Private Limited</t>
  </si>
  <si>
    <t xml:space="preserve">Vijaya Productions Private Limited </t>
  </si>
  <si>
    <t>Prestige Whitefield Investment &amp; Developers Private Limited (convertedto Prestige Whitefield Investment &amp; Developers LLP w.e.f March 31,2016)</t>
  </si>
  <si>
    <t>Prestige City Properties</t>
  </si>
  <si>
    <t>Prestige Realty Ventures</t>
  </si>
  <si>
    <t>Silverline Estates</t>
  </si>
  <si>
    <t>Share Warrants (Unquoted)</t>
  </si>
  <si>
    <t>Prestige Garden Estates Private Limited</t>
  </si>
  <si>
    <t>Geotrix Building Envelope Private Limited</t>
  </si>
  <si>
    <t>Prathyusha Power Gen Private Limited</t>
  </si>
  <si>
    <t>Clover Energy Private Limited</t>
  </si>
  <si>
    <t>Lotus Clean Power Venture Private Limited</t>
  </si>
  <si>
    <t>Propmart Technologies Limited</t>
  </si>
  <si>
    <t>Amanath Co-operative Bank Limited</t>
  </si>
  <si>
    <t>Shares in KSFC</t>
  </si>
  <si>
    <t>Limited Liability Partnership firms (Unquoted)</t>
  </si>
  <si>
    <t>Rustomjee Prestige Vocational Education and Training Centre LLP</t>
  </si>
  <si>
    <t>Investment in trusts (Unquoted)</t>
  </si>
  <si>
    <t>Educate India Foundation</t>
  </si>
  <si>
    <t>Educate India Trust</t>
  </si>
  <si>
    <t>Investment in Venture Capital Fund (Unquoted)</t>
  </si>
  <si>
    <t>Investment - Others (Unquoted)</t>
  </si>
  <si>
    <t>National Savings Certificates</t>
  </si>
  <si>
    <t>Add: Share of profit / (loss) from associates/ jointly controlled entities (Net) (IV)</t>
  </si>
  <si>
    <t xml:space="preserve"> -250 (March 31, 2016 – 250, April 1, 2015 - 250) units in Urban Infrastructure Opportunities Fund</t>
  </si>
  <si>
    <t>Financial assets measured at Cost (based on equity method)</t>
  </si>
  <si>
    <t>Financial assets carried at Amortised Cost</t>
  </si>
  <si>
    <t>Financial assets measured at Fair Value through Profit and Loss</t>
  </si>
  <si>
    <t>Aggregate book value of quoted investments</t>
  </si>
  <si>
    <t>Aggregate market value of quoted investments</t>
  </si>
  <si>
    <t>Aggregate carrying value of unquoted investments</t>
  </si>
  <si>
    <t>Aggregate amount of impairment in value of investments</t>
  </si>
  <si>
    <t>To related parties - unsecured, considered good</t>
  </si>
  <si>
    <t>Carried at amortised cost</t>
  </si>
  <si>
    <t>Lease deposits</t>
  </si>
  <si>
    <t>Inter Corporate Deposits</t>
  </si>
  <si>
    <t>Current account in partnership firms</t>
  </si>
  <si>
    <t>Other Loans &amp; Advances</t>
  </si>
  <si>
    <t>To others - unsecured, considered good</t>
  </si>
  <si>
    <t>Security deposits</t>
  </si>
  <si>
    <t>Refundable deposits</t>
  </si>
  <si>
    <t>Due from:</t>
  </si>
  <si>
    <t>Directors</t>
  </si>
  <si>
    <t>Firms in which directors are partners</t>
  </si>
  <si>
    <t>Companies in which directors of the Company are directors or members</t>
  </si>
  <si>
    <t>Share application money</t>
  </si>
  <si>
    <t>Debenture application money</t>
  </si>
  <si>
    <t>Interest accrued but not due on deposits</t>
  </si>
  <si>
    <t>Advance paid for purchase of shares</t>
  </si>
  <si>
    <t>Balances with banks to the extent held as margin money or security against the borrowings, guarantees, other commitments</t>
  </si>
  <si>
    <t>Capital advances</t>
  </si>
  <si>
    <t>To Others - unsecured, considered good</t>
  </si>
  <si>
    <t>Prepaid expenses</t>
  </si>
  <si>
    <t>Leasehold land</t>
  </si>
  <si>
    <t>Advance VAT &amp; Service Tax</t>
  </si>
  <si>
    <t>To Others - Unsecured, considered doubtful</t>
  </si>
  <si>
    <t>Less: Provision for doubtful advances</t>
  </si>
  <si>
    <t>Companies in which directors of the Company are</t>
  </si>
  <si>
    <t>directors or members</t>
  </si>
  <si>
    <t>Work in progress - projects</t>
  </si>
  <si>
    <t>Stock of units in completed projects</t>
  </si>
  <si>
    <t>Stores and operating supplies</t>
  </si>
  <si>
    <t>Carrying amount of inventories pledged as security for borrowings</t>
  </si>
  <si>
    <t>Purchased</t>
  </si>
  <si>
    <t>Carried at fair value through profit and loss</t>
  </si>
  <si>
    <t>Equity Instruments Non-trade investments (Quoted, fully paid up)</t>
  </si>
  <si>
    <t>Mutual Funds Non-trade investments (Unquoted, fully paid up)</t>
  </si>
  <si>
    <t>Tata Consultancy Services Limited</t>
  </si>
  <si>
    <t>Birla Sunlife Floating Rate Long Term Institutional Plan -Daily Dividend</t>
  </si>
  <si>
    <t>Reliance Fixed Horizon Fund - XXVIII - Series 18 - Direct Growth Plan</t>
  </si>
  <si>
    <t>Total Mutual funds investments</t>
  </si>
  <si>
    <t>Total Current Investments</t>
  </si>
  <si>
    <t>Category-wise current investment</t>
  </si>
  <si>
    <t>DWS Banking &amp; PSU Debt Fund - Regular growth plan</t>
  </si>
  <si>
    <t>Birla Sunlife Dynamic Bond Fund - Retail growth plan</t>
  </si>
  <si>
    <t>DWS Treasury Fund - Regular Investment growth plan</t>
  </si>
  <si>
    <t>IDFC Banking Debt Fund - Regular growth plan</t>
  </si>
  <si>
    <t>IDFC Money Manager Fund Investment Plan - Regular growth plan</t>
  </si>
  <si>
    <t>Receivables considered good</t>
  </si>
  <si>
    <t>Receivables which have significant increase in credit risk</t>
  </si>
  <si>
    <t>Provision for doubtful receivables (expected credit loss allowance)</t>
  </si>
  <si>
    <t>Receivables pledged as security for borrowings</t>
  </si>
  <si>
    <t>Balance at the beginning of the year</t>
  </si>
  <si>
    <t>Add: Additions during the year, net</t>
  </si>
  <si>
    <t>Less: Uncollectable receivables charged against allowance</t>
  </si>
  <si>
    <t>Balance at the end of the year</t>
  </si>
  <si>
    <t>Cash on hand</t>
  </si>
  <si>
    <t>Balances with banks</t>
  </si>
  <si>
    <t xml:space="preserve"> - in current accounts</t>
  </si>
  <si>
    <t xml:space="preserve"> - in fixed deposits</t>
  </si>
  <si>
    <t>Cheques, drafts on hand</t>
  </si>
  <si>
    <t>In earmarked accounts</t>
  </si>
  <si>
    <t xml:space="preserve"> - Balances held as margin money</t>
  </si>
  <si>
    <t>Cash and cash equivalents for the purpose of cashflow statement</t>
  </si>
  <si>
    <t>Closing cash in hand as on November 8, 2016</t>
  </si>
  <si>
    <t>Add: Permitted receipts</t>
  </si>
  <si>
    <t>Less: Permitted payments</t>
  </si>
  <si>
    <t>Less: Amount deposited in Banks</t>
  </si>
  <si>
    <t>Closing cash in hand as on December 30, 2016</t>
  </si>
  <si>
    <t>Specified Bank Notes</t>
  </si>
  <si>
    <t>Other Denomination notes</t>
  </si>
  <si>
    <t>Inter corporate deposits</t>
  </si>
  <si>
    <t>Other advances</t>
  </si>
  <si>
    <t>Advances paid to staff</t>
  </si>
  <si>
    <t>Margin money deposits are subject to first charge as security</t>
  </si>
  <si>
    <t>Fixed deposits with maturity more than 3 months</t>
  </si>
  <si>
    <t>Share / debenture application money</t>
  </si>
  <si>
    <t>Advances paid for purchase of land</t>
  </si>
  <si>
    <t>Advance paid to suppliers</t>
  </si>
  <si>
    <t>Advance VAT &amp; Service tax</t>
  </si>
  <si>
    <t>Unbilled revenue</t>
  </si>
  <si>
    <t>Authorised capital</t>
  </si>
  <si>
    <t>Issued, subscribed and fully paid up capital</t>
  </si>
  <si>
    <t>400,000,000 (March 31, 2016: 400,000,000, April 1, 2015: 400,000,000) equity shares of ` 10 each</t>
  </si>
  <si>
    <t>375,000,000 (March 31, 2016: 375,000,000, April 1, 2015: 375,000,000) equity shares of 10 each, fully paid up</t>
  </si>
  <si>
    <t>Add: Additions during the year</t>
  </si>
  <si>
    <t>Less: Deletions for the year</t>
  </si>
  <si>
    <t>As at March 31, 2016</t>
  </si>
  <si>
    <t>No of shares</t>
  </si>
  <si>
    <t>Amount ( in Million)</t>
  </si>
  <si>
    <t>At the beginning of the year</t>
  </si>
  <si>
    <t>Issued during the year</t>
  </si>
  <si>
    <t>Outstanding at the end</t>
  </si>
  <si>
    <t>As at March 31, 2017</t>
  </si>
  <si>
    <t>% of holding</t>
  </si>
  <si>
    <t>As at March 31, 2018</t>
  </si>
  <si>
    <t>As at March 31, 2019</t>
  </si>
  <si>
    <t>Razack Family Trust</t>
  </si>
  <si>
    <t>Irfan Razack</t>
  </si>
  <si>
    <t>Rezwan Razack</t>
  </si>
  <si>
    <t>Noaman Razack</t>
  </si>
  <si>
    <t>General reserve</t>
  </si>
  <si>
    <t>Capital reserve</t>
  </si>
  <si>
    <t>Securities premium reserve</t>
  </si>
  <si>
    <t>Debenture redemption reserve</t>
  </si>
  <si>
    <t>Retained earnings</t>
  </si>
  <si>
    <t>Less : Utilised for Issue expenses</t>
  </si>
  <si>
    <t>Add: Transfer from Statement of Profit and Loss</t>
  </si>
  <si>
    <t>Less: Transferred to general reserve on redemption</t>
  </si>
  <si>
    <t>Add: Profit attributable to owners of the Company</t>
  </si>
  <si>
    <t>Adjustments consequent to change in proportion of non controlling interest</t>
  </si>
  <si>
    <t>Less: Allocations/ Appropriations</t>
  </si>
  <si>
    <t>Transfer to Debenture redemption reserve</t>
  </si>
  <si>
    <t>Dividend distributed to equity shareholders</t>
  </si>
  <si>
    <t>Dividend distribution tax on dividend</t>
  </si>
  <si>
    <t>Balance at the beginning of the year (Refer Note 57)</t>
  </si>
  <si>
    <t>Add: Other comprehensive income arising from remeasurement of defined benefit obligation net of income tax</t>
  </si>
  <si>
    <t>Dividends on equity shares declared and paid:</t>
  </si>
  <si>
    <t>Final dividend for the year ended on 31 March 2018: ` 1.20 per share (31 March 2017: ` 1.20 per share)</t>
  </si>
  <si>
    <t>Proposed dividends on Equity shares:</t>
  </si>
  <si>
    <t>Proposed for the year ended on 31 March 2019: ` 1.50 per share (31 March 2018: 1.20 per share)</t>
  </si>
  <si>
    <t>Dividend distribution tax on proposed dividend</t>
  </si>
  <si>
    <t>Interim dividend for the year ended on March 31, 2017: Nil (March 31, 2016: ` 1.20 per share)</t>
  </si>
  <si>
    <t>Proposed dividends on equity shares are subject to approval at the annual general meeting and are not recognised as a liability (including dividend distribution tax thereon) as at March 31, 2017.</t>
  </si>
  <si>
    <t>Balance at beginning of year</t>
  </si>
  <si>
    <t>Share of profit for the year (net)</t>
  </si>
  <si>
    <t>Net infusion by / (repayment) to NCI</t>
  </si>
  <si>
    <t>Non-controlling interests arising on the acquisition of Subsidiaries</t>
  </si>
  <si>
    <t>Balance at end of year</t>
  </si>
  <si>
    <t>The table below shows details of non-wholly owned subsidiaries of the Group that have material non-controlling interests:                                                                                                                                        in Million</t>
  </si>
  <si>
    <t>Name of subsidiary</t>
  </si>
  <si>
    <t>Status</t>
  </si>
  <si>
    <t>Principal place of business</t>
  </si>
  <si>
    <t>Proportion of ownership interests held by non-controlling interests</t>
  </si>
  <si>
    <t>Prestige Southcity Holdings</t>
  </si>
  <si>
    <t>Partnership Firm</t>
  </si>
  <si>
    <t>India</t>
  </si>
  <si>
    <t>Prestige Nottinghill Investments</t>
  </si>
  <si>
    <t>Sterling Urban Infra Projects Private Limited</t>
  </si>
  <si>
    <t>Company</t>
  </si>
  <si>
    <t>Subsidiaries with material noncontrolling interests</t>
  </si>
  <si>
    <t>Individually immaterial subsidiaries with non-controlling interests</t>
  </si>
  <si>
    <t xml:space="preserve">PRESTIGE ESTATES </t>
  </si>
  <si>
    <t>Consolidated Cash Flow Statements</t>
  </si>
  <si>
    <t>2016-17</t>
  </si>
  <si>
    <t>Consolidated Profit/Loss After MI And Associates</t>
  </si>
  <si>
    <t>Share Of Profit/Loss Of Associates</t>
  </si>
  <si>
    <t>Minority Interest</t>
  </si>
  <si>
    <t>Net income</t>
  </si>
  <si>
    <t>Depreciation And Amortisation Expenses</t>
  </si>
  <si>
    <t>Finance Costs</t>
  </si>
  <si>
    <t>Cash flow before working capital changes</t>
  </si>
  <si>
    <t>Current Investments</t>
  </si>
  <si>
    <t>Inventories</t>
  </si>
  <si>
    <t>Trade Receivables</t>
  </si>
  <si>
    <t>OtherCurrentAssets</t>
  </si>
  <si>
    <t>Deferred Tax Assets [Net]</t>
  </si>
  <si>
    <t>Trade Payables</t>
  </si>
  <si>
    <t>Other Current Liabilities</t>
  </si>
  <si>
    <t>Deferred Tax Liabilities [Net]</t>
  </si>
  <si>
    <t>Cash flow from Operating Activity</t>
  </si>
  <si>
    <t>INVESTING</t>
  </si>
  <si>
    <t>Intangible Assets</t>
  </si>
  <si>
    <t>Capital Work-In-Progress</t>
  </si>
  <si>
    <t>Other Non-Current Assets</t>
  </si>
  <si>
    <t>cash flow from Investing activity</t>
  </si>
  <si>
    <t>FINANCING</t>
  </si>
  <si>
    <t>Equity Share Capital</t>
  </si>
  <si>
    <t>cash flow from Financing activity</t>
  </si>
  <si>
    <t>Non-controlling interests A20</t>
  </si>
  <si>
    <t xml:space="preserve"> Loans </t>
  </si>
  <si>
    <t xml:space="preserve"> Other financial assets</t>
  </si>
  <si>
    <t xml:space="preserve"> Borrowings</t>
  </si>
  <si>
    <t xml:space="preserve"> Provisions</t>
  </si>
  <si>
    <t>Other financial liabilities</t>
  </si>
  <si>
    <t xml:space="preserve">Income tax liabilities (net) </t>
  </si>
  <si>
    <t>Property, plant and equipment</t>
  </si>
  <si>
    <t>Investment property</t>
  </si>
  <si>
    <t>Goodwill</t>
  </si>
  <si>
    <t>Investments</t>
  </si>
  <si>
    <t>Loans</t>
  </si>
  <si>
    <t>Other financial assets</t>
  </si>
  <si>
    <t>Other equity</t>
  </si>
  <si>
    <t>Provisions</t>
  </si>
  <si>
    <t>OPENING</t>
  </si>
  <si>
    <t>CLOSING</t>
  </si>
  <si>
    <t>DIFFERENE</t>
  </si>
  <si>
    <t>rr</t>
  </si>
  <si>
    <t xml:space="preserve">Income tax assets </t>
  </si>
  <si>
    <t>a. Prestige Southcity Holdings</t>
  </si>
  <si>
    <t>23.2 Summarised financial information in respect of each of the Group’s subsidiaries that has material non-controlling interests is set out below. The summarised financial information below represents amounts before intragroup eliminations.</t>
  </si>
  <si>
    <t>i. Summarised financial Information about the assets and liabilities</t>
  </si>
  <si>
    <t>Non-current assets</t>
  </si>
  <si>
    <t>Current assets</t>
  </si>
  <si>
    <t>Non-current liabilities</t>
  </si>
  <si>
    <t>Current liabilities</t>
  </si>
  <si>
    <t>Prestige Sterling Infra Projects
Private Limited</t>
  </si>
  <si>
    <t>ii. Summarised financial Information about profit or loss</t>
  </si>
  <si>
    <t>Revenue</t>
  </si>
  <si>
    <t>Expenses</t>
  </si>
  <si>
    <t>Profit before tax</t>
  </si>
  <si>
    <t>Profit after tax</t>
  </si>
  <si>
    <t>Other comprehensive income</t>
  </si>
  <si>
    <t>Total comprehensive income for the year</t>
  </si>
  <si>
    <t>Total comprehensive income attributable to owners of the Company</t>
  </si>
  <si>
    <t>Total comprehensive income attributable to the non-controlling interests</t>
  </si>
  <si>
    <t>iv. Summarised financial Information about the cash flow</t>
  </si>
  <si>
    <t>Net cash inflow/(outflow) from operating activities</t>
  </si>
  <si>
    <t>Net cash inflow/(outflow) from investing activities</t>
  </si>
  <si>
    <t>Net cash inflow/(outflow) from financing activities</t>
  </si>
  <si>
    <t>Net cash inflow/(outflow)</t>
  </si>
  <si>
    <t>Note: Receivable/ disproportionate contribution from non controlling interest is expected to be recovered through contributions and profits earned during the normal course of business.</t>
  </si>
  <si>
    <t>Term loans (Secured)</t>
  </si>
  <si>
    <t>Secured, Redeemable non convertible debentures</t>
  </si>
  <si>
    <t>24a,24b,24c</t>
  </si>
  <si>
    <t>24e</t>
  </si>
  <si>
    <t xml:space="preserve"> - From financial institutions</t>
  </si>
  <si>
    <t xml:space="preserve"> - From banks</t>
  </si>
  <si>
    <t>Others (Unsecured)</t>
  </si>
  <si>
    <t>Total Non-current borrowings</t>
  </si>
  <si>
    <t xml:space="preserve"> - Other loans</t>
  </si>
  <si>
    <t>Advance rent / maintenance</t>
  </si>
  <si>
    <t>Provision for employee benefits</t>
  </si>
  <si>
    <t xml:space="preserve"> - Compensated absences</t>
  </si>
  <si>
    <t xml:space="preserve"> - Gratuity</t>
  </si>
  <si>
    <t>A. Deferred Tax Asset</t>
  </si>
  <si>
    <t>Tax effect of :</t>
  </si>
  <si>
    <t>Impact of fair valuation of financial assets (net)</t>
  </si>
  <si>
    <t>Provision for employee benefit expenses</t>
  </si>
  <si>
    <t>Minimum alternate tax credit entitlement</t>
  </si>
  <si>
    <t>Provision for doubtful advances/ debts</t>
  </si>
  <si>
    <t>Provision for impairment of investments</t>
  </si>
  <si>
    <t>Provision created for Expected Credit Loss (ECL)</t>
  </si>
  <si>
    <t>Carried forward losses</t>
  </si>
  <si>
    <t>B. Deferred Tax Liability</t>
  </si>
  <si>
    <t>Impact of carrying financial liabilities at amortised cost</t>
  </si>
  <si>
    <t>Tax effect on equity accounted investment instruments</t>
  </si>
  <si>
    <t>Net Deferred Tax Liability/ (Asset)</t>
  </si>
  <si>
    <t>Presented in balance sheet as</t>
  </si>
  <si>
    <t>Impact on accounting for real estates projects income (including impact of Ind AS 115 - Refer Note 53 (v)) (Revenue net of cost)</t>
  </si>
  <si>
    <t>Impact of difference in carrying amount of Property, plant and equipment, Investment property and Intangible assets as per tax accounts and books.</t>
  </si>
  <si>
    <t>Impact on accounting for real estates projects income (including JDA accounting) (Revenue net of cost)</t>
  </si>
  <si>
    <t>Impact of difference in carrying amount of Property, plant and equipment, Investment property and Intangible assets as per tax accounts and books</t>
  </si>
  <si>
    <t xml:space="preserve"> - Deferred tax liabilities (Net)</t>
  </si>
  <si>
    <t xml:space="preserve"> - Deferred tax asset (Net)</t>
  </si>
  <si>
    <t>Secured (Carried at amortised cost)</t>
  </si>
  <si>
    <t>Term loans</t>
  </si>
  <si>
    <t>From banks</t>
  </si>
  <si>
    <t>From financial institutions</t>
  </si>
  <si>
    <t>Unsecured (Carried at amortised cost)</t>
  </si>
  <si>
    <t>Loans from related parties</t>
  </si>
  <si>
    <t>From Others</t>
  </si>
  <si>
    <t>29.Aggregate amount of loans guaranteed by directors</t>
  </si>
  <si>
    <t>Current maturities of long-term debt (secured)</t>
  </si>
  <si>
    <t>Interest accrued but not due on borrowings</t>
  </si>
  <si>
    <t>Advances received on behalf of land owners</t>
  </si>
  <si>
    <t>Deposits towards lease, interiors and maintenance</t>
  </si>
  <si>
    <t>Creditors for capital expenditure</t>
  </si>
  <si>
    <t>Advances from partnership firms</t>
  </si>
  <si>
    <t>Other liabilities</t>
  </si>
  <si>
    <t>Share /debenture application money received for allotment of securities and due for refund and interestaccrued thereon</t>
  </si>
  <si>
    <t>Advance from customers</t>
  </si>
  <si>
    <t>Advance rent / maintenance received</t>
  </si>
  <si>
    <t>Withholding taxes and duties</t>
  </si>
  <si>
    <t>Consideration under Joint development agreement towards purchase of land</t>
  </si>
  <si>
    <t>Unearned revenue</t>
  </si>
  <si>
    <t>Provision for employee benefits (Compensated absences)</t>
  </si>
  <si>
    <t>Other Provisions for :</t>
  </si>
  <si>
    <t>Projects</t>
  </si>
  <si>
    <t>Anticipated losses on projects</t>
  </si>
  <si>
    <t>Gratuity</t>
  </si>
  <si>
    <t>Compensated absences</t>
  </si>
  <si>
    <t>Estimated project cost to be incurred for the completed projects</t>
  </si>
  <si>
    <t>(Probable outflow estimated with in 12 months)</t>
  </si>
  <si>
    <t>Provision outstanding at the beginning of the year</t>
  </si>
  <si>
    <t>Add: Provision acquired on acquisition of subsidiaries</t>
  </si>
  <si>
    <t>Add: Provision made during the year</t>
  </si>
  <si>
    <t>Less: Provision utilised /reversed during the year</t>
  </si>
  <si>
    <t>Provision outstanding at the end of the year</t>
  </si>
  <si>
    <t>NOTE NO. 2 OTHER INCOME</t>
  </si>
  <si>
    <t>NOTE NO. 3 COST OF SALES ON PROJECTS</t>
  </si>
  <si>
    <t>NOTE NO. 4 EMPLOYEE BENEFITS EXPENSE</t>
  </si>
  <si>
    <t>NOTE NO.5 FINANCE COSTS</t>
  </si>
  <si>
    <t>NOTE NO. 6 OTHER EXPENSES</t>
  </si>
  <si>
    <t>NOTE NO. 8 EARNING PER SHARE (EPS)</t>
  </si>
  <si>
    <t>NOTE NO.9 (INCREASE) / DECREASE IN INVENTORY</t>
  </si>
  <si>
    <t>NOTE NO.10 PROPERTY AND FACILITIES OPERATING EXPENSES</t>
  </si>
  <si>
    <t>NOTE NO.11 INVESTMENTS (NON-CURRENT)</t>
  </si>
  <si>
    <t>SUB NOTE 11a Investment in associates</t>
  </si>
  <si>
    <t>NOTE NO. 11b Investment in Joint Ventures - Jointly Controlled Entities</t>
  </si>
  <si>
    <t>NOTE NO.11c Other investments</t>
  </si>
  <si>
    <t>SUB NOTE 11d. Category-wise Non Current Investments</t>
  </si>
  <si>
    <t>NOTE NO.12 LOANS (NON-CURRENT)</t>
  </si>
  <si>
    <t>NOTE NO 13. OTHER FINANCIAL ASSETS (NON-CURRENT)</t>
  </si>
  <si>
    <t>NOTE NO.14 OTHER NON-CURRENT ASSETS</t>
  </si>
  <si>
    <t>NOTE NO.16 INVESTMENTS (CURRENT)</t>
  </si>
  <si>
    <t>NOTE NO.15 INVENTORIES (LOWER OF COST AND NET REALISABLE VALUE)</t>
  </si>
  <si>
    <t>NOTE NO.16a Equity Instruments</t>
  </si>
  <si>
    <t>NOTE NO.16b Mutual Funds</t>
  </si>
  <si>
    <t>16c Investments pledged as security for borrowings</t>
  </si>
  <si>
    <t>NOTE NO. 17 TRADE RECEIVABLES (UNSECURED)</t>
  </si>
  <si>
    <t>NOTE NO. 18 CASH AND CASH EQUIVALENTS</t>
  </si>
  <si>
    <t>18.1 Margin money deposits are subject to first charge to secure the Group’s borrowings.</t>
  </si>
  <si>
    <t>SUB NOTE. 18.2 Details of Specified Bank Notes (SBN) held and transacted during the period from November 8, 2016 to December
30, 2016 are as follows:</t>
  </si>
  <si>
    <t>NOTE NO. 19 LOANS (CURRENT)</t>
  </si>
  <si>
    <t>NOTE NO. 20 OTHER BANK BALANCES</t>
  </si>
  <si>
    <t>NOTE NO.21 OTHER FINANCIAL ASSETS (CURRENT)</t>
  </si>
  <si>
    <t>NOTE NO. 22 OTHER CURRENT ASSETS</t>
  </si>
  <si>
    <t>NOTE NO.23 EQUITY SHARE CAPITAL</t>
  </si>
  <si>
    <t>23.1 Reconciliation of the number of shares and amount outstanding at the beginning and at the end of the reporting year</t>
  </si>
  <si>
    <t>23.2 The Company has only one class of equity shares with voting rights having par value of ` 10 each. The rights, preferences and restrictions attached to such equity shares is in accordance with the terms of issue of equity shares under the Companies Act, 2013, the Articles of Association of the Company and relevant provisions of the listing agreement.</t>
  </si>
  <si>
    <t>23.3 List of persons holding more than 5 percent equity shares in the Company</t>
  </si>
  <si>
    <t>NOTE NO.24 OTHER EQUITY</t>
  </si>
  <si>
    <t>24.1 General Reserve</t>
  </si>
  <si>
    <t>NOTE NO. 24.2 Capital reserve</t>
  </si>
  <si>
    <t>NOTE NO.24.3 Securities premium reserve</t>
  </si>
  <si>
    <t>NOTE NO. 24.4 Debenture redemption reserve</t>
  </si>
  <si>
    <t>NOTE NO. 24.5 Retained earnings</t>
  </si>
  <si>
    <t>NOTE NO. 24.6 Dividend made and proposed</t>
  </si>
  <si>
    <t>NOTE NO 25.NON-CONTROLLING INTERESTS</t>
  </si>
  <si>
    <t>25.1 Details of non-wholly owned subsidiaries that have material non-controlling interests</t>
  </si>
  <si>
    <t>NOTE NO. 26. BORROWINGS (NON-CURRENT)</t>
  </si>
  <si>
    <t>NOTE NO. 27 OTHER FINANCIAL LIABILITIES (NON-CURRENT)</t>
  </si>
  <si>
    <t>NOTE NO. 28.PROVISIONS (NON-CURRENT)</t>
  </si>
  <si>
    <t>NOTE NO. 29 DEFERRED TAX ASSET/ LIABILITY</t>
  </si>
  <si>
    <t>NOTE NO. 30. BORROWINGS (CURRENT)</t>
  </si>
  <si>
    <t>NOTE NO. 31. TRADE PAYABLES</t>
  </si>
  <si>
    <t>NOTE NO. 32. OTHER FINANCIAL LIABILITIES (CURRENT)</t>
  </si>
  <si>
    <t>NOTE NO. 33. OTHER CURRENT LIABILITIES</t>
  </si>
  <si>
    <t>NOTE NO 34. PROVISIONS (CURRENT)</t>
  </si>
  <si>
    <t>Anticipated losses on projects+A791</t>
  </si>
  <si>
    <t>Office Equipment</t>
  </si>
  <si>
    <t>Vehicles</t>
  </si>
  <si>
    <t>common size income statement</t>
  </si>
  <si>
    <t>Net Sales</t>
  </si>
  <si>
    <t>ACTIVITY RATIO</t>
  </si>
  <si>
    <t>Receivables Turnover</t>
  </si>
  <si>
    <t>PROFITABILITY RATIOS</t>
  </si>
  <si>
    <t>Net Income+Interest Expenses(1-Tax Rate)/ Average Total Assets</t>
  </si>
  <si>
    <t>NOTE NO. 7 TAX EXPENSES</t>
  </si>
  <si>
    <t xml:space="preserve">Land </t>
  </si>
  <si>
    <t xml:space="preserve">Building </t>
  </si>
  <si>
    <t>, 2019</t>
  </si>
  <si>
    <t>, 2016</t>
  </si>
  <si>
    <t>, 2017</t>
  </si>
  <si>
    <t>, 2018</t>
  </si>
  <si>
    <t>34a Details of Project Provisions</t>
  </si>
  <si>
    <t>Note No. 35 PROPERTY, PLANT AND EQUIPMENT</t>
  </si>
  <si>
    <t>RATIO</t>
  </si>
  <si>
    <t>DESCRIPTION</t>
  </si>
  <si>
    <t>RECEIVABLES TURNOVER</t>
  </si>
  <si>
    <t>Annual Sales</t>
  </si>
  <si>
    <t>Average Receivables</t>
  </si>
  <si>
    <t>DAYS OF SALE OUTSTANDING</t>
  </si>
  <si>
    <t>(Average Collection Period)</t>
  </si>
  <si>
    <t>INVENTORY TURNOVER</t>
  </si>
  <si>
    <t>COGS</t>
  </si>
  <si>
    <t>Average Inventory</t>
  </si>
  <si>
    <t>DAYS OF INVENTORY ON HAND</t>
  </si>
  <si>
    <t>Invetory Turnover</t>
  </si>
  <si>
    <t>PAYABLES TURNOVER</t>
  </si>
  <si>
    <t>Purchases</t>
  </si>
  <si>
    <t>Average Trade Payables</t>
  </si>
  <si>
    <t>NO. OF DAYS PAYABLE</t>
  </si>
  <si>
    <t>Payable turnover ratio</t>
  </si>
  <si>
    <t>TOTAL ASSET TURNOVER</t>
  </si>
  <si>
    <t>Average total assets</t>
  </si>
  <si>
    <t>FIXED ASSET TURNOVER</t>
  </si>
  <si>
    <t>Average net fixed assets</t>
  </si>
  <si>
    <t>WORKING CAPITAL TURNOVER</t>
  </si>
  <si>
    <t>Average Working Capital</t>
  </si>
  <si>
    <t>LIQUIDITY RATIO</t>
  </si>
  <si>
    <t>CURRENT RATIO</t>
  </si>
  <si>
    <t>Current Assets</t>
  </si>
  <si>
    <t>Current Liabilities</t>
  </si>
  <si>
    <t>QUICK RATIO</t>
  </si>
  <si>
    <t>Cash + Marketable Securities 
+ Receivables</t>
  </si>
  <si>
    <t>CASH RATIO</t>
  </si>
  <si>
    <t>Cash + Marketable Securities</t>
  </si>
  <si>
    <t>DEFENSIVE INTERVAL</t>
  </si>
  <si>
    <t>Average daily Expenditures</t>
  </si>
  <si>
    <t>CASH ONVERSION CYCLE</t>
  </si>
  <si>
    <t>days sale outstanding + days of inventory on hand -number of days payble</t>
  </si>
  <si>
    <t>SOLVENCY RATIO</t>
  </si>
  <si>
    <t>DEBT TO EQUITY</t>
  </si>
  <si>
    <t>Total Debt</t>
  </si>
  <si>
    <t>Total Shareholders equity</t>
  </si>
  <si>
    <t>DEBT TO CAPITAL</t>
  </si>
  <si>
    <t>Total debt + Total Shareholders equity</t>
  </si>
  <si>
    <t>DEBT TO ASSETS</t>
  </si>
  <si>
    <t>Total Debts</t>
  </si>
  <si>
    <t>Total Assets</t>
  </si>
  <si>
    <t>Average Total assets</t>
  </si>
  <si>
    <t>Average total equity</t>
  </si>
  <si>
    <t>INTEREST COVERAGE</t>
  </si>
  <si>
    <t>EBIT</t>
  </si>
  <si>
    <t>Interest Payments</t>
  </si>
  <si>
    <t>NET PROFIT MARGIN</t>
  </si>
  <si>
    <t>revenue</t>
  </si>
  <si>
    <t>GROSS PROFIT MARGIN</t>
  </si>
  <si>
    <t>Gross Profit</t>
  </si>
  <si>
    <t>OPERATING PROFIT MARGIN</t>
  </si>
  <si>
    <t>PRETAX MARGINS</t>
  </si>
  <si>
    <t>EBT</t>
  </si>
  <si>
    <t>RETURN ON ASSET</t>
  </si>
  <si>
    <t>average total assets</t>
  </si>
  <si>
    <t>OPERATING RETURN ON ASSET</t>
  </si>
  <si>
    <t>RETURN ON TOTAL CAPITAL</t>
  </si>
  <si>
    <t>average total capital</t>
  </si>
  <si>
    <t>RETURN ON CAPITAL EMPLYOED</t>
  </si>
  <si>
    <t>EBIT(1-t)</t>
  </si>
  <si>
    <t>RETURN ON EQUITY</t>
  </si>
  <si>
    <t>Net income - Preferred dividends</t>
  </si>
  <si>
    <t>(TOTAL &amp; COMMOM)</t>
  </si>
  <si>
    <t>average common equity</t>
  </si>
  <si>
    <t>NOTE NO. 1 REVENUE FROM OPERATION</t>
  </si>
  <si>
    <t xml:space="preserve">    Profit / (loss) allocated noncontrolling interests</t>
  </si>
  <si>
    <t>Note No.36</t>
  </si>
  <si>
    <t>Balancesheet</t>
  </si>
  <si>
    <t>goodwill</t>
  </si>
  <si>
    <t>other tangible assets</t>
  </si>
  <si>
    <t>,2017</t>
  </si>
  <si>
    <t>MDNA</t>
  </si>
  <si>
    <t>NEWS</t>
  </si>
  <si>
    <t>AGMN</t>
  </si>
  <si>
    <t>TRANSMIT</t>
  </si>
  <si>
    <t>SUMMARY</t>
  </si>
  <si>
    <t>NOTE</t>
  </si>
  <si>
    <t>PPE</t>
  </si>
  <si>
    <t xml:space="preserve">INDIVDUAL </t>
  </si>
  <si>
    <t>LINK CHANGES</t>
  </si>
  <si>
    <t>TOTAL NON CURRENT ASSET</t>
  </si>
  <si>
    <t>TOTAL CURRENT ASSET</t>
  </si>
  <si>
    <t>TOTAL NON CURRENT LIABILITES</t>
  </si>
  <si>
    <t>TOTAL CURRENT LIABILITES</t>
  </si>
  <si>
    <t>TOTAL</t>
  </si>
  <si>
    <t>FINANCIAL LEAVERAGE</t>
  </si>
  <si>
    <t>OPERATING ASSETS</t>
  </si>
  <si>
    <t>OPERATING LIABILITY</t>
  </si>
  <si>
    <t>Note No. 13</t>
  </si>
  <si>
    <t>Note No.12</t>
  </si>
  <si>
    <t>Note No.29</t>
  </si>
  <si>
    <t>Note No.14</t>
  </si>
  <si>
    <t>Note No.15</t>
  </si>
  <si>
    <t>Note N0.16</t>
  </si>
  <si>
    <t>Note No.17</t>
  </si>
  <si>
    <t>Note No.18</t>
  </si>
  <si>
    <t>Note No.19</t>
  </si>
  <si>
    <t>Note No. 20</t>
  </si>
  <si>
    <t>Note No.21</t>
  </si>
  <si>
    <t>Note No.22</t>
  </si>
  <si>
    <t>Note No.23</t>
  </si>
  <si>
    <t>Note No.24</t>
  </si>
  <si>
    <t>Note No.25</t>
  </si>
  <si>
    <t>Note  No. 26</t>
  </si>
  <si>
    <t>Note No. 27</t>
  </si>
  <si>
    <t>Note No.28</t>
  </si>
  <si>
    <t>Note No.31</t>
  </si>
  <si>
    <t>Note No.32</t>
  </si>
  <si>
    <t>Note No.33</t>
  </si>
  <si>
    <t>Note No.34</t>
  </si>
  <si>
    <t>Note No. 35</t>
  </si>
  <si>
    <t>Cost or deemed cost</t>
  </si>
  <si>
    <t>Additional amounts recognised from business combinations occurred during the year</t>
  </si>
  <si>
    <t>Note No38</t>
  </si>
  <si>
    <t>NOTE NO.38 GOODWILL</t>
  </si>
  <si>
    <t>Note No.37</t>
  </si>
  <si>
    <t>Total Expense</t>
  </si>
  <si>
    <t>cost of Debt calculation</t>
  </si>
  <si>
    <t>Interest Expense</t>
  </si>
  <si>
    <t xml:space="preserve">cost of Debt </t>
  </si>
  <si>
    <t>Income tax expense</t>
  </si>
  <si>
    <t>Income Before Tax</t>
  </si>
  <si>
    <t>Effecrtive Tax Rate</t>
  </si>
  <si>
    <t>Cost of Debt* (1-t)</t>
  </si>
  <si>
    <t>Cost of Equity</t>
  </si>
  <si>
    <t>Risk Free Rate</t>
  </si>
  <si>
    <t xml:space="preserve">Beta </t>
  </si>
  <si>
    <t>Market Return</t>
  </si>
  <si>
    <t>Average debt</t>
  </si>
  <si>
    <t>Dividend Discount Model Approach</t>
  </si>
  <si>
    <t>Do</t>
  </si>
  <si>
    <t>Payout Ratio</t>
  </si>
  <si>
    <t>Retention Ratio</t>
  </si>
  <si>
    <t>ROE</t>
  </si>
  <si>
    <t>D1</t>
  </si>
  <si>
    <t>Cost Of Equity</t>
  </si>
  <si>
    <t>Price (31st March)</t>
  </si>
  <si>
    <t>WACC</t>
  </si>
  <si>
    <t>Market Risk Premium</t>
  </si>
  <si>
    <t>Growth Rate(rr*roe)</t>
  </si>
  <si>
    <t>EQUITY MCAP</t>
  </si>
  <si>
    <t>DEBT MARKET VALUE</t>
  </si>
  <si>
    <t>TOTAL VALUE</t>
  </si>
  <si>
    <t>Kc (CAPM)</t>
  </si>
  <si>
    <t>EQUITY BOOK VALUE</t>
  </si>
  <si>
    <t>DEBT BOOK VALUE</t>
  </si>
  <si>
    <t>No of Equity Share</t>
  </si>
  <si>
    <t>Kc (DDMA)</t>
  </si>
  <si>
    <t>CAPM</t>
  </si>
  <si>
    <t>WEIGHED AVERAGE COST OF CAPITAL</t>
  </si>
  <si>
    <t>market value</t>
  </si>
  <si>
    <t>roe</t>
  </si>
  <si>
    <t>growth</t>
  </si>
  <si>
    <t>no of outstanding</t>
  </si>
  <si>
    <t>risk free rate</t>
  </si>
  <si>
    <t>market return</t>
  </si>
  <si>
    <t>Total dividend paid</t>
  </si>
  <si>
    <t>ratios</t>
  </si>
  <si>
    <t>CONSOLIDATED BALANCE SHEET HISTORICAL PERIOD</t>
  </si>
  <si>
    <t xml:space="preserve">1.BASIC DUOPONT </t>
  </si>
  <si>
    <t>Net Income  *sales * assets</t>
  </si>
  <si>
    <t>sales*assets*equity</t>
  </si>
  <si>
    <t>Net income * EBT * EBIT * revenue * total assets</t>
  </si>
  <si>
    <t>EBT * EBIT * revenue * total assets * total equity</t>
  </si>
  <si>
    <t>2.EXTEND DUOPONT</t>
  </si>
  <si>
    <t>GROSS BLOCK</t>
  </si>
  <si>
    <t>DEPRECIATION</t>
  </si>
  <si>
    <t>NET BLOCK</t>
  </si>
  <si>
    <t>AS AT</t>
  </si>
  <si>
    <t>ADDITIONS</t>
  </si>
  <si>
    <t>DELETIONS</t>
  </si>
  <si>
    <t>Building</t>
  </si>
  <si>
    <t>leasehold Building</t>
  </si>
  <si>
    <t>Plant &amp;Machinery</t>
  </si>
  <si>
    <t>Leasehold Improvements Plant &amp; Machinery</t>
  </si>
  <si>
    <t>Leasehold Improvements Furniture &amp; Fixtures</t>
  </si>
  <si>
    <t>Computers &amp; Accessories</t>
  </si>
  <si>
    <t>Furnitures &amp; Fixtures</t>
  </si>
  <si>
    <t>AS AT 31-MAR-2017</t>
  </si>
  <si>
    <t/>
  </si>
  <si>
    <t>Facilities, rental and maintenance income, food ,beverages and other allied services</t>
  </si>
  <si>
    <t>Revenue from property rental and hire charges</t>
  </si>
  <si>
    <t>Facility maintenance charges</t>
  </si>
  <si>
    <t>Property maintenance income</t>
  </si>
  <si>
    <t>Parking charges</t>
  </si>
  <si>
    <t>Signages, exhibition and other receipts</t>
  </si>
  <si>
    <t>Room revenues</t>
  </si>
  <si>
    <t>Food and beverages</t>
  </si>
  <si>
    <t>Spa services</t>
  </si>
  <si>
    <t>Income from club operations</t>
  </si>
  <si>
    <t>Other services</t>
  </si>
  <si>
    <t>Rental income</t>
  </si>
  <si>
    <t>Hire charges income</t>
  </si>
  <si>
    <t>Sub lease rental income</t>
  </si>
  <si>
    <t>Commission income</t>
  </si>
  <si>
    <t>1a Facilities, room rentals, food, beverages, maintenance income and other allied services</t>
  </si>
  <si>
    <t>1b Revenue from property rental and hire charges</t>
  </si>
  <si>
    <t>Less: Stock deletion on loss of control</t>
  </si>
  <si>
    <t>Travelling expenses</t>
  </si>
  <si>
    <t xml:space="preserve">Commission </t>
  </si>
  <si>
    <t xml:space="preserve">Business promotion </t>
  </si>
  <si>
    <t xml:space="preserve">Fitout expenses </t>
  </si>
  <si>
    <t xml:space="preserve">Plant &amp; Machinery and Computers </t>
  </si>
  <si>
    <t xml:space="preserve">Vehicles </t>
  </si>
  <si>
    <t xml:space="preserve">Others </t>
  </si>
  <si>
    <t xml:space="preserve">Power and fuel </t>
  </si>
  <si>
    <t xml:space="preserve">Rent </t>
  </si>
  <si>
    <t xml:space="preserve">Insurance </t>
  </si>
  <si>
    <t xml:space="preserve">Auditors remuneration </t>
  </si>
  <si>
    <t>Books and periodicals</t>
  </si>
  <si>
    <t xml:space="preserve">Director's sitting fees </t>
  </si>
  <si>
    <t xml:space="preserve">Bad debts/ advances written off </t>
  </si>
  <si>
    <t xml:space="preserve">Donations </t>
  </si>
  <si>
    <t xml:space="preserve">Membership and subscriptions </t>
  </si>
  <si>
    <t xml:space="preserve">Postage and courier </t>
  </si>
  <si>
    <t xml:space="preserve">Telephone charges </t>
  </si>
  <si>
    <t xml:space="preserve">Printing and stationery </t>
  </si>
  <si>
    <t xml:space="preserve">Expected credit loss allowance on receivables </t>
  </si>
  <si>
    <t xml:space="preserve">Miscellaneous expenses </t>
  </si>
  <si>
    <t>Manpower Cost</t>
  </si>
  <si>
    <t>Foreign Exchange Loss</t>
  </si>
  <si>
    <t>Share of loss from partnership firms (net)</t>
  </si>
  <si>
    <t xml:space="preserve"> -</t>
  </si>
  <si>
    <t>Payment to Auditors (net of applicable GST) :</t>
  </si>
  <si>
    <t>For audit</t>
  </si>
  <si>
    <t>For other services</t>
  </si>
  <si>
    <t>6a Auditors Remuneration</t>
  </si>
  <si>
    <t>Tax effect amount distributed from subsidiary / joint venture</t>
  </si>
  <si>
    <t>A</t>
  </si>
  <si>
    <t>B</t>
  </si>
  <si>
    <t xml:space="preserve">Income tax expense calculated at applicable tax rate                       </t>
  </si>
  <si>
    <t>5,6,7</t>
  </si>
  <si>
    <t>9a,9b</t>
  </si>
  <si>
    <t>9c</t>
  </si>
  <si>
    <t>Prestige Hyderabad Retail Ventures Private Limited (formerly known as Babji Realtors Private Limited)(Subsidiary w.e.f. April 1, 2019)</t>
  </si>
  <si>
    <t>Apex Realty Management Private Limited</t>
  </si>
  <si>
    <t>Bamboo Hotel and Global Centre (Delhi) Private Limited</t>
  </si>
  <si>
    <t>DB (BKC) Realtors Private Limited</t>
  </si>
  <si>
    <t>Limited Liability Partnership (LLP) (Unquoted)</t>
  </si>
  <si>
    <t>Lokhandwala DB Realty LLP</t>
  </si>
  <si>
    <t>Apex Realty Ventures LLP</t>
  </si>
  <si>
    <t>Carrying amount determined using amortized cost</t>
  </si>
  <si>
    <t>Profit before share of profit/(loss) from associate and jointly controlled entities and tax expense (V= III+IV)</t>
  </si>
  <si>
    <t>Profit before tax (VII= V+VI)</t>
  </si>
  <si>
    <t>Total Tax expense (VIII)</t>
  </si>
  <si>
    <t>Profit for the year (IX= VII-VIII)</t>
  </si>
  <si>
    <t xml:space="preserve">Total other comprehensive income (X)  </t>
  </si>
  <si>
    <t>Total Comprehensive Income for the year (IX+X)</t>
  </si>
  <si>
    <t>Share of profit / (loss) from associates/ jointly controlled entities (Net) (VI)</t>
  </si>
  <si>
    <t>PREDICTION</t>
  </si>
  <si>
    <t>(d) Other non-current liabilities</t>
  </si>
  <si>
    <t>2019-20</t>
  </si>
  <si>
    <t>16a</t>
  </si>
  <si>
    <t>16b</t>
  </si>
  <si>
    <t>As at March 31, 2020</t>
  </si>
  <si>
    <t>Non-controlling interests on loss of control from subsidiaries</t>
  </si>
  <si>
    <t>Accumulated NCI</t>
  </si>
  <si>
    <t>Impact of accounting for right to use assets</t>
  </si>
  <si>
    <t>Right to use asset - lease liability</t>
  </si>
  <si>
    <t>Assuming</t>
  </si>
  <si>
    <t>AS AT 31-MAR-2016</t>
  </si>
  <si>
    <t>AS AT 31-MAR-2019</t>
  </si>
  <si>
    <t>ASS*</t>
  </si>
  <si>
    <t>ASS</t>
  </si>
  <si>
    <t>AS AT 31-MAR-2020</t>
  </si>
  <si>
    <t>PARTICULAR</t>
  </si>
  <si>
    <t>Owned Assets Given Under Lease</t>
  </si>
  <si>
    <t>AS AT 31-MAR-2018</t>
  </si>
  <si>
    <t>INVESTMENT PROPERTY</t>
  </si>
  <si>
    <t>Land</t>
  </si>
  <si>
    <t>Right to use Assets</t>
  </si>
  <si>
    <t>Impact Ind AS</t>
  </si>
  <si>
    <t>OTHER INTANGIBLE ASSETS</t>
  </si>
  <si>
    <t>Software</t>
  </si>
  <si>
    <t>NOTES!C228</t>
  </si>
  <si>
    <t>(f) Investments in associate and joint venture</t>
  </si>
  <si>
    <t xml:space="preserve">             </t>
  </si>
  <si>
    <t xml:space="preserve">AVERGES </t>
  </si>
  <si>
    <t>16-17</t>
  </si>
  <si>
    <t>17-18</t>
  </si>
  <si>
    <t>18-19</t>
  </si>
  <si>
    <t>19-20</t>
  </si>
  <si>
    <t>Averages</t>
  </si>
  <si>
    <t xml:space="preserve">Statement of Unaudited conslidated Financial results for Qauterly </t>
  </si>
  <si>
    <t>S.NO</t>
  </si>
  <si>
    <t>Income from Operations</t>
  </si>
  <si>
    <t>Revenue from operations</t>
  </si>
  <si>
    <t>Other income</t>
  </si>
  <si>
    <t xml:space="preserve">  Total Income from operations (net)</t>
  </si>
  <si>
    <t xml:space="preserve"> Expenses</t>
  </si>
  <si>
    <t>(Increase)/ decrease in inventory</t>
  </si>
  <si>
    <t xml:space="preserve"> Contractor cost </t>
  </si>
  <si>
    <t>Purchase of materials</t>
  </si>
  <si>
    <t xml:space="preserve">Rental expenses </t>
  </si>
  <si>
    <t xml:space="preserve"> Facility management expense</t>
  </si>
  <si>
    <t xml:space="preserve"> Rates and taxes</t>
  </si>
  <si>
    <t xml:space="preserve">   Land cost </t>
  </si>
  <si>
    <t xml:space="preserve"> </t>
  </si>
  <si>
    <t xml:space="preserve">Depreciation and amortization expense </t>
  </si>
  <si>
    <t xml:space="preserve"> Finance costs  </t>
  </si>
  <si>
    <t xml:space="preserve"> Total expenses</t>
  </si>
  <si>
    <t xml:space="preserve">Profit before exceptional Items (1-2) </t>
  </si>
  <si>
    <t>Exceptional items</t>
  </si>
  <si>
    <t>Tax expense   (net)</t>
  </si>
  <si>
    <t>Net Profit for the period/ year (7-8)</t>
  </si>
  <si>
    <t>Total Tax</t>
  </si>
  <si>
    <t>Profit After exceptional Item</t>
  </si>
  <si>
    <t>Qauterly</t>
  </si>
  <si>
    <t>Annual</t>
  </si>
  <si>
    <t>Share of profit / loss of jointly controlled entities and associate</t>
  </si>
  <si>
    <t>QOQ</t>
  </si>
  <si>
    <t>YOY</t>
  </si>
  <si>
    <t>Weightage</t>
  </si>
  <si>
    <t xml:space="preserve">  </t>
  </si>
  <si>
    <t>2015-16</t>
  </si>
  <si>
    <t>2020-21</t>
  </si>
  <si>
    <t>2021-22</t>
  </si>
  <si>
    <t>2022-23</t>
  </si>
  <si>
    <t>2023-24</t>
  </si>
  <si>
    <t>2024-25</t>
  </si>
  <si>
    <r>
      <t>Q</t>
    </r>
    <r>
      <rPr>
        <vertAlign val="subscript"/>
        <sz val="11"/>
        <color theme="1"/>
        <rFont val="Times New Roman"/>
        <family val="1"/>
      </rPr>
      <t>1</t>
    </r>
  </si>
  <si>
    <r>
      <t>Q</t>
    </r>
    <r>
      <rPr>
        <vertAlign val="subscript"/>
        <sz val="11"/>
        <color theme="1"/>
        <rFont val="Times New Roman"/>
        <family val="1"/>
      </rPr>
      <t>2</t>
    </r>
  </si>
  <si>
    <r>
      <t>Q</t>
    </r>
    <r>
      <rPr>
        <vertAlign val="subscript"/>
        <sz val="11"/>
        <color theme="1"/>
        <rFont val="Times New Roman"/>
        <family val="1"/>
      </rPr>
      <t>3</t>
    </r>
  </si>
  <si>
    <r>
      <t>Q</t>
    </r>
    <r>
      <rPr>
        <vertAlign val="subscript"/>
        <sz val="11"/>
        <color theme="1"/>
        <rFont val="Times New Roman"/>
        <family val="1"/>
      </rPr>
      <t>4</t>
    </r>
  </si>
  <si>
    <r>
      <rPr>
        <b/>
        <sz val="11"/>
        <color theme="8"/>
        <rFont val="Times New Roman"/>
        <family val="1"/>
      </rPr>
      <t xml:space="preserve">25a </t>
    </r>
    <r>
      <rPr>
        <sz val="11"/>
        <color theme="1"/>
        <rFont val="Times New Roman"/>
        <family val="1"/>
      </rPr>
      <t>Aggregate amount of loans guaranteed by directors</t>
    </r>
  </si>
  <si>
    <t>VERTICAL METHOD</t>
  </si>
  <si>
    <t>HORIZONTAL METHOD</t>
  </si>
  <si>
    <t>Depreciation</t>
  </si>
  <si>
    <t>EPS</t>
  </si>
  <si>
    <t>given in Investor report or Transcript</t>
  </si>
  <si>
    <t xml:space="preserve">Average </t>
  </si>
  <si>
    <t>Employee benefit expense</t>
  </si>
  <si>
    <t>for  2 new project launch</t>
  </si>
  <si>
    <t>2015-2016</t>
  </si>
  <si>
    <t>2016-2017</t>
  </si>
  <si>
    <t>2017-2018</t>
  </si>
  <si>
    <t>2018-2019</t>
  </si>
  <si>
    <t>2019-2020</t>
  </si>
  <si>
    <t xml:space="preserve">REIT Effect </t>
  </si>
  <si>
    <t xml:space="preserve">GST Effect </t>
  </si>
  <si>
    <t>demonitazation effect</t>
  </si>
  <si>
    <t>Average</t>
  </si>
  <si>
    <t>Growth</t>
  </si>
  <si>
    <t>CAGR</t>
  </si>
  <si>
    <t xml:space="preserve">average </t>
  </si>
  <si>
    <t xml:space="preserve">Deferred tax  </t>
  </si>
  <si>
    <t>Dividend %</t>
  </si>
  <si>
    <t xml:space="preserve">DDT % </t>
  </si>
  <si>
    <t xml:space="preserve">borrowing </t>
  </si>
  <si>
    <t>avg</t>
  </si>
  <si>
    <t>QoQ growth for next raised by 34 0r 35.5</t>
  </si>
  <si>
    <t xml:space="preserve">inancial liabilites </t>
  </si>
  <si>
    <t xml:space="preserve">current and noncurrent </t>
  </si>
  <si>
    <t>current maturities of non current bprrowings</t>
  </si>
  <si>
    <t>PROPERTY PLANT &amp; EQUIPMENT</t>
  </si>
  <si>
    <t>Gross Block</t>
  </si>
  <si>
    <t>At cost on 31st March of Previous Yr. (Opening Value)</t>
  </si>
  <si>
    <t>Additions during the year</t>
  </si>
  <si>
    <t>Deductions during the year (Deletion/adjustments)</t>
  </si>
  <si>
    <t>Business Combination</t>
  </si>
  <si>
    <t>At cost on 31st March of Current Yr. (Closing Value)</t>
  </si>
  <si>
    <t>As at 31st March of Previous Yr. (Opening Value)</t>
  </si>
  <si>
    <t>Charge for the year</t>
  </si>
  <si>
    <t>As at 31st March of Current Yr. (Closing Value)</t>
  </si>
  <si>
    <r>
      <t xml:space="preserve">Net Carrying Value as at 31st March </t>
    </r>
    <r>
      <rPr>
        <b/>
        <sz val="11"/>
        <color theme="1"/>
        <rFont val="Calibri"/>
        <family val="2"/>
        <scheme val="minor"/>
      </rPr>
      <t>(Closing Value of asset)</t>
    </r>
  </si>
  <si>
    <t xml:space="preserve">Net Carrying Value </t>
  </si>
  <si>
    <t>Buildings</t>
  </si>
  <si>
    <t>Plant and Equipment</t>
  </si>
  <si>
    <t>Net Carrying Value as at 31st March 2019</t>
  </si>
  <si>
    <t>Net Carrying Value as at 31st March (Closing Value)</t>
  </si>
  <si>
    <t>Office Equipments</t>
  </si>
  <si>
    <t>Total Gross Carrying Value as at 31st March of Current Yr. (Closing Value)</t>
  </si>
  <si>
    <t>Total Net Carrying Value as at 31st March of Current Yr. (Closing Value)</t>
  </si>
  <si>
    <t>Total Depreciation</t>
  </si>
  <si>
    <t xml:space="preserve"> Land</t>
  </si>
  <si>
    <t>Leasehold Building</t>
  </si>
  <si>
    <t>Acquired on acquisition of subsidiaries</t>
  </si>
  <si>
    <t>Leasehold
improvements
- plant and
machinery</t>
  </si>
  <si>
    <t>2020-22</t>
  </si>
  <si>
    <t>2020-23</t>
  </si>
  <si>
    <t>2020-24</t>
  </si>
  <si>
    <t>2020-25</t>
  </si>
  <si>
    <t>Leasehold
improvements
furniture and
fixtures</t>
  </si>
  <si>
    <t>Furniture
and fixtures</t>
  </si>
  <si>
    <t>Computers
 and
 Accessories</t>
  </si>
  <si>
    <t>Dividend Discount Method</t>
  </si>
  <si>
    <t>growth rate</t>
  </si>
  <si>
    <t xml:space="preserve">return on equity </t>
  </si>
  <si>
    <t>retention ratio</t>
  </si>
  <si>
    <t>Dividend payout ratio</t>
  </si>
  <si>
    <t>No. of total equity shares</t>
  </si>
  <si>
    <t xml:space="preserve">total dividend distributed </t>
  </si>
  <si>
    <t>current dividend per share (D0)</t>
  </si>
  <si>
    <t>Dividend next year (D1)</t>
  </si>
  <si>
    <t>current price (31st march)</t>
  </si>
  <si>
    <t>Ke</t>
  </si>
  <si>
    <t xml:space="preserve">proportion(2016-17) </t>
  </si>
  <si>
    <t xml:space="preserve">proportion(2017-18) </t>
  </si>
  <si>
    <t xml:space="preserve">proportion(2018-19) </t>
  </si>
  <si>
    <t xml:space="preserve">proportion(2019-20) </t>
  </si>
  <si>
    <t>DCF Analysis</t>
  </si>
  <si>
    <t>2024E</t>
  </si>
  <si>
    <t>2025E</t>
  </si>
  <si>
    <t>Tax Rate</t>
  </si>
  <si>
    <t>NOPAT</t>
  </si>
  <si>
    <t>Add: Depriciation and Amortisation</t>
  </si>
  <si>
    <t>EBITDA</t>
  </si>
  <si>
    <t>Less: Capex</t>
  </si>
  <si>
    <t>Less: Changes In Working Capital</t>
  </si>
  <si>
    <t>FCFF</t>
  </si>
  <si>
    <t>Present Value of FCFF</t>
  </si>
  <si>
    <t>Total Value</t>
  </si>
  <si>
    <t>Less: Net Debt</t>
  </si>
  <si>
    <t>Market Capitalisation</t>
  </si>
  <si>
    <t>Number of Shares</t>
  </si>
  <si>
    <t>Value Per Share</t>
  </si>
  <si>
    <t>Current Market Price</t>
  </si>
  <si>
    <t xml:space="preserve">Working Capital </t>
  </si>
  <si>
    <t>Long term growth Rate</t>
  </si>
  <si>
    <t>Terminal Value</t>
  </si>
  <si>
    <t xml:space="preserve">PV </t>
  </si>
  <si>
    <t>Comparables</t>
  </si>
  <si>
    <t>Share Price</t>
  </si>
  <si>
    <t>Net Debt</t>
  </si>
  <si>
    <t>Enterprise Value</t>
  </si>
  <si>
    <t>Common Shareholder's Equity</t>
  </si>
  <si>
    <t>Revenue per Share</t>
  </si>
  <si>
    <t>P/E Ratio</t>
  </si>
  <si>
    <t>P/B Ratio</t>
  </si>
  <si>
    <t>P/S Ratio</t>
  </si>
  <si>
    <t>EV/EBITDA</t>
  </si>
  <si>
    <t>Month</t>
  </si>
  <si>
    <t>Closing Price</t>
  </si>
  <si>
    <t>Prestige</t>
  </si>
  <si>
    <t>Sunteck</t>
  </si>
  <si>
    <t>Oberio</t>
  </si>
  <si>
    <t>Sensex</t>
  </si>
  <si>
    <t>Return</t>
  </si>
  <si>
    <t xml:space="preserve"> +1 Return</t>
  </si>
  <si>
    <t>Mean (Monthly)</t>
  </si>
  <si>
    <t>Mean (Annual)</t>
  </si>
  <si>
    <t>Median (Monthly)</t>
  </si>
  <si>
    <t>Median (Annual)</t>
  </si>
  <si>
    <t>Mode</t>
  </si>
  <si>
    <t>GM (Annual)</t>
  </si>
  <si>
    <t>GM (Monthly)</t>
  </si>
  <si>
    <t>Variance (Annual)</t>
  </si>
  <si>
    <t>Variance (Monthly)</t>
  </si>
  <si>
    <t>SD (Annual)</t>
  </si>
  <si>
    <t>SD (Monthly)</t>
  </si>
  <si>
    <t>Correlation matrix</t>
  </si>
  <si>
    <t>averag</t>
  </si>
  <si>
    <t xml:space="preserve"> taken on the employees benefit expense</t>
  </si>
  <si>
    <t>Covariance matrix</t>
  </si>
  <si>
    <t>2020-21E</t>
  </si>
  <si>
    <t>2020-22E</t>
  </si>
  <si>
    <t>2022-23E</t>
  </si>
  <si>
    <t>HYPOTHETICAL PORTFOLIO</t>
  </si>
  <si>
    <t>Weights</t>
  </si>
  <si>
    <t>I</t>
  </si>
  <si>
    <t>II</t>
  </si>
  <si>
    <t>III</t>
  </si>
  <si>
    <t>IV</t>
  </si>
  <si>
    <t>RISK AND RETURN</t>
  </si>
  <si>
    <t>RETURN (A)</t>
  </si>
  <si>
    <t>Variance (A)</t>
  </si>
  <si>
    <t>RISK (A)</t>
  </si>
  <si>
    <t>Rf</t>
  </si>
  <si>
    <t>Rm</t>
  </si>
  <si>
    <t>CAPM (Individual Stock)</t>
  </si>
  <si>
    <t>Beta (A)</t>
  </si>
  <si>
    <t>E(rp)</t>
  </si>
  <si>
    <t>Sharpe</t>
  </si>
  <si>
    <t>CAPM (Portfolio)</t>
  </si>
  <si>
    <t>PF</t>
  </si>
  <si>
    <t>Date</t>
  </si>
  <si>
    <t xml:space="preserve">Close </t>
  </si>
  <si>
    <t>XIRR</t>
  </si>
  <si>
    <t>Dividend Yield</t>
  </si>
  <si>
    <t>Div adjusted</t>
  </si>
  <si>
    <t>Inflation (10Y)</t>
  </si>
  <si>
    <t>Forcasted(2021)</t>
  </si>
  <si>
    <t>Market return</t>
  </si>
  <si>
    <t>Year</t>
  </si>
  <si>
    <t>Inflation Rate (%)</t>
  </si>
  <si>
    <t>1+ Inflation Rate</t>
  </si>
  <si>
    <t>Geomean</t>
  </si>
  <si>
    <t>PRESTIGE ESTATES PROJECTS LIMITED (BUILDERS IN BANGALORE)</t>
  </si>
  <si>
    <t>REG OFFICE:</t>
  </si>
  <si>
    <t>Email</t>
  </si>
  <si>
    <t>properties@prestigeconstructions.com</t>
  </si>
  <si>
    <t>EMAIL</t>
  </si>
  <si>
    <t>WEBSITE</t>
  </si>
  <si>
    <t>Prestige Estates Projects Limited</t>
  </si>
  <si>
    <t>Prestige Falcon Tower, No.19, Brunton Road, Bengaluru – 5600</t>
  </si>
  <si>
    <t>TEL:</t>
  </si>
  <si>
    <t>FAX:</t>
  </si>
  <si>
    <t>www.prestigeconstruction.com</t>
  </si>
  <si>
    <t>F.Y.16</t>
  </si>
  <si>
    <t>F.Y.17</t>
  </si>
  <si>
    <t>F.Y.18</t>
  </si>
  <si>
    <t>F.Y.19</t>
  </si>
  <si>
    <t>F.Y.20</t>
  </si>
  <si>
    <t>ASSETS</t>
  </si>
  <si>
    <t>Capital work-in-progress</t>
  </si>
  <si>
    <t>Other Intangible assets</t>
  </si>
  <si>
    <t>Intangible assets under development</t>
  </si>
  <si>
    <t>Goodwill on consolidation</t>
  </si>
  <si>
    <t>Financial assets</t>
  </si>
  <si>
    <t>Loan</t>
  </si>
  <si>
    <t>Other</t>
  </si>
  <si>
    <t>Deferred tax assets (Net)</t>
  </si>
  <si>
    <t>Other non-current assets</t>
  </si>
  <si>
    <t>Trade and Other receivables</t>
  </si>
  <si>
    <t>Cash and Cash equivalents</t>
  </si>
  <si>
    <t>Bank Balance Other than above</t>
  </si>
  <si>
    <t>Current Tax Assets (net)</t>
  </si>
  <si>
    <t>Other current assets</t>
  </si>
  <si>
    <t>TOTAL ASSETS</t>
  </si>
  <si>
    <t>EQUITY AND LIABILITIES</t>
  </si>
  <si>
    <t>Equity</t>
  </si>
  <si>
    <t>Equity Share capital</t>
  </si>
  <si>
    <t>Equity attributable to the owners</t>
  </si>
  <si>
    <t>Non-controlling interest</t>
  </si>
  <si>
    <t>Financial liabilities</t>
  </si>
  <si>
    <t>Borrowings</t>
  </si>
  <si>
    <t>Deferred tax liabilities (Net)</t>
  </si>
  <si>
    <t>Other non-current liabilities</t>
  </si>
  <si>
    <t>Other current liabilities</t>
  </si>
  <si>
    <t>Current tax Liabilities (net)</t>
  </si>
  <si>
    <t>TOTAL LIABILITIES</t>
  </si>
  <si>
    <t>Total Non Current Asset</t>
  </si>
  <si>
    <t>Total Current Assets</t>
  </si>
  <si>
    <t>Total Equity &amp; Liabilities</t>
  </si>
  <si>
    <t>Non Current Liabilities</t>
  </si>
  <si>
    <t xml:space="preserve"> Total Non Current Liabilities</t>
  </si>
  <si>
    <t>Total Current Liabilities</t>
  </si>
  <si>
    <t>CONSOLIDATED INCOME STATEMENT</t>
  </si>
  <si>
    <t>INCOME</t>
  </si>
  <si>
    <t>REVENUE FROM OPERATIONS</t>
  </si>
  <si>
    <t>OTHER INCOME</t>
  </si>
  <si>
    <t>TOTAL INCOME</t>
  </si>
  <si>
    <t>Cost of Materials Consumed</t>
  </si>
  <si>
    <t>Change in Inventory</t>
  </si>
  <si>
    <t>Employee Benefits Expenses</t>
  </si>
  <si>
    <t>Depreciation and Amortisation</t>
  </si>
  <si>
    <t>Other Expenses</t>
  </si>
  <si>
    <t>TOTAL EXPENSES</t>
  </si>
  <si>
    <t>PROFIT / (LOSS) BEFORE TAX EXCEPTIONAL ITEMS AND TAX</t>
  </si>
  <si>
    <t>Add: Exceptional Item (Refer to Note No 60)</t>
  </si>
  <si>
    <t>PROFIT BEFORE TAX</t>
  </si>
  <si>
    <t>TAX EXPENSES</t>
  </si>
  <si>
    <t>Current Income Tax</t>
  </si>
  <si>
    <t>Deferred Tax Including MAT Credit entitlement of ` 2,723.61 lakhs</t>
  </si>
  <si>
    <t>(P.Y. ` 3,205.18 lakhs)</t>
  </si>
  <si>
    <t>Tax Adjustments of earlier years</t>
  </si>
  <si>
    <t>PROFIT AFTER TAX</t>
  </si>
  <si>
    <t>Share of Profit from Associates</t>
  </si>
  <si>
    <t>PROFIT FOR THE YEAR</t>
  </si>
  <si>
    <t>OTHER COMPREHENSIVE INCOME</t>
  </si>
  <si>
    <t>a) Item that will not be reclassified to Profit &amp; Loss A/c</t>
  </si>
  <si>
    <t>i) Re-measurment gain of the net defined benefit plans</t>
  </si>
  <si>
    <t>ii) Gain/(Loss) on Equity Instruments at fair value</t>
  </si>
  <si>
    <t>through other comprehensive Income</t>
  </si>
  <si>
    <t>iii) Realised Gain on Sales of Investment</t>
  </si>
  <si>
    <t>iv) Associates share in OCI</t>
  </si>
  <si>
    <t>b) Income Tax relating to the Item that will not be</t>
  </si>
  <si>
    <t>reclassified to Profit &amp; Loss A/c</t>
  </si>
  <si>
    <t>OTHER COMPREHENSIVE INCOME/(LOSS)</t>
  </si>
  <si>
    <t>Net Profit attributable to</t>
  </si>
  <si>
    <t>a) Owners of the company</t>
  </si>
  <si>
    <t>b) Non Controlling Interest</t>
  </si>
  <si>
    <t>Other Comprehensive Income attributable to</t>
  </si>
  <si>
    <t>Total Comprehensive Income attributable to</t>
  </si>
  <si>
    <t>Earning per equity shares (Face value ` 2 each)</t>
  </si>
  <si>
    <t>Dividend paid (including tax on Dividend)</t>
  </si>
  <si>
    <t>CONSOLIDATED CASH FLOW STATEMENT</t>
  </si>
  <si>
    <t>Net profit before share of asssociates</t>
  </si>
  <si>
    <t>Cash flow before changes in working capital</t>
  </si>
  <si>
    <t>Cash flow from operating activities</t>
  </si>
  <si>
    <t>Cash flow from investing activities</t>
  </si>
  <si>
    <t>Cash flow from financing activities</t>
  </si>
  <si>
    <t>TOTAL A+B+C</t>
  </si>
  <si>
    <t>ADD CASH AND BANK BALANCES</t>
  </si>
  <si>
    <t>Opening</t>
  </si>
  <si>
    <t>closing</t>
  </si>
  <si>
    <t>capex</t>
  </si>
  <si>
    <t>VALUATIONS</t>
  </si>
  <si>
    <t>COMPARBLES</t>
  </si>
  <si>
    <t>RATIO ANALYSIS</t>
  </si>
  <si>
    <t>FOOTNOTES</t>
  </si>
  <si>
    <t>QUARTERLY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</si>
</sst>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8" formatCode="&quot;₹&quot;\ #,##0.00;[Red]&quot;₹&quot;\ \-#,##0.00"/>
    <numFmt numFmtId="43" formatCode="_ * #,##0.00_ ;_ * \-#,##0.00_ ;_ * &quot;-&quot;??_ ;_ @_ "/>
    <numFmt numFmtId="164" formatCode="_(* #,##0.00_);_(* \(#,##0.00\);_(* &quot;-&quot;??_);_(@_)"/>
    <numFmt numFmtId="165" formatCode="_ * #,##0_ ;_ * \-#,##0_ ;_ * &quot;-&quot;??_ ;_ @_ "/>
    <numFmt numFmtId="166" formatCode="0.000"/>
    <numFmt numFmtId="167" formatCode="&quot;₹&quot;\ #,##0.00"/>
    <numFmt numFmtId="168" formatCode="[$-409]d/mmm/yy;@"/>
    <numFmt numFmtId="169" formatCode="#,##0_ ;[Red]\-#,##0\ "/>
    <numFmt numFmtId="170" formatCode="#,##0.00_ ;[Red]\-#,##0.00\ "/>
    <numFmt numFmtId="171" formatCode="0.00_ ;[Red]\-0.00\ "/>
    <numFmt numFmtId="172" formatCode="0_ ;[Red]\-0\ "/>
    <numFmt numFmtId="173" formatCode="[$-409]d\-mmm\-yy;@"/>
    <numFmt numFmtId="174" formatCode="0.0%"/>
    <numFmt numFmtId="175" formatCode="0.0"/>
    <numFmt numFmtId="176" formatCode="0.000%"/>
    <numFmt numFmtId="177" formatCode="0.0000"/>
    <numFmt numFmtId="178" formatCode="0;[Red]0"/>
  </numFmts>
  <fonts count="7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b/>
      <sz val="11"/>
      <color theme="1"/>
      <name val="Times New Roman"/>
      <family val="1"/>
    </font>
    <font>
      <u/>
      <sz val="10.45"/>
      <color theme="10"/>
      <name val="Calibri"/>
      <family val="2"/>
    </font>
    <font>
      <b/>
      <sz val="11"/>
      <color theme="4" tint="-0.499984740745262"/>
      <name val="Times New Roman"/>
      <family val="1"/>
    </font>
    <font>
      <b/>
      <sz val="24"/>
      <color rgb="FF00FFCC"/>
      <name val="Times New Roman"/>
      <family val="1"/>
    </font>
    <font>
      <sz val="11"/>
      <color rgb="FF00FFCC"/>
      <name val="Times New Roman"/>
      <family val="1"/>
    </font>
    <font>
      <b/>
      <sz val="16"/>
      <color rgb="FF00FFCC"/>
      <name val="Times New Roman"/>
      <family val="1"/>
    </font>
    <font>
      <sz val="10"/>
      <name val="Arial"/>
      <family val="2"/>
    </font>
    <font>
      <b/>
      <sz val="14"/>
      <color theme="4" tint="-0.499984740745262"/>
      <name val="Times New Roman"/>
      <family val="1"/>
    </font>
    <font>
      <sz val="9"/>
      <color indexed="81"/>
      <name val="Tahoma"/>
      <family val="2"/>
    </font>
    <font>
      <b/>
      <sz val="9"/>
      <color indexed="81"/>
      <name val="Tahoma"/>
      <family val="2"/>
    </font>
    <font>
      <sz val="11"/>
      <color indexed="8"/>
      <name val="Calibri"/>
      <family val="2"/>
    </font>
    <font>
      <sz val="11"/>
      <name val="Times New Roman"/>
      <family val="1"/>
    </font>
    <font>
      <b/>
      <sz val="11"/>
      <name val="Times New Roman"/>
      <family val="1"/>
    </font>
    <font>
      <b/>
      <sz val="11"/>
      <color rgb="FFFF0000"/>
      <name val="Times New Roman"/>
      <family val="1"/>
    </font>
    <font>
      <u/>
      <sz val="11"/>
      <color theme="10"/>
      <name val="Times New Roman"/>
      <family val="1"/>
    </font>
    <font>
      <u/>
      <sz val="11"/>
      <color theme="10"/>
      <name val="Calibri"/>
      <family val="2"/>
    </font>
    <font>
      <sz val="11"/>
      <color theme="4" tint="-0.499984740745262"/>
      <name val="Times New Roman"/>
      <family val="1"/>
    </font>
    <font>
      <vertAlign val="subscript"/>
      <sz val="11"/>
      <color theme="1"/>
      <name val="Times New Roman"/>
      <family val="1"/>
    </font>
    <font>
      <b/>
      <sz val="11"/>
      <color theme="8" tint="-0.499984740745262"/>
      <name val="Times New Roman"/>
      <family val="1"/>
    </font>
    <font>
      <sz val="11"/>
      <color theme="8" tint="-0.499984740745262"/>
      <name val="Times New Roman"/>
      <family val="1"/>
    </font>
    <font>
      <sz val="11"/>
      <color theme="4" tint="0.39997558519241921"/>
      <name val="Times New Roman"/>
      <family val="1"/>
    </font>
    <font>
      <b/>
      <sz val="11"/>
      <color theme="4" tint="0.39997558519241921"/>
      <name val="Times New Roman"/>
      <family val="1"/>
    </font>
    <font>
      <b/>
      <vertAlign val="subscript"/>
      <sz val="11"/>
      <color theme="1"/>
      <name val="Times New Roman"/>
      <family val="1"/>
    </font>
    <font>
      <b/>
      <sz val="11"/>
      <color theme="5" tint="-0.249977111117893"/>
      <name val="Times New Roman"/>
      <family val="1"/>
    </font>
    <font>
      <b/>
      <sz val="11"/>
      <color theme="4" tint="-0.249977111117893"/>
      <name val="Times New Roman"/>
      <family val="1"/>
    </font>
    <font>
      <b/>
      <u/>
      <sz val="11"/>
      <color theme="10"/>
      <name val="Calibri"/>
      <family val="2"/>
    </font>
    <font>
      <u/>
      <sz val="11"/>
      <color theme="1"/>
      <name val="Times New Roman"/>
      <family val="1"/>
    </font>
    <font>
      <b/>
      <sz val="11"/>
      <color theme="8"/>
      <name val="Times New Roman"/>
      <family val="1"/>
    </font>
    <font>
      <b/>
      <sz val="11"/>
      <color rgb="FF000000"/>
      <name val="Times New Roman"/>
      <family val="1"/>
    </font>
    <font>
      <i/>
      <sz val="11"/>
      <color theme="1"/>
      <name val="Times New Roman"/>
      <family val="1"/>
    </font>
    <font>
      <b/>
      <sz val="11"/>
      <color theme="3" tint="-0.249977111117893"/>
      <name val="Times New Roman"/>
      <family val="1"/>
    </font>
    <font>
      <b/>
      <sz val="11"/>
      <color theme="0"/>
      <name val="Times New Roman"/>
      <family val="1"/>
    </font>
    <font>
      <b/>
      <sz val="11"/>
      <color theme="0"/>
      <name val="Ebrima"/>
    </font>
    <font>
      <b/>
      <sz val="10"/>
      <color theme="0"/>
      <name val="Ebrima"/>
    </font>
    <font>
      <b/>
      <sz val="11"/>
      <color theme="1" tint="4.9989318521683403E-2"/>
      <name val="Comic Sans MS"/>
      <family val="4"/>
    </font>
    <font>
      <sz val="11"/>
      <color rgb="FF9C6500"/>
      <name val="Calibri"/>
      <family val="2"/>
      <scheme val="minor"/>
    </font>
    <font>
      <b/>
      <sz val="10"/>
      <color theme="1"/>
      <name val="Calibri"/>
      <family val="2"/>
      <scheme val="minor"/>
    </font>
    <font>
      <sz val="11"/>
      <color rgb="FFFF0000"/>
      <name val="Times New Roman"/>
      <family val="1"/>
    </font>
    <font>
      <b/>
      <sz val="11"/>
      <color theme="0"/>
      <name val="Calibri"/>
      <family val="2"/>
      <scheme val="minor"/>
    </font>
    <font>
      <b/>
      <u/>
      <sz val="11"/>
      <color theme="1"/>
      <name val="Calibri"/>
      <family val="2"/>
      <scheme val="minor"/>
    </font>
    <font>
      <sz val="10"/>
      <color theme="1"/>
      <name val="Calibri"/>
      <family val="2"/>
      <scheme val="minor"/>
    </font>
    <font>
      <b/>
      <sz val="10"/>
      <color theme="5" tint="-0.499984740745262"/>
      <name val="Ebrima"/>
    </font>
    <font>
      <b/>
      <sz val="10"/>
      <color theme="8" tint="-0.249977111117893"/>
      <name val="Ebrima"/>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Times New Roman"/>
      <family val="1"/>
    </font>
    <font>
      <sz val="11"/>
      <color rgb="FF000000"/>
      <name val="Times New Roman"/>
      <family val="1"/>
    </font>
    <font>
      <b/>
      <sz val="12"/>
      <color theme="1" tint="0.14999847407452621"/>
      <name val="Times New Roman"/>
      <family val="1"/>
    </font>
    <font>
      <b/>
      <sz val="10"/>
      <color theme="1"/>
      <name val="Times New Roman"/>
      <family val="1"/>
    </font>
    <font>
      <sz val="11"/>
      <color rgb="FF161C2D"/>
      <name val="Arial"/>
      <family val="2"/>
    </font>
    <font>
      <b/>
      <sz val="11"/>
      <color rgb="FFFFFFFF"/>
      <name val="Arial"/>
      <family val="2"/>
    </font>
    <font>
      <b/>
      <sz val="16"/>
      <color theme="1"/>
      <name val="Calibri"/>
      <family val="2"/>
      <scheme val="minor"/>
    </font>
    <font>
      <b/>
      <u/>
      <sz val="11"/>
      <color theme="0"/>
      <name val="Calibri"/>
      <family val="2"/>
      <scheme val="minor"/>
    </font>
    <font>
      <b/>
      <sz val="11"/>
      <color rgb="FF000000"/>
      <name val="Calibri"/>
      <family val="2"/>
    </font>
    <font>
      <sz val="11"/>
      <color theme="1"/>
      <name val="Calibri"/>
      <family val="2"/>
    </font>
    <font>
      <b/>
      <sz val="11"/>
      <color theme="1"/>
      <name val="Calibri"/>
      <family val="2"/>
    </font>
    <font>
      <b/>
      <sz val="22"/>
      <color theme="1" tint="0.249977111117893"/>
      <name val="Calibri"/>
      <family val="2"/>
      <scheme val="minor"/>
    </font>
    <font>
      <b/>
      <sz val="14"/>
      <color theme="1" tint="4.9989318521683403E-2"/>
      <name val="Calibri"/>
      <family val="2"/>
      <scheme val="minor"/>
    </font>
    <font>
      <b/>
      <sz val="14"/>
      <color theme="1"/>
      <name val="Calibri"/>
      <family val="2"/>
      <scheme val="minor"/>
    </font>
    <font>
      <b/>
      <sz val="14"/>
      <color rgb="FF000000"/>
      <name val="Calibri"/>
      <family val="2"/>
    </font>
    <font>
      <b/>
      <sz val="14"/>
      <color theme="1"/>
      <name val="Times New Roman"/>
      <family val="1"/>
    </font>
  </fonts>
  <fills count="7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4"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8"/>
        <bgColor indexed="64"/>
      </patternFill>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7"/>
        <bgColor indexed="64"/>
      </patternFill>
    </fill>
    <fill>
      <patternFill patternType="solid">
        <fgColor theme="7" tint="0.39997558519241921"/>
        <bgColor indexed="64"/>
      </patternFill>
    </fill>
    <fill>
      <patternFill patternType="solid">
        <fgColor rgb="FFC3F86C"/>
        <bgColor indexed="64"/>
      </patternFill>
    </fill>
    <fill>
      <patternFill patternType="solid">
        <fgColor rgb="FFFF7C80"/>
        <bgColor indexed="64"/>
      </patternFill>
    </fill>
    <fill>
      <patternFill patternType="solid">
        <fgColor rgb="FF99FF99"/>
        <bgColor indexed="64"/>
      </patternFill>
    </fill>
    <fill>
      <patternFill patternType="solid">
        <fgColor theme="5"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990000"/>
        <bgColor indexed="64"/>
      </patternFill>
    </fill>
    <fill>
      <patternFill patternType="solid">
        <fgColor theme="5" tint="0.59999389629810485"/>
        <bgColor indexed="64"/>
      </patternFill>
    </fill>
    <fill>
      <patternFill patternType="solid">
        <fgColor rgb="FFFFEB9C"/>
      </patternFill>
    </fill>
    <fill>
      <patternFill patternType="solid">
        <fgColor theme="3" tint="-0.24994659260841701"/>
        <bgColor indexed="64"/>
      </patternFill>
    </fill>
    <fill>
      <patternFill patternType="solid">
        <fgColor theme="8" tint="-0.24994659260841701"/>
        <bgColor indexed="64"/>
      </patternFill>
    </fill>
    <fill>
      <patternFill patternType="solid">
        <fgColor theme="8" tint="0.79998168889431442"/>
        <bgColor indexed="64"/>
      </patternFill>
    </fill>
    <fill>
      <patternFill patternType="solid">
        <fgColor theme="9" tint="-0.24994659260841701"/>
        <bgColor indexed="64"/>
      </patternFill>
    </fill>
    <fill>
      <patternFill patternType="solid">
        <fgColor rgb="FF52525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tint="-0.249977111117893"/>
        <bgColor indexed="64"/>
      </patternFill>
    </fill>
    <fill>
      <patternFill patternType="solid">
        <fgColor rgb="FF59595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right/>
      <top style="thin">
        <color indexed="64"/>
      </top>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top/>
      <bottom style="medium">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rgb="FFE0E4E9"/>
      </top>
      <bottom/>
      <diagonal/>
    </border>
  </borders>
  <cellStyleXfs count="53">
    <xf numFmtId="0" fontId="0" fillId="0" borderId="0"/>
    <xf numFmtId="43" fontId="3" fillId="0" borderId="0" applyFon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xf numFmtId="9" fontId="15" fillId="0" borderId="0" applyFont="0" applyFill="0" applyBorder="0" applyAlignment="0" applyProtection="0"/>
    <xf numFmtId="164" fontId="15" fillId="0" borderId="0" applyFont="0" applyFill="0" applyBorder="0" applyAlignment="0" applyProtection="0"/>
    <xf numFmtId="0" fontId="37" fillId="30" borderId="21" applyBorder="0"/>
    <xf numFmtId="0" fontId="38" fillId="31" borderId="0" applyAlignment="0"/>
    <xf numFmtId="17" fontId="39" fillId="32" borderId="0">
      <alignment horizontal="center" vertical="center"/>
    </xf>
    <xf numFmtId="0" fontId="38" fillId="33" borderId="0">
      <alignment horizontal="center" vertical="center"/>
    </xf>
    <xf numFmtId="0" fontId="40" fillId="29" borderId="0" applyNumberFormat="0" applyBorder="0" applyAlignment="0" applyProtection="0"/>
    <xf numFmtId="0" fontId="48" fillId="0" borderId="0" applyNumberFormat="0" applyFill="0" applyBorder="0" applyAlignment="0" applyProtection="0"/>
    <xf numFmtId="0" fontId="49" fillId="0" borderId="79" applyNumberFormat="0" applyFill="0" applyAlignment="0" applyProtection="0"/>
    <xf numFmtId="0" fontId="50" fillId="0" borderId="80" applyNumberFormat="0" applyFill="0" applyAlignment="0" applyProtection="0"/>
    <xf numFmtId="0" fontId="51" fillId="0" borderId="81" applyNumberFormat="0" applyFill="0" applyAlignment="0" applyProtection="0"/>
    <xf numFmtId="0" fontId="51" fillId="0" borderId="0" applyNumberFormat="0" applyFill="0" applyBorder="0" applyAlignment="0" applyProtection="0"/>
    <xf numFmtId="0" fontId="52" fillId="37" borderId="0" applyNumberFormat="0" applyBorder="0" applyAlignment="0" applyProtection="0"/>
    <xf numFmtId="0" fontId="53" fillId="38" borderId="0" applyNumberFormat="0" applyBorder="0" applyAlignment="0" applyProtection="0"/>
    <xf numFmtId="0" fontId="54" fillId="29" borderId="0" applyNumberFormat="0" applyBorder="0" applyAlignment="0" applyProtection="0"/>
    <xf numFmtId="0" fontId="55" fillId="39" borderId="82" applyNumberFormat="0" applyAlignment="0" applyProtection="0"/>
    <xf numFmtId="0" fontId="56" fillId="40" borderId="83" applyNumberFormat="0" applyAlignment="0" applyProtection="0"/>
    <xf numFmtId="0" fontId="57" fillId="40" borderId="82" applyNumberFormat="0" applyAlignment="0" applyProtection="0"/>
    <xf numFmtId="0" fontId="58" fillId="0" borderId="84" applyNumberFormat="0" applyFill="0" applyAlignment="0" applyProtection="0"/>
    <xf numFmtId="0" fontId="43" fillId="41" borderId="85" applyNumberFormat="0" applyAlignment="0" applyProtection="0"/>
    <xf numFmtId="0" fontId="59" fillId="0" borderId="0" applyNumberFormat="0" applyFill="0" applyBorder="0" applyAlignment="0" applyProtection="0"/>
    <xf numFmtId="0" fontId="3" fillId="42" borderId="86" applyNumberFormat="0" applyFont="0" applyAlignment="0" applyProtection="0"/>
    <xf numFmtId="0" fontId="60" fillId="0" borderId="0" applyNumberFormat="0" applyFill="0" applyBorder="0" applyAlignment="0" applyProtection="0"/>
    <xf numFmtId="0" fontId="1" fillId="0" borderId="87" applyNumberFormat="0" applyFill="0" applyAlignment="0" applyProtection="0"/>
    <xf numFmtId="0" fontId="61"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61"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61"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61" fillId="55" borderId="0" applyNumberFormat="0" applyBorder="0" applyAlignment="0" applyProtection="0"/>
    <xf numFmtId="0" fontId="3"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61" fillId="59" borderId="0" applyNumberFormat="0" applyBorder="0" applyAlignment="0" applyProtection="0"/>
    <xf numFmtId="0" fontId="3"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61" fillId="63" borderId="0" applyNumberFormat="0" applyBorder="0" applyAlignment="0" applyProtection="0"/>
    <xf numFmtId="0" fontId="3" fillId="64"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cellStyleXfs>
  <cellXfs count="1153">
    <xf numFmtId="0" fontId="0" fillId="0" borderId="0" xfId="0"/>
    <xf numFmtId="0" fontId="5" fillId="0" borderId="1" xfId="0" applyFont="1" applyBorder="1" applyAlignment="1">
      <alignment wrapText="1"/>
    </xf>
    <xf numFmtId="0" fontId="4" fillId="17" borderId="1" xfId="0" applyFont="1" applyFill="1" applyBorder="1" applyAlignment="1">
      <alignment vertical="center"/>
    </xf>
    <xf numFmtId="0" fontId="4" fillId="0" borderId="40" xfId="0" applyFont="1" applyBorder="1"/>
    <xf numFmtId="0" fontId="4" fillId="4" borderId="40" xfId="0" applyFont="1" applyFill="1" applyBorder="1"/>
    <xf numFmtId="0" fontId="5" fillId="0" borderId="40" xfId="0" applyFont="1" applyBorder="1"/>
    <xf numFmtId="0" fontId="4" fillId="0" borderId="21" xfId="0" applyFont="1" applyBorder="1"/>
    <xf numFmtId="0" fontId="8" fillId="0" borderId="0" xfId="0" applyFont="1"/>
    <xf numFmtId="0" fontId="9" fillId="0" borderId="0" xfId="0" applyFont="1"/>
    <xf numFmtId="0" fontId="5" fillId="0" borderId="45" xfId="0" applyFont="1" applyBorder="1" applyAlignment="1">
      <alignment wrapText="1"/>
    </xf>
    <xf numFmtId="0" fontId="5" fillId="0" borderId="1" xfId="4" applyFont="1" applyBorder="1" applyAlignment="1">
      <alignment horizontal="center"/>
    </xf>
    <xf numFmtId="0" fontId="5" fillId="0" borderId="1" xfId="0" applyFont="1" applyBorder="1" applyAlignment="1">
      <alignment horizontal="center"/>
    </xf>
    <xf numFmtId="170" fontId="5" fillId="0" borderId="40" xfId="0" applyNumberFormat="1" applyFont="1" applyBorder="1"/>
    <xf numFmtId="170" fontId="7" fillId="0" borderId="40" xfId="0" applyNumberFormat="1" applyFont="1" applyBorder="1"/>
    <xf numFmtId="0" fontId="5" fillId="0" borderId="31" xfId="4" applyFont="1" applyBorder="1" applyAlignment="1">
      <alignment horizontal="center"/>
    </xf>
    <xf numFmtId="0" fontId="1" fillId="0" borderId="1" xfId="0" applyFont="1" applyBorder="1"/>
    <xf numFmtId="0" fontId="0" fillId="0" borderId="1" xfId="0" applyBorder="1" applyAlignment="1">
      <alignment horizontal="center" vertical="center"/>
    </xf>
    <xf numFmtId="0" fontId="4" fillId="0" borderId="0" xfId="0" applyFont="1"/>
    <xf numFmtId="0" fontId="16" fillId="0" borderId="40" xfId="0" applyFont="1" applyBorder="1"/>
    <xf numFmtId="0" fontId="4" fillId="0" borderId="1" xfId="0" applyFont="1" applyBorder="1"/>
    <xf numFmtId="0" fontId="16" fillId="0" borderId="1" xfId="0" applyFont="1" applyBorder="1"/>
    <xf numFmtId="10" fontId="4" fillId="0" borderId="1" xfId="2" applyNumberFormat="1" applyFont="1" applyBorder="1"/>
    <xf numFmtId="0" fontId="5" fillId="0" borderId="1" xfId="0" applyFont="1" applyBorder="1"/>
    <xf numFmtId="0" fontId="4" fillId="0" borderId="41" xfId="0" applyFont="1" applyBorder="1"/>
    <xf numFmtId="0" fontId="4" fillId="0" borderId="24" xfId="0" applyFont="1" applyBorder="1"/>
    <xf numFmtId="0" fontId="4" fillId="0" borderId="25" xfId="0" applyFont="1" applyBorder="1"/>
    <xf numFmtId="0" fontId="4" fillId="0" borderId="26" xfId="0" applyFont="1" applyBorder="1"/>
    <xf numFmtId="0" fontId="4" fillId="0" borderId="0" xfId="0" applyFont="1" applyAlignment="1">
      <alignment horizontal="center"/>
    </xf>
    <xf numFmtId="0" fontId="4" fillId="0" borderId="0" xfId="0" applyFont="1" applyAlignment="1">
      <alignment wrapText="1"/>
    </xf>
    <xf numFmtId="0" fontId="5" fillId="16" borderId="48" xfId="0" applyFont="1" applyFill="1" applyBorder="1" applyAlignment="1">
      <alignment horizontal="center" vertical="center" wrapText="1"/>
    </xf>
    <xf numFmtId="0" fontId="5" fillId="16" borderId="4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24" borderId="22" xfId="0" applyFont="1" applyFill="1" applyBorder="1" applyAlignment="1">
      <alignment horizontal="center" vertical="center" wrapText="1"/>
    </xf>
    <xf numFmtId="0" fontId="5" fillId="24" borderId="65" xfId="0" applyFont="1" applyFill="1" applyBorder="1" applyAlignment="1">
      <alignment horizontal="center" vertical="center" wrapText="1"/>
    </xf>
    <xf numFmtId="0" fontId="5" fillId="14" borderId="5" xfId="0" applyFont="1" applyFill="1" applyBorder="1" applyAlignment="1">
      <alignment vertical="center" wrapText="1"/>
    </xf>
    <xf numFmtId="0" fontId="5" fillId="16" borderId="21" xfId="0" applyFont="1" applyFill="1" applyBorder="1" applyAlignment="1">
      <alignment horizontal="center" vertical="center" wrapText="1"/>
    </xf>
    <xf numFmtId="0" fontId="5" fillId="16" borderId="22" xfId="0" applyFont="1" applyFill="1" applyBorder="1" applyAlignment="1">
      <alignment horizontal="center" vertical="center" wrapText="1"/>
    </xf>
    <xf numFmtId="0" fontId="5" fillId="24" borderId="23" xfId="0" applyFont="1" applyFill="1" applyBorder="1" applyAlignment="1">
      <alignment horizontal="center" vertical="center" wrapText="1"/>
    </xf>
    <xf numFmtId="2" fontId="4" fillId="0" borderId="0" xfId="0" applyNumberFormat="1" applyFont="1"/>
    <xf numFmtId="0" fontId="4" fillId="0" borderId="47" xfId="0" applyFont="1" applyBorder="1"/>
    <xf numFmtId="3" fontId="4" fillId="0" borderId="49" xfId="0" applyNumberFormat="1" applyFont="1" applyBorder="1" applyAlignment="1">
      <alignment wrapText="1"/>
    </xf>
    <xf numFmtId="3" fontId="4" fillId="19" borderId="1" xfId="0" applyNumberFormat="1" applyFont="1" applyFill="1" applyBorder="1"/>
    <xf numFmtId="3" fontId="4" fillId="19" borderId="3" xfId="0" applyNumberFormat="1" applyFont="1" applyFill="1" applyBorder="1"/>
    <xf numFmtId="9" fontId="4" fillId="19" borderId="49" xfId="2" applyFont="1" applyFill="1" applyBorder="1"/>
    <xf numFmtId="3" fontId="4" fillId="19" borderId="5" xfId="0" applyNumberFormat="1" applyFont="1" applyFill="1" applyBorder="1"/>
    <xf numFmtId="9" fontId="4" fillId="19" borderId="1" xfId="2" applyFont="1" applyFill="1" applyBorder="1"/>
    <xf numFmtId="3" fontId="4" fillId="0" borderId="0" xfId="0" applyNumberFormat="1" applyFont="1"/>
    <xf numFmtId="2" fontId="4" fillId="0" borderId="1" xfId="0" applyNumberFormat="1" applyFont="1" applyBorder="1"/>
    <xf numFmtId="174" fontId="4" fillId="0" borderId="1" xfId="2" applyNumberFormat="1" applyFont="1" applyBorder="1"/>
    <xf numFmtId="174" fontId="4" fillId="0" borderId="41" xfId="2" applyNumberFormat="1" applyFont="1" applyBorder="1"/>
    <xf numFmtId="0" fontId="4" fillId="4" borderId="47" xfId="0" applyFont="1" applyFill="1" applyBorder="1"/>
    <xf numFmtId="0" fontId="20" fillId="0" borderId="47" xfId="3" applyFont="1" applyBorder="1" applyAlignment="1" applyProtection="1"/>
    <xf numFmtId="0" fontId="4" fillId="0" borderId="49" xfId="0" applyFont="1" applyBorder="1" applyAlignment="1">
      <alignment wrapText="1"/>
    </xf>
    <xf numFmtId="3" fontId="4" fillId="19" borderId="40" xfId="0" applyNumberFormat="1" applyFont="1" applyFill="1" applyBorder="1"/>
    <xf numFmtId="0" fontId="5" fillId="0" borderId="0" xfId="0" applyFont="1"/>
    <xf numFmtId="0" fontId="5" fillId="0" borderId="47" xfId="0" applyFont="1" applyBorder="1"/>
    <xf numFmtId="3" fontId="5" fillId="0" borderId="49" xfId="0" applyNumberFormat="1" applyFont="1" applyBorder="1" applyAlignment="1">
      <alignment wrapText="1"/>
    </xf>
    <xf numFmtId="0" fontId="5" fillId="0" borderId="49" xfId="0" applyFont="1" applyBorder="1" applyAlignment="1">
      <alignment wrapText="1"/>
    </xf>
    <xf numFmtId="3" fontId="5" fillId="0" borderId="47" xfId="0" applyNumberFormat="1" applyFont="1" applyBorder="1"/>
    <xf numFmtId="3" fontId="5" fillId="0" borderId="49" xfId="0" applyNumberFormat="1" applyFont="1" applyBorder="1"/>
    <xf numFmtId="3" fontId="5" fillId="19" borderId="1" xfId="0" applyNumberFormat="1" applyFont="1" applyFill="1" applyBorder="1"/>
    <xf numFmtId="3" fontId="5" fillId="19" borderId="3" xfId="0" applyNumberFormat="1" applyFont="1" applyFill="1" applyBorder="1"/>
    <xf numFmtId="3" fontId="4" fillId="19" borderId="49" xfId="0" applyNumberFormat="1" applyFont="1" applyFill="1" applyBorder="1"/>
    <xf numFmtId="0" fontId="7" fillId="0" borderId="47" xfId="0" applyFont="1" applyBorder="1"/>
    <xf numFmtId="0" fontId="4" fillId="0" borderId="49" xfId="0" applyFont="1" applyBorder="1"/>
    <xf numFmtId="0" fontId="4" fillId="19" borderId="1" xfId="0" applyFont="1" applyFill="1" applyBorder="1"/>
    <xf numFmtId="0" fontId="4" fillId="19" borderId="3" xfId="0" applyFont="1" applyFill="1" applyBorder="1"/>
    <xf numFmtId="0" fontId="4" fillId="19" borderId="49" xfId="0" applyFont="1" applyFill="1" applyBorder="1"/>
    <xf numFmtId="0" fontId="4" fillId="19" borderId="5" xfId="0" applyFont="1" applyFill="1" applyBorder="1"/>
    <xf numFmtId="0" fontId="20" fillId="0" borderId="0" xfId="3" applyFont="1" applyFill="1" applyAlignment="1" applyProtection="1">
      <alignment wrapText="1"/>
    </xf>
    <xf numFmtId="169" fontId="4" fillId="0" borderId="47" xfId="0" applyNumberFormat="1" applyFont="1" applyBorder="1"/>
    <xf numFmtId="3" fontId="4" fillId="0" borderId="49" xfId="0" applyNumberFormat="1" applyFont="1" applyBorder="1"/>
    <xf numFmtId="3" fontId="4" fillId="0" borderId="47" xfId="0" applyNumberFormat="1" applyFont="1" applyBorder="1"/>
    <xf numFmtId="0" fontId="20" fillId="0" borderId="9" xfId="3" applyFont="1" applyBorder="1" applyAlignment="1" applyProtection="1"/>
    <xf numFmtId="0" fontId="20" fillId="0" borderId="0" xfId="3" applyFont="1" applyFill="1" applyAlignment="1" applyProtection="1"/>
    <xf numFmtId="0" fontId="4" fillId="19" borderId="40" xfId="0" applyFont="1" applyFill="1" applyBorder="1"/>
    <xf numFmtId="0" fontId="4" fillId="19" borderId="47" xfId="0" applyFont="1" applyFill="1" applyBorder="1"/>
    <xf numFmtId="174" fontId="4" fillId="19" borderId="1" xfId="2" applyNumberFormat="1" applyFont="1" applyFill="1" applyBorder="1"/>
    <xf numFmtId="9" fontId="4" fillId="19" borderId="5" xfId="2" applyFont="1" applyFill="1" applyBorder="1"/>
    <xf numFmtId="3" fontId="5" fillId="19" borderId="49" xfId="0" applyNumberFormat="1" applyFont="1" applyFill="1" applyBorder="1"/>
    <xf numFmtId="3" fontId="5" fillId="19" borderId="5" xfId="0" applyNumberFormat="1" applyFont="1" applyFill="1" applyBorder="1"/>
    <xf numFmtId="170" fontId="5" fillId="0" borderId="47" xfId="0" applyNumberFormat="1" applyFont="1" applyBorder="1"/>
    <xf numFmtId="170" fontId="7" fillId="0" borderId="47" xfId="0" applyNumberFormat="1" applyFont="1" applyBorder="1" applyAlignment="1">
      <alignment wrapText="1"/>
    </xf>
    <xf numFmtId="170" fontId="4" fillId="19" borderId="1" xfId="0" applyNumberFormat="1" applyFont="1" applyFill="1" applyBorder="1"/>
    <xf numFmtId="170" fontId="4" fillId="19" borderId="49" xfId="0" applyNumberFormat="1" applyFont="1" applyFill="1" applyBorder="1"/>
    <xf numFmtId="170" fontId="4" fillId="19" borderId="5" xfId="0" applyNumberFormat="1" applyFont="1" applyFill="1" applyBorder="1"/>
    <xf numFmtId="0" fontId="0" fillId="0" borderId="49" xfId="0" applyBorder="1"/>
    <xf numFmtId="2" fontId="4" fillId="19" borderId="40" xfId="0" applyNumberFormat="1" applyFont="1" applyFill="1" applyBorder="1"/>
    <xf numFmtId="10" fontId="4" fillId="19" borderId="5" xfId="2" applyNumberFormat="1" applyFont="1" applyFill="1" applyBorder="1"/>
    <xf numFmtId="3" fontId="1" fillId="0" borderId="49" xfId="0" applyNumberFormat="1" applyFont="1" applyBorder="1"/>
    <xf numFmtId="0" fontId="21" fillId="0" borderId="47" xfId="0" applyFont="1" applyBorder="1"/>
    <xf numFmtId="170" fontId="4" fillId="0" borderId="49" xfId="0" applyNumberFormat="1" applyFont="1" applyBorder="1" applyAlignment="1">
      <alignment wrapText="1"/>
    </xf>
    <xf numFmtId="170" fontId="4" fillId="0" borderId="47" xfId="0" applyNumberFormat="1" applyFont="1" applyBorder="1"/>
    <xf numFmtId="171" fontId="4" fillId="0" borderId="1" xfId="0" applyNumberFormat="1" applyFont="1" applyBorder="1"/>
    <xf numFmtId="170" fontId="21" fillId="0" borderId="47" xfId="0" applyNumberFormat="1" applyFont="1" applyBorder="1"/>
    <xf numFmtId="169" fontId="4" fillId="0" borderId="49" xfId="0" applyNumberFormat="1" applyFont="1" applyBorder="1"/>
    <xf numFmtId="166" fontId="4" fillId="0" borderId="1" xfId="0" applyNumberFormat="1" applyFont="1" applyBorder="1"/>
    <xf numFmtId="170" fontId="5" fillId="0" borderId="49" xfId="0" applyNumberFormat="1" applyFont="1" applyBorder="1" applyAlignment="1">
      <alignment wrapText="1"/>
    </xf>
    <xf numFmtId="169" fontId="5" fillId="0" borderId="49" xfId="0" applyNumberFormat="1" applyFont="1" applyBorder="1"/>
    <xf numFmtId="0" fontId="4" fillId="0" borderId="9" xfId="0" applyFont="1" applyBorder="1"/>
    <xf numFmtId="4" fontId="4" fillId="0" borderId="47" xfId="0" applyNumberFormat="1" applyFont="1" applyBorder="1"/>
    <xf numFmtId="4" fontId="4" fillId="0" borderId="49" xfId="0" applyNumberFormat="1" applyFont="1" applyBorder="1"/>
    <xf numFmtId="4" fontId="4" fillId="19" borderId="1" xfId="0" applyNumberFormat="1" applyFont="1" applyFill="1" applyBorder="1"/>
    <xf numFmtId="4" fontId="4" fillId="19" borderId="3" xfId="0" applyNumberFormat="1" applyFont="1" applyFill="1" applyBorder="1"/>
    <xf numFmtId="4" fontId="4" fillId="19" borderId="49" xfId="0" applyNumberFormat="1" applyFont="1" applyFill="1" applyBorder="1"/>
    <xf numFmtId="4" fontId="4" fillId="19" borderId="5" xfId="0" applyNumberFormat="1" applyFont="1" applyFill="1" applyBorder="1"/>
    <xf numFmtId="4" fontId="4" fillId="0" borderId="0" xfId="0" applyNumberFormat="1" applyFont="1"/>
    <xf numFmtId="3" fontId="4" fillId="0" borderId="1" xfId="0" applyNumberFormat="1" applyFont="1" applyBorder="1"/>
    <xf numFmtId="3" fontId="4" fillId="19" borderId="1" xfId="0" applyNumberFormat="1" applyFont="1" applyFill="1" applyBorder="1" applyAlignment="1">
      <alignment wrapText="1"/>
    </xf>
    <xf numFmtId="3" fontId="4" fillId="19" borderId="49" xfId="0" applyNumberFormat="1" applyFont="1" applyFill="1" applyBorder="1" applyAlignment="1">
      <alignment wrapText="1"/>
    </xf>
    <xf numFmtId="3" fontId="4" fillId="19" borderId="5" xfId="0" applyNumberFormat="1" applyFont="1" applyFill="1" applyBorder="1" applyAlignment="1">
      <alignment wrapText="1"/>
    </xf>
    <xf numFmtId="3" fontId="4" fillId="0" borderId="0" xfId="0" applyNumberFormat="1" applyFont="1" applyAlignment="1">
      <alignment wrapText="1"/>
    </xf>
    <xf numFmtId="174" fontId="4" fillId="0" borderId="25" xfId="2" applyNumberFormat="1" applyFont="1" applyBorder="1"/>
    <xf numFmtId="174" fontId="4" fillId="0" borderId="26" xfId="2" applyNumberFormat="1" applyFont="1" applyBorder="1"/>
    <xf numFmtId="174" fontId="4" fillId="0" borderId="0" xfId="2" applyNumberFormat="1" applyFont="1"/>
    <xf numFmtId="0" fontId="4" fillId="14" borderId="12" xfId="0" applyFont="1" applyFill="1" applyBorder="1"/>
    <xf numFmtId="3" fontId="4" fillId="14" borderId="11" xfId="0" applyNumberFormat="1" applyFont="1" applyFill="1" applyBorder="1" applyAlignment="1">
      <alignment wrapText="1"/>
    </xf>
    <xf numFmtId="3" fontId="4" fillId="19" borderId="50" xfId="0" applyNumberFormat="1" applyFont="1" applyFill="1" applyBorder="1"/>
    <xf numFmtId="0" fontId="4" fillId="0" borderId="44" xfId="0" applyFont="1" applyBorder="1"/>
    <xf numFmtId="0" fontId="4" fillId="0" borderId="0" xfId="0" applyFont="1" applyAlignment="1">
      <alignment horizontal="center" vertical="center"/>
    </xf>
    <xf numFmtId="0" fontId="4" fillId="0" borderId="11" xfId="0" applyFont="1" applyBorder="1"/>
    <xf numFmtId="0" fontId="4" fillId="0" borderId="12" xfId="0" applyFont="1" applyBorder="1"/>
    <xf numFmtId="0" fontId="4" fillId="0" borderId="42" xfId="0" applyFont="1" applyBorder="1"/>
    <xf numFmtId="0" fontId="4" fillId="0" borderId="20" xfId="0" applyFont="1" applyBorder="1"/>
    <xf numFmtId="0" fontId="5" fillId="0" borderId="20" xfId="0" applyFont="1" applyBorder="1"/>
    <xf numFmtId="0" fontId="5" fillId="0" borderId="29" xfId="0" applyFont="1" applyBorder="1"/>
    <xf numFmtId="15" fontId="5" fillId="0" borderId="13" xfId="0" applyNumberFormat="1" applyFont="1" applyBorder="1" applyAlignment="1">
      <alignment horizontal="center"/>
    </xf>
    <xf numFmtId="15" fontId="5" fillId="0" borderId="62" xfId="0" applyNumberFormat="1" applyFont="1" applyBorder="1" applyAlignment="1">
      <alignment horizontal="center"/>
    </xf>
    <xf numFmtId="15" fontId="5" fillId="0" borderId="30" xfId="0" applyNumberFormat="1" applyFont="1" applyBorder="1" applyAlignment="1">
      <alignment horizontal="center"/>
    </xf>
    <xf numFmtId="15" fontId="5" fillId="0" borderId="43" xfId="0" applyNumberFormat="1" applyFont="1" applyBorder="1" applyAlignment="1">
      <alignment horizontal="center"/>
    </xf>
    <xf numFmtId="15" fontId="5" fillId="10" borderId="14" xfId="0" applyNumberFormat="1" applyFont="1" applyFill="1" applyBorder="1" applyAlignment="1">
      <alignment horizontal="center"/>
    </xf>
    <xf numFmtId="15" fontId="5" fillId="0" borderId="33" xfId="0" applyNumberFormat="1" applyFont="1" applyBorder="1" applyAlignment="1">
      <alignment horizontal="center"/>
    </xf>
    <xf numFmtId="15" fontId="5" fillId="0" borderId="56" xfId="0" applyNumberFormat="1" applyFont="1" applyBorder="1" applyAlignment="1">
      <alignment horizontal="center"/>
    </xf>
    <xf numFmtId="15" fontId="5" fillId="10" borderId="8" xfId="0" applyNumberFormat="1" applyFont="1" applyFill="1" applyBorder="1" applyAlignment="1">
      <alignment horizontal="center"/>
    </xf>
    <xf numFmtId="15" fontId="5" fillId="0" borderId="7" xfId="0" applyNumberFormat="1" applyFont="1" applyBorder="1" applyAlignment="1">
      <alignment horizontal="center"/>
    </xf>
    <xf numFmtId="15" fontId="5" fillId="0" borderId="58" xfId="0" applyNumberFormat="1" applyFont="1" applyBorder="1" applyAlignment="1">
      <alignment horizontal="center"/>
    </xf>
    <xf numFmtId="0" fontId="4" fillId="0" borderId="3" xfId="0" applyFont="1" applyBorder="1"/>
    <xf numFmtId="0" fontId="5" fillId="0" borderId="41" xfId="0" applyFont="1" applyBorder="1"/>
    <xf numFmtId="0" fontId="4" fillId="0" borderId="5" xfId="0" applyFont="1" applyBorder="1"/>
    <xf numFmtId="0" fontId="4" fillId="0" borderId="1" xfId="0" applyFont="1" applyBorder="1" applyAlignment="1">
      <alignment horizontal="center" vertical="center"/>
    </xf>
    <xf numFmtId="0" fontId="23" fillId="0" borderId="68" xfId="0" applyFont="1" applyBorder="1"/>
    <xf numFmtId="0" fontId="23" fillId="0" borderId="40" xfId="0" applyFont="1" applyBorder="1"/>
    <xf numFmtId="174" fontId="23" fillId="0" borderId="1" xfId="0" applyNumberFormat="1" applyFont="1" applyBorder="1" applyAlignment="1">
      <alignment horizontal="center" vertical="center"/>
    </xf>
    <xf numFmtId="10" fontId="23" fillId="0" borderId="32" xfId="2" applyNumberFormat="1" applyFont="1" applyBorder="1"/>
    <xf numFmtId="10" fontId="23" fillId="0" borderId="45" xfId="2" applyNumberFormat="1" applyFont="1" applyBorder="1"/>
    <xf numFmtId="10" fontId="23" fillId="0" borderId="0" xfId="2" applyNumberFormat="1" applyFont="1" applyAlignment="1">
      <alignment horizontal="center" vertical="center"/>
    </xf>
    <xf numFmtId="0" fontId="23" fillId="0" borderId="1" xfId="0" applyFont="1" applyBorder="1" applyAlignment="1">
      <alignment horizontal="center" vertical="center"/>
    </xf>
    <xf numFmtId="9" fontId="23" fillId="0" borderId="40" xfId="2" applyFont="1" applyBorder="1"/>
    <xf numFmtId="9" fontId="23" fillId="0" borderId="9" xfId="2" applyFont="1" applyFill="1" applyBorder="1"/>
    <xf numFmtId="9" fontId="23" fillId="0" borderId="0" xfId="2" applyFont="1" applyAlignment="1">
      <alignment horizontal="center" vertical="center"/>
    </xf>
    <xf numFmtId="0" fontId="4" fillId="0" borderId="68" xfId="0" applyFont="1" applyBorder="1"/>
    <xf numFmtId="0" fontId="4" fillId="0" borderId="40" xfId="0" applyFont="1" applyBorder="1" applyAlignment="1">
      <alignment horizontal="center" vertical="center"/>
    </xf>
    <xf numFmtId="0" fontId="4" fillId="0" borderId="45" xfId="0" applyFont="1" applyBorder="1"/>
    <xf numFmtId="0" fontId="24" fillId="0" borderId="9" xfId="0" applyFont="1" applyBorder="1"/>
    <xf numFmtId="0" fontId="24" fillId="0" borderId="40" xfId="0" applyFont="1" applyBorder="1" applyAlignment="1">
      <alignment horizontal="center" vertical="center"/>
    </xf>
    <xf numFmtId="10" fontId="24" fillId="0" borderId="1" xfId="2" applyNumberFormat="1" applyFont="1" applyBorder="1" applyAlignment="1">
      <alignment horizontal="center" vertical="center"/>
    </xf>
    <xf numFmtId="10" fontId="24" fillId="0" borderId="31" xfId="2" applyNumberFormat="1" applyFont="1" applyBorder="1"/>
    <xf numFmtId="0" fontId="24" fillId="0" borderId="0" xfId="0" applyFont="1" applyAlignment="1">
      <alignment horizontal="center" vertical="center"/>
    </xf>
    <xf numFmtId="0" fontId="24" fillId="0" borderId="37" xfId="0" applyFont="1" applyBorder="1"/>
    <xf numFmtId="0" fontId="24" fillId="0" borderId="31" xfId="0" applyFont="1" applyBorder="1"/>
    <xf numFmtId="0" fontId="24" fillId="0" borderId="38" xfId="0" applyFont="1" applyBorder="1" applyAlignment="1">
      <alignment horizontal="center" vertical="center"/>
    </xf>
    <xf numFmtId="0" fontId="24" fillId="0" borderId="45" xfId="0" applyFont="1" applyBorder="1" applyAlignment="1">
      <alignment horizontal="center" vertical="center"/>
    </xf>
    <xf numFmtId="0" fontId="24" fillId="0" borderId="37" xfId="0" applyFont="1" applyBorder="1" applyAlignment="1">
      <alignment horizontal="center" vertical="center"/>
    </xf>
    <xf numFmtId="0" fontId="24" fillId="0" borderId="19" xfId="0" applyFont="1" applyBorder="1" applyAlignment="1">
      <alignment horizontal="center" vertical="center"/>
    </xf>
    <xf numFmtId="0" fontId="24" fillId="0" borderId="0" xfId="0" applyFont="1"/>
    <xf numFmtId="0" fontId="5" fillId="0" borderId="7" xfId="0" applyFont="1" applyBorder="1"/>
    <xf numFmtId="0" fontId="5" fillId="0" borderId="17" xfId="0" applyFont="1" applyBorder="1" applyAlignment="1">
      <alignment horizontal="center" vertical="center"/>
    </xf>
    <xf numFmtId="0" fontId="5" fillId="0" borderId="58" xfId="0" applyFont="1" applyBorder="1" applyAlignment="1">
      <alignment horizontal="center" vertical="center"/>
    </xf>
    <xf numFmtId="0" fontId="5" fillId="0" borderId="56" xfId="0" applyFont="1" applyBorder="1" applyAlignment="1">
      <alignment horizontal="center" vertical="center"/>
    </xf>
    <xf numFmtId="0" fontId="5" fillId="0" borderId="7" xfId="0" applyFont="1" applyBorder="1" applyAlignment="1">
      <alignment horizontal="center" vertical="center"/>
    </xf>
    <xf numFmtId="0" fontId="4" fillId="0" borderId="58" xfId="0" applyFont="1" applyBorder="1"/>
    <xf numFmtId="0" fontId="4" fillId="0" borderId="51" xfId="0" applyFont="1" applyBorder="1"/>
    <xf numFmtId="0" fontId="5" fillId="0" borderId="3" xfId="0" applyFont="1" applyBorder="1"/>
    <xf numFmtId="0" fontId="5" fillId="0" borderId="54" xfId="0" applyFont="1" applyBorder="1"/>
    <xf numFmtId="0" fontId="5" fillId="0" borderId="52" xfId="0" applyFont="1" applyBorder="1" applyAlignment="1">
      <alignment horizontal="center" vertical="center"/>
    </xf>
    <xf numFmtId="0" fontId="5" fillId="0" borderId="44" xfId="0" applyFont="1" applyBorder="1" applyAlignment="1">
      <alignment horizontal="center" vertical="center"/>
    </xf>
    <xf numFmtId="0" fontId="4" fillId="0" borderId="55" xfId="0" applyFont="1" applyBorder="1"/>
    <xf numFmtId="0" fontId="4" fillId="0" borderId="52" xfId="0" applyFont="1" applyBorder="1"/>
    <xf numFmtId="0" fontId="4" fillId="0" borderId="6" xfId="0" applyFont="1" applyBorder="1"/>
    <xf numFmtId="0" fontId="4" fillId="0" borderId="53" xfId="0" applyFont="1" applyBorder="1"/>
    <xf numFmtId="0" fontId="21" fillId="0" borderId="3" xfId="0" applyFont="1" applyBorder="1"/>
    <xf numFmtId="0" fontId="21" fillId="0" borderId="68" xfId="0" applyFont="1" applyBorder="1"/>
    <xf numFmtId="0" fontId="21" fillId="0" borderId="40" xfId="0" applyFont="1" applyBorder="1" applyAlignment="1">
      <alignment horizontal="center" vertical="center"/>
    </xf>
    <xf numFmtId="10" fontId="21" fillId="0" borderId="1" xfId="2" applyNumberFormat="1" applyFont="1" applyBorder="1" applyAlignment="1">
      <alignment horizontal="center" vertical="center"/>
    </xf>
    <xf numFmtId="9" fontId="21" fillId="0" borderId="0" xfId="2" applyFont="1" applyAlignment="1">
      <alignment horizontal="center" vertical="center"/>
    </xf>
    <xf numFmtId="0" fontId="21" fillId="0" borderId="0" xfId="0" applyFont="1" applyAlignment="1">
      <alignment horizontal="center" vertical="center"/>
    </xf>
    <xf numFmtId="10" fontId="21" fillId="0" borderId="0" xfId="2" applyNumberFormat="1" applyFont="1" applyAlignment="1">
      <alignment horizontal="center" vertical="center"/>
    </xf>
    <xf numFmtId="0" fontId="21" fillId="0" borderId="0" xfId="0" applyFont="1"/>
    <xf numFmtId="0" fontId="21" fillId="0" borderId="1" xfId="0" applyFont="1" applyBorder="1" applyAlignment="1">
      <alignment horizontal="center" vertical="center"/>
    </xf>
    <xf numFmtId="9" fontId="21" fillId="0" borderId="40" xfId="2" applyFont="1" applyBorder="1" applyAlignment="1">
      <alignment horizontal="center" vertical="center"/>
    </xf>
    <xf numFmtId="9" fontId="21" fillId="0" borderId="1" xfId="2" applyFont="1" applyBorder="1" applyAlignment="1">
      <alignment horizontal="center" vertical="center"/>
    </xf>
    <xf numFmtId="0" fontId="25" fillId="0" borderId="9" xfId="0" applyFont="1" applyBorder="1"/>
    <xf numFmtId="0" fontId="25" fillId="0" borderId="40" xfId="0" applyFont="1" applyBorder="1" applyAlignment="1">
      <alignment horizontal="center" vertical="center"/>
    </xf>
    <xf numFmtId="10" fontId="25" fillId="0" borderId="1" xfId="2" applyNumberFormat="1" applyFont="1" applyBorder="1" applyAlignment="1">
      <alignment horizontal="center" vertical="center"/>
    </xf>
    <xf numFmtId="0" fontId="25" fillId="0" borderId="0" xfId="0" applyFont="1" applyAlignment="1">
      <alignment horizontal="center" vertical="center"/>
    </xf>
    <xf numFmtId="0" fontId="25" fillId="0" borderId="41" xfId="0" applyFont="1" applyBorder="1"/>
    <xf numFmtId="0" fontId="25" fillId="0" borderId="1" xfId="0" applyFont="1" applyBorder="1"/>
    <xf numFmtId="0" fontId="25" fillId="0" borderId="3" xfId="0" applyFont="1" applyBorder="1"/>
    <xf numFmtId="0" fontId="25" fillId="0" borderId="1" xfId="0" applyFont="1" applyBorder="1" applyAlignment="1">
      <alignment horizontal="center" vertical="center"/>
    </xf>
    <xf numFmtId="10" fontId="25" fillId="0" borderId="0" xfId="2" applyNumberFormat="1" applyFont="1" applyAlignment="1">
      <alignment horizontal="center" vertical="center"/>
    </xf>
    <xf numFmtId="10" fontId="25" fillId="0" borderId="1" xfId="2" applyNumberFormat="1" applyFont="1" applyBorder="1"/>
    <xf numFmtId="9" fontId="25" fillId="0" borderId="40" xfId="2" applyFont="1" applyBorder="1" applyAlignment="1">
      <alignment horizontal="center" vertical="center"/>
    </xf>
    <xf numFmtId="9" fontId="25" fillId="0" borderId="0" xfId="2" applyFont="1" applyAlignment="1">
      <alignment horizontal="center" vertical="center"/>
    </xf>
    <xf numFmtId="0" fontId="4" fillId="0" borderId="54" xfId="0" applyFont="1" applyBorder="1"/>
    <xf numFmtId="0" fontId="25" fillId="0" borderId="54" xfId="0" applyFont="1" applyBorder="1"/>
    <xf numFmtId="0" fontId="25" fillId="0" borderId="47" xfId="0" applyFont="1" applyBorder="1"/>
    <xf numFmtId="9" fontId="25" fillId="0" borderId="1" xfId="2" applyFont="1" applyBorder="1"/>
    <xf numFmtId="0" fontId="4" fillId="0" borderId="47" xfId="0" applyFont="1" applyBorder="1" applyAlignment="1">
      <alignment wrapText="1"/>
    </xf>
    <xf numFmtId="10" fontId="25" fillId="0" borderId="0" xfId="2" applyNumberFormat="1" applyFont="1" applyBorder="1"/>
    <xf numFmtId="0" fontId="25" fillId="0" borderId="0" xfId="0" applyFont="1"/>
    <xf numFmtId="0" fontId="25" fillId="0" borderId="68" xfId="0" applyFont="1" applyBorder="1"/>
    <xf numFmtId="0" fontId="25" fillId="0" borderId="38" xfId="0" applyFont="1" applyBorder="1" applyAlignment="1">
      <alignment horizontal="center" vertical="center"/>
    </xf>
    <xf numFmtId="0" fontId="25" fillId="0" borderId="45" xfId="0" applyFont="1" applyBorder="1" applyAlignment="1">
      <alignment horizontal="center" vertical="center"/>
    </xf>
    <xf numFmtId="0" fontId="4" fillId="0" borderId="56" xfId="0" applyFont="1" applyBorder="1"/>
    <xf numFmtId="0" fontId="4" fillId="0" borderId="18" xfId="0" applyFont="1" applyBorder="1"/>
    <xf numFmtId="0" fontId="4" fillId="0" borderId="31" xfId="0" applyFont="1" applyBorder="1"/>
    <xf numFmtId="0" fontId="4" fillId="0" borderId="19" xfId="0" applyFont="1" applyBorder="1"/>
    <xf numFmtId="0" fontId="4" fillId="0" borderId="67" xfId="0" applyFont="1" applyBorder="1"/>
    <xf numFmtId="0" fontId="4" fillId="0" borderId="37" xfId="0" applyFont="1" applyBorder="1"/>
    <xf numFmtId="0" fontId="4" fillId="0" borderId="60" xfId="0" applyFont="1" applyBorder="1"/>
    <xf numFmtId="0" fontId="4" fillId="0" borderId="27" xfId="0" applyFont="1" applyBorder="1"/>
    <xf numFmtId="0" fontId="5" fillId="0" borderId="7" xfId="0" applyFont="1" applyBorder="1" applyAlignment="1">
      <alignment wrapText="1"/>
    </xf>
    <xf numFmtId="0" fontId="5" fillId="0" borderId="40" xfId="0" applyFont="1" applyBorder="1" applyAlignment="1">
      <alignment horizontal="center" vertical="center"/>
    </xf>
    <xf numFmtId="0" fontId="5" fillId="0" borderId="1" xfId="0" applyFont="1" applyBorder="1" applyAlignment="1">
      <alignment horizontal="center" vertical="center"/>
    </xf>
    <xf numFmtId="0" fontId="5" fillId="0" borderId="33" xfId="0" applyFont="1" applyBorder="1"/>
    <xf numFmtId="0" fontId="5" fillId="0" borderId="58" xfId="0" applyFont="1" applyBorder="1"/>
    <xf numFmtId="0" fontId="5" fillId="0" borderId="51" xfId="0" applyFont="1" applyBorder="1"/>
    <xf numFmtId="0" fontId="5" fillId="0" borderId="17" xfId="0" applyFont="1" applyBorder="1"/>
    <xf numFmtId="0" fontId="25" fillId="0" borderId="37" xfId="0" applyFont="1" applyBorder="1"/>
    <xf numFmtId="0" fontId="25" fillId="0" borderId="19" xfId="0" applyFont="1" applyBorder="1"/>
    <xf numFmtId="9" fontId="25" fillId="0" borderId="1" xfId="2" applyFont="1" applyBorder="1" applyAlignment="1">
      <alignment horizontal="center" vertical="center"/>
    </xf>
    <xf numFmtId="10" fontId="25" fillId="0" borderId="37" xfId="2" applyNumberFormat="1" applyFont="1" applyBorder="1"/>
    <xf numFmtId="9" fontId="25" fillId="0" borderId="19" xfId="2" applyFont="1" applyBorder="1"/>
    <xf numFmtId="9" fontId="25" fillId="0" borderId="37" xfId="2" applyFont="1" applyBorder="1"/>
    <xf numFmtId="0" fontId="5" fillId="0" borderId="55" xfId="0" applyFont="1" applyBorder="1"/>
    <xf numFmtId="0" fontId="5" fillId="0" borderId="52" xfId="0" applyFont="1" applyBorder="1"/>
    <xf numFmtId="0" fontId="5" fillId="0" borderId="44" xfId="0" applyFont="1" applyBorder="1"/>
    <xf numFmtId="0" fontId="5" fillId="0" borderId="2" xfId="0" applyFont="1" applyBorder="1"/>
    <xf numFmtId="0" fontId="25" fillId="0" borderId="40" xfId="0" applyFont="1" applyBorder="1"/>
    <xf numFmtId="0" fontId="26" fillId="0" borderId="1" xfId="0" applyFont="1" applyBorder="1"/>
    <xf numFmtId="0" fontId="25" fillId="0" borderId="5" xfId="0" applyFont="1" applyBorder="1"/>
    <xf numFmtId="0" fontId="4" fillId="0" borderId="69" xfId="0" applyFont="1" applyBorder="1"/>
    <xf numFmtId="0" fontId="4" fillId="0" borderId="34" xfId="0" applyFont="1" applyBorder="1"/>
    <xf numFmtId="0" fontId="4" fillId="0" borderId="29" xfId="0" applyFont="1" applyBorder="1"/>
    <xf numFmtId="0" fontId="5" fillId="0" borderId="0" xfId="0" applyFont="1" applyAlignment="1">
      <alignment horizontal="center" vertical="center"/>
    </xf>
    <xf numFmtId="3" fontId="5" fillId="0" borderId="0" xfId="0" applyNumberFormat="1" applyFont="1" applyAlignment="1">
      <alignment horizontal="center" vertical="center"/>
    </xf>
    <xf numFmtId="0" fontId="27" fillId="0" borderId="0" xfId="0" applyFont="1" applyAlignment="1">
      <alignment horizontal="center" vertical="center"/>
    </xf>
    <xf numFmtId="0" fontId="5" fillId="0" borderId="10" xfId="0" applyFont="1" applyBorder="1" applyAlignment="1">
      <alignment horizontal="center" vertical="center"/>
    </xf>
    <xf numFmtId="0" fontId="4" fillId="0" borderId="46" xfId="0" applyFont="1" applyBorder="1"/>
    <xf numFmtId="0" fontId="4" fillId="0" borderId="14" xfId="0" applyFont="1" applyBorder="1"/>
    <xf numFmtId="0" fontId="4" fillId="0" borderId="10" xfId="0" applyFont="1" applyBorder="1"/>
    <xf numFmtId="0" fontId="4" fillId="0" borderId="7" xfId="0" applyFont="1" applyBorder="1"/>
    <xf numFmtId="0" fontId="4" fillId="0" borderId="8" xfId="0" applyFont="1" applyBorder="1"/>
    <xf numFmtId="3" fontId="4" fillId="0" borderId="10" xfId="0" applyNumberFormat="1" applyFont="1" applyBorder="1"/>
    <xf numFmtId="3" fontId="4" fillId="0" borderId="9" xfId="0" applyNumberFormat="1" applyFont="1" applyBorder="1"/>
    <xf numFmtId="4" fontId="4" fillId="0" borderId="10" xfId="0" applyNumberFormat="1" applyFont="1" applyBorder="1"/>
    <xf numFmtId="3" fontId="4" fillId="0" borderId="12" xfId="0" applyNumberFormat="1" applyFont="1" applyBorder="1"/>
    <xf numFmtId="3" fontId="4" fillId="0" borderId="42" xfId="0" applyNumberFormat="1" applyFont="1" applyBorder="1"/>
    <xf numFmtId="3" fontId="4" fillId="0" borderId="27" xfId="0" applyNumberFormat="1" applyFont="1" applyBorder="1"/>
    <xf numFmtId="3" fontId="4" fillId="0" borderId="20" xfId="0" applyNumberFormat="1" applyFont="1" applyBorder="1"/>
    <xf numFmtId="0" fontId="7" fillId="0" borderId="0" xfId="0" applyFont="1" applyAlignment="1">
      <alignment horizontal="center" vertical="center"/>
    </xf>
    <xf numFmtId="0" fontId="29" fillId="0" borderId="8" xfId="0" applyFont="1" applyBorder="1" applyAlignment="1">
      <alignment vertical="center"/>
    </xf>
    <xf numFmtId="170" fontId="5" fillId="0" borderId="8" xfId="0" applyNumberFormat="1" applyFont="1" applyBorder="1" applyAlignment="1">
      <alignment vertical="center"/>
    </xf>
    <xf numFmtId="2" fontId="4" fillId="0" borderId="8" xfId="0" applyNumberFormat="1" applyFont="1" applyBorder="1"/>
    <xf numFmtId="0" fontId="19" fillId="0" borderId="8" xfId="3" applyFont="1" applyBorder="1" applyAlignment="1" applyProtection="1"/>
    <xf numFmtId="3" fontId="4" fillId="0" borderId="8" xfId="0" applyNumberFormat="1" applyFont="1" applyBorder="1"/>
    <xf numFmtId="170" fontId="4" fillId="0" borderId="8" xfId="0" applyNumberFormat="1" applyFont="1" applyBorder="1" applyAlignment="1">
      <alignment vertical="center"/>
    </xf>
    <xf numFmtId="0" fontId="19" fillId="0" borderId="8" xfId="3" applyFont="1" applyFill="1" applyBorder="1" applyAlignment="1" applyProtection="1"/>
    <xf numFmtId="0" fontId="4" fillId="0" borderId="8" xfId="0" applyFont="1" applyBorder="1" applyAlignment="1">
      <alignment vertical="center"/>
    </xf>
    <xf numFmtId="2" fontId="4" fillId="0" borderId="7" xfId="0" applyNumberFormat="1" applyFont="1" applyBorder="1"/>
    <xf numFmtId="0" fontId="5" fillId="0" borderId="8" xfId="0" applyFont="1" applyBorder="1" applyAlignment="1">
      <alignment vertical="center"/>
    </xf>
    <xf numFmtId="0" fontId="5" fillId="12" borderId="8" xfId="0" applyFont="1" applyFill="1" applyBorder="1" applyAlignment="1">
      <alignment vertical="center"/>
    </xf>
    <xf numFmtId="0" fontId="4" fillId="12" borderId="8" xfId="0" applyFont="1" applyFill="1" applyBorder="1"/>
    <xf numFmtId="0" fontId="5" fillId="12" borderId="8" xfId="0" applyFont="1" applyFill="1" applyBorder="1"/>
    <xf numFmtId="3" fontId="5" fillId="12" borderId="8" xfId="0" applyNumberFormat="1" applyFont="1" applyFill="1" applyBorder="1"/>
    <xf numFmtId="0" fontId="5" fillId="17" borderId="8" xfId="0" applyFont="1" applyFill="1" applyBorder="1" applyAlignment="1">
      <alignment vertical="center"/>
    </xf>
    <xf numFmtId="0" fontId="5" fillId="2" borderId="8" xfId="0" applyFont="1" applyFill="1" applyBorder="1" applyAlignment="1">
      <alignment vertical="center"/>
    </xf>
    <xf numFmtId="0" fontId="4" fillId="2" borderId="8" xfId="0" applyFont="1" applyFill="1" applyBorder="1"/>
    <xf numFmtId="0" fontId="5" fillId="2" borderId="8" xfId="0" applyFont="1" applyFill="1" applyBorder="1"/>
    <xf numFmtId="3" fontId="5" fillId="2" borderId="8" xfId="0" applyNumberFormat="1" applyFont="1" applyFill="1" applyBorder="1"/>
    <xf numFmtId="170" fontId="4" fillId="0" borderId="8" xfId="0" applyNumberFormat="1" applyFont="1" applyBorder="1"/>
    <xf numFmtId="0" fontId="4" fillId="0" borderId="22" xfId="0" applyFont="1" applyBorder="1"/>
    <xf numFmtId="3" fontId="4" fillId="0" borderId="22" xfId="0" applyNumberFormat="1" applyFont="1" applyBorder="1"/>
    <xf numFmtId="3" fontId="4" fillId="0" borderId="23" xfId="0" applyNumberFormat="1" applyFont="1" applyBorder="1"/>
    <xf numFmtId="0" fontId="5"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xf>
    <xf numFmtId="170" fontId="4" fillId="0" borderId="0" xfId="0" applyNumberFormat="1" applyFont="1"/>
    <xf numFmtId="3" fontId="4" fillId="0" borderId="1" xfId="0" applyNumberFormat="1" applyFont="1" applyBorder="1" applyAlignment="1">
      <alignment vertical="center" wrapText="1"/>
    </xf>
    <xf numFmtId="165" fontId="4" fillId="0" borderId="1" xfId="1" applyNumberFormat="1" applyFont="1" applyBorder="1"/>
    <xf numFmtId="0" fontId="4" fillId="0" borderId="1" xfId="0" applyFont="1" applyBorder="1" applyAlignment="1">
      <alignment vertical="center"/>
    </xf>
    <xf numFmtId="170" fontId="5" fillId="0" borderId="1" xfId="0" applyNumberFormat="1" applyFont="1" applyBorder="1"/>
    <xf numFmtId="0" fontId="4" fillId="3" borderId="0" xfId="0" applyFont="1" applyFill="1" applyAlignment="1">
      <alignment horizontal="center"/>
    </xf>
    <xf numFmtId="3" fontId="5" fillId="0" borderId="1" xfId="0" applyNumberFormat="1" applyFont="1" applyBorder="1"/>
    <xf numFmtId="3" fontId="5" fillId="0" borderId="0" xfId="0" applyNumberFormat="1" applyFont="1"/>
    <xf numFmtId="0" fontId="5" fillId="0" borderId="1" xfId="1" applyNumberFormat="1" applyFont="1" applyBorder="1"/>
    <xf numFmtId="170" fontId="4" fillId="0" borderId="1" xfId="0" applyNumberFormat="1" applyFont="1" applyBorder="1"/>
    <xf numFmtId="0" fontId="4" fillId="0" borderId="1" xfId="0" applyFont="1" applyBorder="1" applyAlignment="1">
      <alignment wrapText="1"/>
    </xf>
    <xf numFmtId="3" fontId="4" fillId="0" borderId="1" xfId="0" applyNumberFormat="1" applyFont="1" applyBorder="1" applyAlignment="1">
      <alignment wrapText="1"/>
    </xf>
    <xf numFmtId="170" fontId="4" fillId="0" borderId="1" xfId="0" applyNumberFormat="1" applyFont="1" applyBorder="1" applyAlignment="1">
      <alignment vertical="center"/>
    </xf>
    <xf numFmtId="0" fontId="4" fillId="0" borderId="0" xfId="0" applyFont="1" applyAlignment="1">
      <alignment vertical="center"/>
    </xf>
    <xf numFmtId="0" fontId="29" fillId="0" borderId="1" xfId="0" applyFont="1" applyBorder="1"/>
    <xf numFmtId="10" fontId="4" fillId="0" borderId="1" xfId="0" applyNumberFormat="1" applyFont="1" applyBorder="1"/>
    <xf numFmtId="1" fontId="5" fillId="0" borderId="1" xfId="0" applyNumberFormat="1" applyFont="1" applyBorder="1"/>
    <xf numFmtId="172" fontId="4" fillId="0" borderId="1" xfId="0" applyNumberFormat="1" applyFont="1" applyBorder="1"/>
    <xf numFmtId="172" fontId="5" fillId="0" borderId="1" xfId="0" applyNumberFormat="1" applyFont="1" applyBorder="1"/>
    <xf numFmtId="171" fontId="5" fillId="0" borderId="1" xfId="0" applyNumberFormat="1" applyFont="1" applyBorder="1"/>
    <xf numFmtId="0" fontId="4" fillId="10" borderId="1" xfId="0" applyFont="1" applyFill="1" applyBorder="1"/>
    <xf numFmtId="170" fontId="4" fillId="0" borderId="1" xfId="0" applyNumberFormat="1" applyFont="1" applyBorder="1" applyAlignment="1">
      <alignment wrapText="1"/>
    </xf>
    <xf numFmtId="0" fontId="0" fillId="0" borderId="1" xfId="0" applyBorder="1"/>
    <xf numFmtId="0" fontId="4" fillId="10" borderId="1" xfId="0" applyFont="1" applyFill="1" applyBorder="1" applyAlignment="1">
      <alignment wrapText="1"/>
    </xf>
    <xf numFmtId="170" fontId="4" fillId="10" borderId="1" xfId="0" applyNumberFormat="1" applyFont="1" applyFill="1" applyBorder="1"/>
    <xf numFmtId="170" fontId="5" fillId="0" borderId="58" xfId="0" applyNumberFormat="1" applyFont="1" applyBorder="1"/>
    <xf numFmtId="170" fontId="5" fillId="0" borderId="59" xfId="0" applyNumberFormat="1" applyFont="1" applyBorder="1"/>
    <xf numFmtId="170" fontId="5" fillId="0" borderId="8" xfId="0" applyNumberFormat="1" applyFont="1" applyBorder="1"/>
    <xf numFmtId="0" fontId="5" fillId="0" borderId="18" xfId="0" applyFont="1" applyBorder="1"/>
    <xf numFmtId="0" fontId="4" fillId="0" borderId="17" xfId="0" applyFont="1" applyBorder="1"/>
    <xf numFmtId="0" fontId="4" fillId="5" borderId="0" xfId="0" applyFont="1" applyFill="1"/>
    <xf numFmtId="2" fontId="5" fillId="0" borderId="1" xfId="2" applyNumberFormat="1" applyFont="1" applyBorder="1"/>
    <xf numFmtId="9" fontId="4" fillId="0" borderId="0" xfId="2" applyFont="1"/>
    <xf numFmtId="10" fontId="5" fillId="0" borderId="1" xfId="0" applyNumberFormat="1" applyFont="1" applyBorder="1"/>
    <xf numFmtId="0" fontId="4" fillId="0" borderId="2" xfId="0" applyFont="1" applyBorder="1"/>
    <xf numFmtId="0" fontId="4" fillId="5" borderId="0" xfId="0" applyFont="1" applyFill="1" applyAlignment="1">
      <alignment horizontal="center" wrapText="1"/>
    </xf>
    <xf numFmtId="170" fontId="4" fillId="0" borderId="0" xfId="0" applyNumberFormat="1" applyFont="1" applyAlignment="1">
      <alignment wrapText="1"/>
    </xf>
    <xf numFmtId="0" fontId="5" fillId="12" borderId="0" xfId="0" applyFont="1" applyFill="1"/>
    <xf numFmtId="0" fontId="5" fillId="7" borderId="1" xfId="0" applyFont="1" applyFill="1" applyBorder="1"/>
    <xf numFmtId="0" fontId="5" fillId="7" borderId="1" xfId="0" applyFont="1" applyFill="1" applyBorder="1" applyAlignment="1">
      <alignment wrapText="1"/>
    </xf>
    <xf numFmtId="0" fontId="4" fillId="0" borderId="4" xfId="0" applyFont="1" applyBorder="1"/>
    <xf numFmtId="3" fontId="4" fillId="0" borderId="4" xfId="0" applyNumberFormat="1" applyFont="1" applyBorder="1"/>
    <xf numFmtId="0" fontId="17" fillId="0" borderId="1" xfId="0" applyFont="1" applyBorder="1" applyAlignment="1">
      <alignment wrapText="1"/>
    </xf>
    <xf numFmtId="3" fontId="0" fillId="0" borderId="1" xfId="0" applyNumberFormat="1" applyBorder="1"/>
    <xf numFmtId="3" fontId="1" fillId="0" borderId="1" xfId="0" applyNumberFormat="1" applyFont="1" applyBorder="1"/>
    <xf numFmtId="0" fontId="5" fillId="0" borderId="17" xfId="0" applyFont="1" applyBorder="1" applyAlignment="1">
      <alignment horizontal="center"/>
    </xf>
    <xf numFmtId="0" fontId="5" fillId="0" borderId="51" xfId="0" applyFont="1" applyBorder="1" applyAlignment="1">
      <alignment horizontal="center"/>
    </xf>
    <xf numFmtId="0" fontId="0" fillId="0" borderId="38" xfId="0" applyBorder="1"/>
    <xf numFmtId="0" fontId="0" fillId="0" borderId="27" xfId="0" applyBorder="1"/>
    <xf numFmtId="0" fontId="5" fillId="0" borderId="37" xfId="0" applyFont="1" applyBorder="1"/>
    <xf numFmtId="0" fontId="0" fillId="0" borderId="39" xfId="0" applyBorder="1"/>
    <xf numFmtId="168" fontId="5" fillId="0" borderId="1" xfId="0" applyNumberFormat="1" applyFont="1" applyBorder="1" applyAlignment="1">
      <alignment horizontal="center"/>
    </xf>
    <xf numFmtId="15" fontId="5" fillId="0" borderId="1" xfId="0" applyNumberFormat="1" applyFont="1" applyBorder="1"/>
    <xf numFmtId="15" fontId="5" fillId="0" borderId="41" xfId="0" applyNumberFormat="1" applyFont="1" applyBorder="1"/>
    <xf numFmtId="0" fontId="16" fillId="0" borderId="52" xfId="0" applyFont="1" applyBorder="1"/>
    <xf numFmtId="0" fontId="16" fillId="0" borderId="44" xfId="0" applyFont="1" applyBorder="1"/>
    <xf numFmtId="0" fontId="17" fillId="0" borderId="40" xfId="0" applyFont="1" applyBorder="1"/>
    <xf numFmtId="0" fontId="17" fillId="0" borderId="1" xfId="0" applyFont="1" applyBorder="1"/>
    <xf numFmtId="0" fontId="16" fillId="0" borderId="24" xfId="0" applyFont="1" applyBorder="1"/>
    <xf numFmtId="0" fontId="16" fillId="0" borderId="25" xfId="0" applyFont="1" applyBorder="1"/>
    <xf numFmtId="0" fontId="16" fillId="0" borderId="26" xfId="0" applyFont="1" applyBorder="1"/>
    <xf numFmtId="0" fontId="17" fillId="0" borderId="44" xfId="0" applyFont="1" applyBorder="1"/>
    <xf numFmtId="0" fontId="16" fillId="0" borderId="53" xfId="0" applyFont="1" applyBorder="1"/>
    <xf numFmtId="170" fontId="16" fillId="0" borderId="41" xfId="0" applyNumberFormat="1" applyFont="1" applyBorder="1"/>
    <xf numFmtId="170" fontId="16" fillId="0" borderId="1" xfId="0" applyNumberFormat="1" applyFont="1" applyBorder="1"/>
    <xf numFmtId="0" fontId="5" fillId="0" borderId="58" xfId="0" applyFont="1" applyBorder="1" applyAlignment="1">
      <alignment horizontal="center"/>
    </xf>
    <xf numFmtId="170" fontId="17" fillId="0" borderId="1" xfId="0" applyNumberFormat="1" applyFont="1" applyBorder="1"/>
    <xf numFmtId="0" fontId="4" fillId="23" borderId="0" xfId="0" applyFont="1" applyFill="1"/>
    <xf numFmtId="0" fontId="0" fillId="0" borderId="12" xfId="0" applyBorder="1"/>
    <xf numFmtId="168" fontId="5" fillId="0" borderId="17" xfId="0" applyNumberFormat="1" applyFont="1" applyBorder="1" applyAlignment="1">
      <alignment horizontal="center"/>
    </xf>
    <xf numFmtId="168" fontId="5" fillId="0" borderId="58" xfId="0" applyNumberFormat="1" applyFont="1" applyBorder="1" applyAlignment="1">
      <alignment horizontal="center"/>
    </xf>
    <xf numFmtId="15" fontId="5" fillId="0" borderId="58" xfId="0" applyNumberFormat="1" applyFont="1" applyBorder="1"/>
    <xf numFmtId="15" fontId="5" fillId="0" borderId="51" xfId="0" applyNumberFormat="1" applyFont="1" applyBorder="1"/>
    <xf numFmtId="170" fontId="16" fillId="0" borderId="53" xfId="0" applyNumberFormat="1" applyFont="1" applyBorder="1"/>
    <xf numFmtId="0" fontId="5" fillId="0" borderId="59" xfId="0" applyFont="1" applyBorder="1"/>
    <xf numFmtId="0" fontId="5" fillId="0" borderId="14" xfId="0" applyFont="1" applyBorder="1"/>
    <xf numFmtId="0" fontId="16" fillId="0" borderId="6" xfId="0" applyFont="1" applyBorder="1"/>
    <xf numFmtId="0" fontId="16" fillId="0" borderId="55" xfId="0" applyFont="1" applyBorder="1"/>
    <xf numFmtId="0" fontId="16" fillId="0" borderId="3" xfId="0" applyFont="1" applyBorder="1"/>
    <xf numFmtId="0" fontId="16" fillId="0" borderId="5" xfId="0" applyFont="1" applyBorder="1"/>
    <xf numFmtId="0" fontId="17" fillId="0" borderId="3" xfId="0" applyFont="1" applyBorder="1"/>
    <xf numFmtId="0" fontId="17" fillId="0" borderId="5" xfId="0" applyFont="1" applyBorder="1"/>
    <xf numFmtId="0" fontId="16" fillId="0" borderId="61" xfId="0" applyFont="1" applyBorder="1"/>
    <xf numFmtId="0" fontId="16" fillId="0" borderId="50" xfId="0" applyFont="1" applyBorder="1"/>
    <xf numFmtId="0" fontId="16" fillId="0" borderId="34" xfId="0" applyFont="1" applyBorder="1"/>
    <xf numFmtId="0" fontId="20" fillId="23" borderId="0" xfId="3" applyFont="1" applyFill="1" applyAlignment="1" applyProtection="1"/>
    <xf numFmtId="0" fontId="0" fillId="0" borderId="9" xfId="0" applyBorder="1"/>
    <xf numFmtId="0" fontId="0" fillId="0" borderId="36" xfId="0" applyBorder="1"/>
    <xf numFmtId="2" fontId="5" fillId="0" borderId="62" xfId="0" applyNumberFormat="1" applyFont="1" applyBorder="1" applyAlignment="1">
      <alignment horizontal="center"/>
    </xf>
    <xf numFmtId="0" fontId="5" fillId="0" borderId="62" xfId="0" applyFont="1" applyBorder="1"/>
    <xf numFmtId="2" fontId="5" fillId="0" borderId="62" xfId="0" applyNumberFormat="1" applyFont="1" applyBorder="1" applyAlignment="1">
      <alignment horizontal="right" indent="1"/>
    </xf>
    <xf numFmtId="2" fontId="5" fillId="0" borderId="62" xfId="0" applyNumberFormat="1" applyFont="1" applyBorder="1" applyAlignment="1">
      <alignment horizontal="right"/>
    </xf>
    <xf numFmtId="2" fontId="5" fillId="0" borderId="62" xfId="0" applyNumberFormat="1" applyFont="1" applyBorder="1"/>
    <xf numFmtId="2" fontId="5" fillId="0" borderId="63" xfId="0" applyNumberFormat="1" applyFont="1" applyBorder="1"/>
    <xf numFmtId="2" fontId="17" fillId="0" borderId="1" xfId="0" applyNumberFormat="1" applyFont="1" applyBorder="1"/>
    <xf numFmtId="2" fontId="16" fillId="0" borderId="1" xfId="0" applyNumberFormat="1" applyFont="1" applyBorder="1"/>
    <xf numFmtId="0" fontId="5" fillId="0" borderId="64" xfId="0" applyFont="1" applyBorder="1"/>
    <xf numFmtId="2" fontId="17" fillId="0" borderId="44" xfId="0" applyNumberFormat="1" applyFont="1" applyBorder="1"/>
    <xf numFmtId="2" fontId="16" fillId="0" borderId="44" xfId="0" applyNumberFormat="1" applyFont="1" applyBorder="1"/>
    <xf numFmtId="15" fontId="5" fillId="0" borderId="62" xfId="0" applyNumberFormat="1" applyFont="1" applyBorder="1"/>
    <xf numFmtId="0" fontId="5" fillId="0" borderId="62" xfId="0" applyFont="1" applyBorder="1" applyAlignment="1">
      <alignment horizontal="right"/>
    </xf>
    <xf numFmtId="2" fontId="5" fillId="0" borderId="1" xfId="0" applyNumberFormat="1" applyFont="1" applyBorder="1" applyAlignment="1">
      <alignment horizontal="right"/>
    </xf>
    <xf numFmtId="2" fontId="5" fillId="0" borderId="63" xfId="0" applyNumberFormat="1" applyFont="1" applyBorder="1" applyAlignment="1">
      <alignment horizontal="right"/>
    </xf>
    <xf numFmtId="168" fontId="5" fillId="0" borderId="62" xfId="0" applyNumberFormat="1" applyFont="1" applyBorder="1" applyAlignment="1">
      <alignment horizontal="center"/>
    </xf>
    <xf numFmtId="2" fontId="5" fillId="0" borderId="19" xfId="0" applyNumberFormat="1" applyFont="1" applyBorder="1" applyAlignment="1">
      <alignment horizontal="right"/>
    </xf>
    <xf numFmtId="0" fontId="5" fillId="0" borderId="19" xfId="0" applyFont="1" applyBorder="1" applyAlignment="1">
      <alignment horizontal="right"/>
    </xf>
    <xf numFmtId="0" fontId="5" fillId="0" borderId="19" xfId="0" applyFont="1" applyBorder="1"/>
    <xf numFmtId="2" fontId="5" fillId="0" borderId="19" xfId="0" applyNumberFormat="1" applyFont="1" applyBorder="1" applyAlignment="1">
      <alignment horizontal="right" indent="1"/>
    </xf>
    <xf numFmtId="0" fontId="5" fillId="0" borderId="1" xfId="0" applyFont="1" applyBorder="1" applyAlignment="1">
      <alignment horizontal="right"/>
    </xf>
    <xf numFmtId="2" fontId="5" fillId="0" borderId="1" xfId="0" applyNumberFormat="1" applyFont="1" applyBorder="1" applyAlignment="1">
      <alignment horizontal="right" indent="1"/>
    </xf>
    <xf numFmtId="0" fontId="5" fillId="0" borderId="2" xfId="0" applyFont="1" applyBorder="1" applyAlignment="1">
      <alignment horizontal="left"/>
    </xf>
    <xf numFmtId="0" fontId="4" fillId="0" borderId="2" xfId="0" applyFont="1" applyBorder="1" applyAlignment="1">
      <alignment horizontal="left"/>
    </xf>
    <xf numFmtId="0" fontId="4" fillId="0" borderId="2" xfId="0" applyFont="1" applyBorder="1" applyAlignment="1">
      <alignment horizontal="center"/>
    </xf>
    <xf numFmtId="0" fontId="33" fillId="0" borderId="1" xfId="0" applyFont="1" applyBorder="1"/>
    <xf numFmtId="0" fontId="5" fillId="8" borderId="1" xfId="0" applyFont="1" applyFill="1" applyBorder="1" applyAlignment="1">
      <alignment vertical="center"/>
    </xf>
    <xf numFmtId="170" fontId="4" fillId="0" borderId="3" xfId="0" applyNumberFormat="1" applyFont="1" applyBorder="1"/>
    <xf numFmtId="170" fontId="4" fillId="0" borderId="49" xfId="0" applyNumberFormat="1" applyFont="1" applyBorder="1"/>
    <xf numFmtId="0" fontId="4" fillId="8" borderId="1" xfId="0" applyFont="1" applyFill="1" applyBorder="1" applyAlignment="1">
      <alignment vertical="center"/>
    </xf>
    <xf numFmtId="0" fontId="4" fillId="9" borderId="1" xfId="0" applyFont="1" applyFill="1" applyBorder="1"/>
    <xf numFmtId="0" fontId="4" fillId="9" borderId="3" xfId="0" applyFont="1" applyFill="1" applyBorder="1"/>
    <xf numFmtId="0" fontId="4" fillId="9" borderId="49" xfId="0" applyFont="1" applyFill="1" applyBorder="1"/>
    <xf numFmtId="3" fontId="4" fillId="0" borderId="3" xfId="0" applyNumberFormat="1" applyFont="1" applyBorder="1"/>
    <xf numFmtId="0" fontId="4" fillId="9" borderId="1" xfId="0" applyFont="1" applyFill="1" applyBorder="1" applyAlignment="1">
      <alignment vertical="center"/>
    </xf>
    <xf numFmtId="0" fontId="34" fillId="0" borderId="1" xfId="0" applyFont="1" applyBorder="1"/>
    <xf numFmtId="40" fontId="4" fillId="0" borderId="0" xfId="0" applyNumberFormat="1" applyFont="1"/>
    <xf numFmtId="0" fontId="4" fillId="4" borderId="1" xfId="0" applyFont="1" applyFill="1" applyBorder="1" applyAlignment="1">
      <alignment vertical="center"/>
    </xf>
    <xf numFmtId="171" fontId="4" fillId="4" borderId="1" xfId="0" applyNumberFormat="1" applyFont="1" applyFill="1" applyBorder="1"/>
    <xf numFmtId="171" fontId="4" fillId="4" borderId="3" xfId="0" applyNumberFormat="1" applyFont="1" applyFill="1" applyBorder="1"/>
    <xf numFmtId="171" fontId="4" fillId="4" borderId="49" xfId="0" applyNumberFormat="1" applyFont="1" applyFill="1" applyBorder="1"/>
    <xf numFmtId="4" fontId="4" fillId="0" borderId="1" xfId="0" applyNumberFormat="1" applyFont="1" applyBorder="1"/>
    <xf numFmtId="170" fontId="4" fillId="4" borderId="1" xfId="0" applyNumberFormat="1" applyFont="1" applyFill="1" applyBorder="1"/>
    <xf numFmtId="169" fontId="4" fillId="0" borderId="1" xfId="0" applyNumberFormat="1" applyFont="1" applyBorder="1"/>
    <xf numFmtId="169" fontId="4" fillId="0" borderId="3" xfId="0" applyNumberFormat="1" applyFont="1" applyBorder="1"/>
    <xf numFmtId="0" fontId="35" fillId="0" borderId="0" xfId="0" applyFont="1" applyAlignment="1">
      <alignment horizontal="center"/>
    </xf>
    <xf numFmtId="165" fontId="5" fillId="0" borderId="8" xfId="1" applyNumberFormat="1" applyFont="1" applyBorder="1"/>
    <xf numFmtId="165" fontId="4" fillId="0" borderId="51" xfId="1" applyNumberFormat="1" applyFont="1" applyBorder="1"/>
    <xf numFmtId="165" fontId="4" fillId="0" borderId="8" xfId="1" applyNumberFormat="1" applyFont="1" applyBorder="1"/>
    <xf numFmtId="165" fontId="4" fillId="0" borderId="7" xfId="1" applyNumberFormat="1" applyFont="1" applyBorder="1"/>
    <xf numFmtId="9" fontId="4" fillId="0" borderId="8" xfId="2" applyFont="1" applyBorder="1"/>
    <xf numFmtId="165" fontId="5" fillId="0" borderId="51" xfId="1" applyNumberFormat="1" applyFont="1" applyBorder="1"/>
    <xf numFmtId="170" fontId="5" fillId="0" borderId="8" xfId="1" applyNumberFormat="1" applyFont="1" applyBorder="1"/>
    <xf numFmtId="170" fontId="5" fillId="0" borderId="7" xfId="1" applyNumberFormat="1" applyFont="1" applyBorder="1"/>
    <xf numFmtId="9" fontId="5" fillId="0" borderId="8" xfId="2" applyFont="1" applyBorder="1"/>
    <xf numFmtId="9" fontId="4" fillId="4" borderId="8" xfId="2" applyFont="1" applyFill="1" applyBorder="1" applyAlignment="1">
      <alignment wrapText="1"/>
    </xf>
    <xf numFmtId="3" fontId="4" fillId="0" borderId="8" xfId="0" applyNumberFormat="1" applyFont="1" applyBorder="1" applyAlignment="1">
      <alignment wrapText="1"/>
    </xf>
    <xf numFmtId="3" fontId="4" fillId="0" borderId="7" xfId="0" applyNumberFormat="1" applyFont="1" applyBorder="1" applyAlignment="1">
      <alignment wrapText="1"/>
    </xf>
    <xf numFmtId="9" fontId="4" fillId="0" borderId="8" xfId="2" applyFont="1" applyBorder="1" applyAlignment="1">
      <alignment wrapText="1"/>
    </xf>
    <xf numFmtId="3" fontId="4" fillId="0" borderId="7" xfId="0" applyNumberFormat="1" applyFont="1" applyBorder="1"/>
    <xf numFmtId="165" fontId="5" fillId="0" borderId="23" xfId="1" applyNumberFormat="1" applyFont="1" applyBorder="1"/>
    <xf numFmtId="165" fontId="4" fillId="0" borderId="48" xfId="1" applyNumberFormat="1" applyFont="1" applyBorder="1"/>
    <xf numFmtId="9" fontId="5" fillId="0" borderId="48" xfId="2" applyFont="1" applyBorder="1"/>
    <xf numFmtId="0" fontId="5" fillId="0" borderId="7" xfId="0" applyFont="1" applyBorder="1" applyAlignment="1">
      <alignment horizontal="center"/>
    </xf>
    <xf numFmtId="0" fontId="5" fillId="0" borderId="8" xfId="0" applyFont="1" applyBorder="1" applyAlignment="1">
      <alignment horizontal="center"/>
    </xf>
    <xf numFmtId="173" fontId="5" fillId="16" borderId="17" xfId="0" applyNumberFormat="1" applyFont="1" applyFill="1" applyBorder="1"/>
    <xf numFmtId="173" fontId="5" fillId="16" borderId="33" xfId="0" applyNumberFormat="1" applyFont="1" applyFill="1" applyBorder="1"/>
    <xf numFmtId="0" fontId="5" fillId="0" borderId="9" xfId="0" applyFont="1" applyBorder="1" applyAlignment="1">
      <alignment horizontal="center"/>
    </xf>
    <xf numFmtId="0" fontId="4" fillId="0" borderId="10" xfId="0" applyFont="1" applyBorder="1" applyAlignment="1">
      <alignment horizontal="center"/>
    </xf>
    <xf numFmtId="0" fontId="4" fillId="0" borderId="36" xfId="0" applyFont="1" applyBorder="1"/>
    <xf numFmtId="0" fontId="4" fillId="0" borderId="30" xfId="0" applyFont="1" applyBorder="1"/>
    <xf numFmtId="0" fontId="4" fillId="0" borderId="15" xfId="0" applyFont="1" applyBorder="1"/>
    <xf numFmtId="0" fontId="5" fillId="15" borderId="9" xfId="0" applyFont="1" applyFill="1" applyBorder="1" applyAlignment="1">
      <alignment horizontal="center"/>
    </xf>
    <xf numFmtId="0" fontId="4" fillId="0" borderId="11" xfId="0" applyFont="1" applyBorder="1" applyAlignment="1">
      <alignment horizontal="center"/>
    </xf>
    <xf numFmtId="3" fontId="4" fillId="0" borderId="37" xfId="0" applyNumberFormat="1" applyFont="1" applyBorder="1"/>
    <xf numFmtId="3" fontId="4" fillId="0" borderId="31" xfId="0" applyNumberFormat="1" applyFont="1" applyBorder="1"/>
    <xf numFmtId="0" fontId="4" fillId="0" borderId="38" xfId="0" applyFont="1" applyBorder="1"/>
    <xf numFmtId="0" fontId="4" fillId="0" borderId="32" xfId="0" applyFont="1" applyBorder="1"/>
    <xf numFmtId="0" fontId="4" fillId="0" borderId="28" xfId="0" applyFont="1" applyBorder="1"/>
    <xf numFmtId="2" fontId="4" fillId="0" borderId="17" xfId="0" applyNumberFormat="1" applyFont="1" applyBorder="1"/>
    <xf numFmtId="2" fontId="4" fillId="0" borderId="33" xfId="0" applyNumberFormat="1" applyFont="1" applyBorder="1"/>
    <xf numFmtId="2" fontId="4" fillId="0" borderId="18" xfId="0" applyNumberFormat="1" applyFont="1" applyBorder="1"/>
    <xf numFmtId="2" fontId="4" fillId="0" borderId="38" xfId="0" applyNumberFormat="1" applyFont="1" applyBorder="1"/>
    <xf numFmtId="2" fontId="4" fillId="0" borderId="32" xfId="0" applyNumberFormat="1" applyFont="1" applyBorder="1"/>
    <xf numFmtId="2" fontId="4" fillId="0" borderId="28" xfId="0" applyNumberFormat="1" applyFont="1" applyBorder="1"/>
    <xf numFmtId="0" fontId="4" fillId="0" borderId="33" xfId="0" applyFont="1" applyBorder="1"/>
    <xf numFmtId="170" fontId="4" fillId="0" borderId="37" xfId="0" applyNumberFormat="1" applyFont="1" applyBorder="1"/>
    <xf numFmtId="0" fontId="4" fillId="10" borderId="10" xfId="0" applyFont="1" applyFill="1" applyBorder="1" applyAlignment="1">
      <alignment horizontal="center"/>
    </xf>
    <xf numFmtId="170" fontId="4" fillId="0" borderId="38" xfId="0" applyNumberFormat="1" applyFont="1" applyBorder="1"/>
    <xf numFmtId="0" fontId="5" fillId="0" borderId="12" xfId="0" applyFont="1" applyBorder="1" applyAlignment="1">
      <alignment horizontal="center"/>
    </xf>
    <xf numFmtId="0" fontId="5" fillId="15" borderId="13" xfId="0" applyFont="1" applyFill="1" applyBorder="1" applyAlignment="1">
      <alignment horizontal="center"/>
    </xf>
    <xf numFmtId="0" fontId="4" fillId="0" borderId="14" xfId="0" applyFont="1" applyBorder="1" applyAlignment="1">
      <alignment horizontal="center"/>
    </xf>
    <xf numFmtId="0" fontId="4" fillId="0" borderId="11" xfId="0" applyFont="1" applyBorder="1" applyAlignment="1">
      <alignment horizontal="center" wrapText="1"/>
    </xf>
    <xf numFmtId="170" fontId="4" fillId="0" borderId="10" xfId="0" applyNumberFormat="1" applyFont="1" applyBorder="1" applyAlignment="1">
      <alignment horizontal="center" wrapText="1"/>
    </xf>
    <xf numFmtId="170" fontId="4" fillId="0" borderId="31" xfId="0" applyNumberFormat="1" applyFont="1" applyBorder="1"/>
    <xf numFmtId="170" fontId="4" fillId="0" borderId="27" xfId="0" applyNumberFormat="1" applyFont="1" applyBorder="1"/>
    <xf numFmtId="0" fontId="5" fillId="0" borderId="11" xfId="0" applyFont="1" applyBorder="1" applyAlignment="1">
      <alignment horizontal="center"/>
    </xf>
    <xf numFmtId="0" fontId="5" fillId="0" borderId="10" xfId="0" applyFont="1" applyBorder="1" applyAlignment="1">
      <alignment horizontal="center"/>
    </xf>
    <xf numFmtId="0" fontId="5" fillId="15" borderId="14" xfId="0" applyFont="1" applyFill="1" applyBorder="1" applyAlignment="1">
      <alignment horizontal="center"/>
    </xf>
    <xf numFmtId="0" fontId="4" fillId="0" borderId="15" xfId="0" applyFont="1" applyBorder="1" applyAlignment="1">
      <alignment horizontal="center"/>
    </xf>
    <xf numFmtId="0" fontId="4" fillId="10" borderId="11" xfId="0" applyFont="1" applyFill="1" applyBorder="1" applyAlignment="1">
      <alignment horizontal="center"/>
    </xf>
    <xf numFmtId="3" fontId="4" fillId="0" borderId="38" xfId="0" applyNumberFormat="1" applyFont="1" applyBorder="1"/>
    <xf numFmtId="3" fontId="4" fillId="0" borderId="32" xfId="0" applyNumberFormat="1" applyFont="1" applyBorder="1"/>
    <xf numFmtId="3" fontId="4" fillId="0" borderId="28" xfId="0" applyNumberFormat="1" applyFont="1" applyBorder="1"/>
    <xf numFmtId="9" fontId="4" fillId="0" borderId="17" xfId="2" applyFont="1" applyBorder="1"/>
    <xf numFmtId="9" fontId="4" fillId="0" borderId="33" xfId="2" applyFont="1" applyBorder="1"/>
    <xf numFmtId="9" fontId="4" fillId="0" borderId="18" xfId="2" applyFont="1" applyBorder="1"/>
    <xf numFmtId="9" fontId="4" fillId="0" borderId="37" xfId="2" applyFont="1" applyBorder="1"/>
    <xf numFmtId="9" fontId="4" fillId="0" borderId="31" xfId="2" applyFont="1" applyBorder="1"/>
    <xf numFmtId="9" fontId="4" fillId="0" borderId="27" xfId="2" applyFont="1" applyBorder="1"/>
    <xf numFmtId="170" fontId="4" fillId="0" borderId="11" xfId="0" applyNumberFormat="1" applyFont="1" applyBorder="1" applyAlignment="1">
      <alignment horizontal="center"/>
    </xf>
    <xf numFmtId="170" fontId="4" fillId="0" borderId="16" xfId="0" applyNumberFormat="1" applyFont="1" applyBorder="1" applyAlignment="1">
      <alignment horizontal="center"/>
    </xf>
    <xf numFmtId="10" fontId="4" fillId="0" borderId="7" xfId="2" applyNumberFormat="1" applyFont="1" applyBorder="1"/>
    <xf numFmtId="0" fontId="4" fillId="0" borderId="39" xfId="0" applyFont="1" applyBorder="1"/>
    <xf numFmtId="0" fontId="4" fillId="0" borderId="35" xfId="0" applyFont="1" applyBorder="1"/>
    <xf numFmtId="0" fontId="4" fillId="0" borderId="18" xfId="0" applyFont="1" applyBorder="1" applyAlignment="1">
      <alignment horizontal="center"/>
    </xf>
    <xf numFmtId="1" fontId="4" fillId="0" borderId="36" xfId="0" applyNumberFormat="1" applyFont="1" applyBorder="1"/>
    <xf numFmtId="1" fontId="4" fillId="0" borderId="14" xfId="0" applyNumberFormat="1" applyFont="1" applyBorder="1"/>
    <xf numFmtId="0" fontId="4" fillId="0" borderId="27" xfId="0" applyFont="1" applyBorder="1" applyAlignment="1">
      <alignment horizontal="center"/>
    </xf>
    <xf numFmtId="1" fontId="4" fillId="0" borderId="38" xfId="0" applyNumberFormat="1" applyFont="1" applyBorder="1"/>
    <xf numFmtId="1" fontId="4" fillId="0" borderId="57" xfId="0" applyNumberFormat="1" applyFont="1" applyBorder="1"/>
    <xf numFmtId="166" fontId="5" fillId="0" borderId="24" xfId="0" applyNumberFormat="1" applyFont="1" applyBorder="1"/>
    <xf numFmtId="166" fontId="5" fillId="0" borderId="50" xfId="0" applyNumberFormat="1" applyFont="1" applyBorder="1"/>
    <xf numFmtId="0" fontId="4" fillId="0" borderId="20" xfId="0" applyFont="1" applyBorder="1" applyAlignment="1">
      <alignment horizontal="center" wrapText="1"/>
    </xf>
    <xf numFmtId="1" fontId="4" fillId="0" borderId="40" xfId="0" applyNumberFormat="1" applyFont="1" applyBorder="1"/>
    <xf numFmtId="1" fontId="4" fillId="0" borderId="49" xfId="0" applyNumberFormat="1" applyFont="1" applyBorder="1"/>
    <xf numFmtId="0" fontId="4" fillId="0" borderId="15" xfId="0" applyFont="1" applyBorder="1" applyAlignment="1">
      <alignment horizontal="center" wrapText="1"/>
    </xf>
    <xf numFmtId="1" fontId="4" fillId="0" borderId="24" xfId="0" applyNumberFormat="1" applyFont="1" applyBorder="1"/>
    <xf numFmtId="1" fontId="4" fillId="0" borderId="50" xfId="0" applyNumberFormat="1" applyFont="1" applyBorder="1"/>
    <xf numFmtId="0" fontId="0" fillId="0" borderId="20" xfId="0" applyBorder="1" applyAlignment="1">
      <alignment wrapText="1"/>
    </xf>
    <xf numFmtId="0" fontId="0" fillId="0" borderId="0" xfId="0" applyAlignment="1">
      <alignment wrapText="1"/>
    </xf>
    <xf numFmtId="166" fontId="1" fillId="0" borderId="39" xfId="0" applyNumberFormat="1" applyFont="1" applyBorder="1" applyAlignment="1">
      <alignment wrapText="1"/>
    </xf>
    <xf numFmtId="166" fontId="1" fillId="0" borderId="11" xfId="0" applyNumberFormat="1" applyFont="1" applyBorder="1" applyAlignment="1">
      <alignment wrapText="1"/>
    </xf>
    <xf numFmtId="9" fontId="4" fillId="0" borderId="1" xfId="2" applyFont="1" applyBorder="1"/>
    <xf numFmtId="3" fontId="4" fillId="0" borderId="1" xfId="1" applyNumberFormat="1" applyFont="1" applyBorder="1"/>
    <xf numFmtId="43" fontId="4" fillId="0" borderId="1" xfId="1" applyFont="1" applyBorder="1"/>
    <xf numFmtId="0" fontId="5" fillId="20" borderId="1" xfId="0" applyFont="1" applyFill="1" applyBorder="1" applyAlignment="1">
      <alignment horizontal="center"/>
    </xf>
    <xf numFmtId="0" fontId="4" fillId="20" borderId="1" xfId="0" applyFont="1" applyFill="1" applyBorder="1"/>
    <xf numFmtId="167" fontId="4" fillId="0" borderId="1" xfId="0" applyNumberFormat="1" applyFont="1" applyBorder="1" applyAlignment="1">
      <alignment horizontal="center"/>
    </xf>
    <xf numFmtId="8" fontId="4" fillId="0" borderId="1" xfId="0" applyNumberFormat="1" applyFont="1" applyBorder="1" applyAlignment="1">
      <alignment horizontal="center"/>
    </xf>
    <xf numFmtId="0" fontId="4" fillId="20" borderId="19" xfId="0" applyFont="1" applyFill="1" applyBorder="1"/>
    <xf numFmtId="10" fontId="5" fillId="0" borderId="1" xfId="2" applyNumberFormat="1" applyFont="1" applyBorder="1"/>
    <xf numFmtId="10" fontId="5" fillId="0" borderId="1" xfId="2" applyNumberFormat="1" applyFont="1" applyBorder="1" applyAlignment="1">
      <alignment horizontal="center"/>
    </xf>
    <xf numFmtId="3" fontId="4" fillId="20" borderId="1" xfId="0" applyNumberFormat="1" applyFont="1" applyFill="1" applyBorder="1"/>
    <xf numFmtId="2" fontId="4" fillId="0" borderId="1" xfId="0" applyNumberFormat="1" applyFont="1" applyBorder="1" applyAlignment="1">
      <alignment horizontal="center"/>
    </xf>
    <xf numFmtId="0" fontId="4" fillId="0" borderId="31" xfId="0" applyFont="1" applyBorder="1" applyAlignment="1">
      <alignment horizontal="center"/>
    </xf>
    <xf numFmtId="0" fontId="5" fillId="20" borderId="6" xfId="0" applyFont="1" applyFill="1" applyBorder="1" applyAlignment="1">
      <alignment horizontal="center"/>
    </xf>
    <xf numFmtId="0" fontId="4" fillId="0" borderId="43" xfId="0" applyFont="1" applyBorder="1"/>
    <xf numFmtId="9" fontId="4" fillId="0" borderId="23" xfId="2" applyFont="1" applyBorder="1"/>
    <xf numFmtId="9" fontId="4" fillId="0" borderId="41" xfId="2" applyFont="1" applyBorder="1"/>
    <xf numFmtId="9" fontId="4" fillId="0" borderId="41" xfId="2" quotePrefix="1" applyFont="1" applyBorder="1"/>
    <xf numFmtId="170" fontId="4" fillId="0" borderId="41" xfId="2" applyNumberFormat="1" applyFont="1" applyBorder="1"/>
    <xf numFmtId="10" fontId="4" fillId="0" borderId="8" xfId="2" applyNumberFormat="1" applyFont="1" applyFill="1" applyBorder="1"/>
    <xf numFmtId="0" fontId="4" fillId="0" borderId="0" xfId="2" applyNumberFormat="1" applyFont="1"/>
    <xf numFmtId="0" fontId="4" fillId="0" borderId="0" xfId="2" applyNumberFormat="1" applyFont="1" applyFill="1"/>
    <xf numFmtId="0" fontId="5" fillId="16" borderId="48" xfId="2" applyNumberFormat="1" applyFont="1" applyFill="1" applyBorder="1" applyAlignment="1">
      <alignment horizontal="center" vertical="center" wrapText="1"/>
    </xf>
    <xf numFmtId="2" fontId="4" fillId="0" borderId="8" xfId="2" applyNumberFormat="1" applyFont="1" applyFill="1" applyBorder="1"/>
    <xf numFmtId="2" fontId="4" fillId="0" borderId="11" xfId="0" applyNumberFormat="1" applyFont="1" applyBorder="1"/>
    <xf numFmtId="2" fontId="4" fillId="0" borderId="8" xfId="2" applyNumberFormat="1" applyFont="1" applyBorder="1"/>
    <xf numFmtId="0" fontId="5" fillId="24" borderId="62" xfId="0" applyFont="1" applyFill="1" applyBorder="1" applyAlignment="1">
      <alignment horizontal="center" vertical="center" wrapText="1"/>
    </xf>
    <xf numFmtId="0" fontId="5" fillId="24" borderId="71" xfId="0" applyFont="1" applyFill="1" applyBorder="1" applyAlignment="1">
      <alignment horizontal="center" vertical="center" wrapText="1"/>
    </xf>
    <xf numFmtId="9" fontId="4" fillId="10" borderId="0" xfId="2" applyFont="1" applyFill="1"/>
    <xf numFmtId="0" fontId="4" fillId="10" borderId="0" xfId="0" applyFont="1" applyFill="1"/>
    <xf numFmtId="0" fontId="21" fillId="10" borderId="0" xfId="0" applyFont="1" applyFill="1"/>
    <xf numFmtId="10" fontId="4" fillId="0" borderId="0" xfId="0" applyNumberFormat="1" applyFont="1"/>
    <xf numFmtId="0" fontId="4" fillId="4" borderId="1" xfId="0" applyFont="1" applyFill="1" applyBorder="1"/>
    <xf numFmtId="0" fontId="21" fillId="4" borderId="1" xfId="0" applyFont="1" applyFill="1" applyBorder="1"/>
    <xf numFmtId="0" fontId="25" fillId="4" borderId="1" xfId="0" applyFont="1" applyFill="1" applyBorder="1"/>
    <xf numFmtId="10" fontId="25" fillId="4" borderId="1" xfId="2" applyNumberFormat="1" applyFont="1" applyFill="1" applyBorder="1"/>
    <xf numFmtId="9" fontId="25" fillId="4" borderId="1" xfId="2" applyFont="1" applyFill="1" applyBorder="1"/>
    <xf numFmtId="0" fontId="5" fillId="0" borderId="70" xfId="0" applyFont="1" applyBorder="1"/>
    <xf numFmtId="15" fontId="5" fillId="10" borderId="56" xfId="0" applyNumberFormat="1" applyFont="1" applyFill="1" applyBorder="1" applyAlignment="1">
      <alignment horizontal="center"/>
    </xf>
    <xf numFmtId="10" fontId="23" fillId="0" borderId="0" xfId="2" applyNumberFormat="1" applyFont="1" applyBorder="1" applyAlignment="1">
      <alignment horizontal="center" vertical="center"/>
    </xf>
    <xf numFmtId="10" fontId="21" fillId="0" borderId="0" xfId="2" applyNumberFormat="1" applyFont="1" applyBorder="1" applyAlignment="1">
      <alignment horizontal="center" vertical="center"/>
    </xf>
    <xf numFmtId="10" fontId="25" fillId="0" borderId="0" xfId="2" applyNumberFormat="1" applyFont="1" applyBorder="1" applyAlignment="1">
      <alignment horizontal="center" vertical="center"/>
    </xf>
    <xf numFmtId="9" fontId="25" fillId="0" borderId="0" xfId="2" applyFont="1" applyBorder="1" applyAlignment="1">
      <alignment horizontal="center" vertical="center"/>
    </xf>
    <xf numFmtId="0" fontId="4" fillId="24" borderId="1" xfId="0" applyFont="1" applyFill="1" applyBorder="1"/>
    <xf numFmtId="15" fontId="5" fillId="0" borderId="1" xfId="0" applyNumberFormat="1" applyFont="1" applyBorder="1" applyAlignment="1">
      <alignment horizontal="center"/>
    </xf>
    <xf numFmtId="15" fontId="5" fillId="24" borderId="1" xfId="0" applyNumberFormat="1" applyFont="1" applyFill="1" applyBorder="1" applyAlignment="1">
      <alignment horizontal="center"/>
    </xf>
    <xf numFmtId="2" fontId="4" fillId="4" borderId="1" xfId="0" applyNumberFormat="1" applyFont="1" applyFill="1" applyBorder="1"/>
    <xf numFmtId="10" fontId="23" fillId="0" borderId="1" xfId="2" applyNumberFormat="1" applyFont="1" applyBorder="1" applyAlignment="1">
      <alignment horizontal="center" vertical="center"/>
    </xf>
    <xf numFmtId="10" fontId="23" fillId="4" borderId="1" xfId="2" applyNumberFormat="1" applyFont="1" applyFill="1" applyBorder="1" applyAlignment="1">
      <alignment horizontal="center" vertical="center"/>
    </xf>
    <xf numFmtId="10" fontId="23" fillId="0" borderId="1" xfId="2" applyNumberFormat="1" applyFont="1" applyBorder="1"/>
    <xf numFmtId="10" fontId="23" fillId="4" borderId="1" xfId="2" applyNumberFormat="1" applyFont="1" applyFill="1" applyBorder="1"/>
    <xf numFmtId="9" fontId="23" fillId="0" borderId="1" xfId="2" applyFont="1" applyBorder="1" applyAlignment="1">
      <alignment horizontal="center" vertical="center"/>
    </xf>
    <xf numFmtId="9" fontId="23" fillId="4" borderId="1" xfId="2" applyFont="1" applyFill="1" applyBorder="1" applyAlignment="1">
      <alignment horizontal="center" vertical="center"/>
    </xf>
    <xf numFmtId="0" fontId="24" fillId="0" borderId="1" xfId="0" applyFont="1" applyBorder="1"/>
    <xf numFmtId="0" fontId="24" fillId="4" borderId="1" xfId="0" applyFont="1" applyFill="1" applyBorder="1"/>
    <xf numFmtId="10" fontId="24" fillId="0" borderId="1" xfId="2" applyNumberFormat="1" applyFont="1" applyBorder="1"/>
    <xf numFmtId="10" fontId="24" fillId="4" borderId="1" xfId="2" applyNumberFormat="1" applyFont="1" applyFill="1" applyBorder="1"/>
    <xf numFmtId="10" fontId="21" fillId="4" borderId="1" xfId="2" applyNumberFormat="1" applyFont="1" applyFill="1" applyBorder="1" applyAlignment="1">
      <alignment horizontal="center" vertical="center"/>
    </xf>
    <xf numFmtId="175" fontId="4" fillId="4" borderId="1" xfId="0" applyNumberFormat="1" applyFont="1" applyFill="1" applyBorder="1"/>
    <xf numFmtId="10" fontId="25" fillId="4" borderId="1" xfId="2" applyNumberFormat="1" applyFont="1" applyFill="1" applyBorder="1" applyAlignment="1">
      <alignment horizontal="center" vertical="center"/>
    </xf>
    <xf numFmtId="0" fontId="36" fillId="27" borderId="43" xfId="0" applyFont="1" applyFill="1" applyBorder="1" applyAlignment="1">
      <alignment horizontal="center" vertical="center"/>
    </xf>
    <xf numFmtId="0" fontId="36" fillId="27" borderId="27" xfId="0" applyFont="1" applyFill="1" applyBorder="1" applyAlignment="1">
      <alignment horizontal="center" vertical="center"/>
    </xf>
    <xf numFmtId="0" fontId="36" fillId="27" borderId="0" xfId="0" applyFont="1" applyFill="1" applyAlignment="1">
      <alignment horizontal="center" vertical="center"/>
    </xf>
    <xf numFmtId="9" fontId="4" fillId="4" borderId="1" xfId="2" quotePrefix="1" applyFont="1" applyFill="1" applyBorder="1"/>
    <xf numFmtId="0" fontId="36" fillId="27" borderId="3" xfId="0" applyFont="1" applyFill="1" applyBorder="1" applyAlignment="1">
      <alignment horizontal="center" vertical="center"/>
    </xf>
    <xf numFmtId="0" fontId="5" fillId="0" borderId="49" xfId="0" applyFont="1" applyBorder="1"/>
    <xf numFmtId="0" fontId="4" fillId="0" borderId="57" xfId="0" applyFont="1" applyBorder="1"/>
    <xf numFmtId="0" fontId="21" fillId="0" borderId="10" xfId="0" applyFont="1" applyBorder="1"/>
    <xf numFmtId="0" fontId="25" fillId="0" borderId="10" xfId="0" applyFont="1" applyBorder="1"/>
    <xf numFmtId="0" fontId="4" fillId="0" borderId="16" xfId="0" applyFont="1" applyBorder="1"/>
    <xf numFmtId="0" fontId="25" fillId="0" borderId="16" xfId="0" applyFont="1" applyBorder="1"/>
    <xf numFmtId="0" fontId="25" fillId="0" borderId="49" xfId="0" applyFont="1" applyBorder="1"/>
    <xf numFmtId="9" fontId="4" fillId="0" borderId="9" xfId="2" applyFont="1" applyBorder="1"/>
    <xf numFmtId="9" fontId="4" fillId="0" borderId="0" xfId="2" applyFont="1" applyBorder="1"/>
    <xf numFmtId="9" fontId="4" fillId="10" borderId="27" xfId="2" applyFont="1" applyFill="1" applyBorder="1"/>
    <xf numFmtId="0" fontId="4" fillId="10" borderId="27" xfId="0" applyFont="1" applyFill="1" applyBorder="1"/>
    <xf numFmtId="0" fontId="21" fillId="0" borderId="9" xfId="0" applyFont="1" applyBorder="1"/>
    <xf numFmtId="0" fontId="21" fillId="10" borderId="27" xfId="0" applyFont="1" applyFill="1" applyBorder="1"/>
    <xf numFmtId="15" fontId="5" fillId="0" borderId="17" xfId="0" applyNumberFormat="1" applyFont="1" applyBorder="1" applyAlignment="1">
      <alignment horizontal="center"/>
    </xf>
    <xf numFmtId="15" fontId="5" fillId="0" borderId="18" xfId="0" applyNumberFormat="1" applyFont="1" applyBorder="1" applyAlignment="1">
      <alignment horizontal="center"/>
    </xf>
    <xf numFmtId="0" fontId="21" fillId="0" borderId="27" xfId="0" applyFont="1" applyBorder="1"/>
    <xf numFmtId="0" fontId="5" fillId="24" borderId="41" xfId="0" applyFont="1" applyFill="1" applyBorder="1"/>
    <xf numFmtId="15" fontId="5" fillId="0" borderId="40" xfId="0" applyNumberFormat="1" applyFont="1" applyBorder="1" applyAlignment="1">
      <alignment horizontal="center"/>
    </xf>
    <xf numFmtId="15" fontId="5" fillId="24" borderId="41" xfId="0" applyNumberFormat="1" applyFont="1" applyFill="1" applyBorder="1" applyAlignment="1">
      <alignment horizontal="center"/>
    </xf>
    <xf numFmtId="0" fontId="4" fillId="0" borderId="13" xfId="0" applyFont="1" applyBorder="1"/>
    <xf numFmtId="9" fontId="4" fillId="26" borderId="27" xfId="2" applyFont="1" applyFill="1" applyBorder="1"/>
    <xf numFmtId="0" fontId="4" fillId="26" borderId="27" xfId="0" applyFont="1" applyFill="1" applyBorder="1"/>
    <xf numFmtId="9" fontId="4" fillId="26" borderId="27" xfId="0" applyNumberFormat="1" applyFont="1" applyFill="1" applyBorder="1"/>
    <xf numFmtId="0" fontId="21" fillId="26" borderId="27" xfId="0" applyFont="1" applyFill="1" applyBorder="1"/>
    <xf numFmtId="0" fontId="4" fillId="26" borderId="10" xfId="0" applyFont="1" applyFill="1" applyBorder="1"/>
    <xf numFmtId="9" fontId="4" fillId="26" borderId="10" xfId="0" applyNumberFormat="1" applyFont="1" applyFill="1" applyBorder="1"/>
    <xf numFmtId="0" fontId="21" fillId="26" borderId="10" xfId="0" applyFont="1" applyFill="1" applyBorder="1"/>
    <xf numFmtId="0" fontId="5" fillId="24" borderId="3" xfId="0" applyFont="1" applyFill="1" applyBorder="1"/>
    <xf numFmtId="15" fontId="5" fillId="24" borderId="3" xfId="0" applyNumberFormat="1" applyFont="1" applyFill="1" applyBorder="1" applyAlignment="1">
      <alignment horizontal="center"/>
    </xf>
    <xf numFmtId="9" fontId="4" fillId="26" borderId="10" xfId="2" applyFont="1" applyFill="1" applyBorder="1"/>
    <xf numFmtId="175" fontId="5" fillId="0" borderId="40" xfId="0" applyNumberFormat="1" applyFont="1" applyBorder="1"/>
    <xf numFmtId="175" fontId="4" fillId="0" borderId="1" xfId="0" applyNumberFormat="1"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25" fillId="0" borderId="9" xfId="0" applyFont="1" applyBorder="1" applyAlignment="1">
      <alignment horizontal="center" vertical="center"/>
    </xf>
    <xf numFmtId="0" fontId="25" fillId="0" borderId="27" xfId="0" applyFont="1" applyBorder="1" applyAlignment="1">
      <alignment horizontal="center" vertical="center"/>
    </xf>
    <xf numFmtId="0" fontId="4" fillId="0" borderId="9" xfId="0" applyFont="1" applyBorder="1" applyAlignment="1">
      <alignment horizontal="center" vertical="center"/>
    </xf>
    <xf numFmtId="10" fontId="23" fillId="0" borderId="38" xfId="2" applyNumberFormat="1" applyFont="1" applyBorder="1"/>
    <xf numFmtId="10" fontId="23" fillId="0" borderId="28" xfId="2" applyNumberFormat="1" applyFont="1" applyBorder="1"/>
    <xf numFmtId="10" fontId="24" fillId="0" borderId="37" xfId="2" applyNumberFormat="1" applyFont="1" applyBorder="1"/>
    <xf numFmtId="10" fontId="24" fillId="0" borderId="27" xfId="2" applyNumberFormat="1" applyFont="1" applyBorder="1"/>
    <xf numFmtId="0" fontId="5" fillId="0" borderId="8" xfId="0" applyFont="1" applyBorder="1" applyAlignment="1">
      <alignment horizontal="center" vertical="center"/>
    </xf>
    <xf numFmtId="9" fontId="21" fillId="0" borderId="9" xfId="2" applyFont="1" applyBorder="1" applyAlignment="1">
      <alignment horizontal="center" vertical="center"/>
    </xf>
    <xf numFmtId="9" fontId="21" fillId="0" borderId="0" xfId="0" applyNumberFormat="1" applyFont="1" applyAlignment="1">
      <alignment horizontal="center" vertical="center"/>
    </xf>
    <xf numFmtId="10" fontId="21" fillId="0" borderId="9" xfId="2" applyNumberFormat="1" applyFont="1" applyBorder="1" applyAlignment="1">
      <alignment horizontal="center" vertical="center"/>
    </xf>
    <xf numFmtId="10" fontId="21" fillId="0" borderId="27" xfId="2" applyNumberFormat="1" applyFont="1" applyBorder="1" applyAlignment="1">
      <alignment horizontal="center" vertical="center"/>
    </xf>
    <xf numFmtId="9" fontId="21" fillId="0" borderId="0" xfId="2" applyFont="1" applyBorder="1" applyAlignment="1">
      <alignment horizontal="center" vertical="center"/>
    </xf>
    <xf numFmtId="10" fontId="25" fillId="0" borderId="9" xfId="2" applyNumberFormat="1" applyFont="1" applyBorder="1" applyAlignment="1">
      <alignment horizontal="center" vertical="center"/>
    </xf>
    <xf numFmtId="10" fontId="25" fillId="0" borderId="27" xfId="2" applyNumberFormat="1" applyFont="1" applyBorder="1" applyAlignment="1">
      <alignment horizontal="center" vertical="center"/>
    </xf>
    <xf numFmtId="9" fontId="25" fillId="0" borderId="9" xfId="2" applyFont="1" applyBorder="1" applyAlignment="1">
      <alignment horizontal="center" vertical="center"/>
    </xf>
    <xf numFmtId="10" fontId="25" fillId="0" borderId="27" xfId="2" applyNumberFormat="1" applyFont="1" applyBorder="1"/>
    <xf numFmtId="0" fontId="25" fillId="0" borderId="27" xfId="0" applyFont="1" applyBorder="1"/>
    <xf numFmtId="0" fontId="5" fillId="0" borderId="18" xfId="0" applyFont="1" applyBorder="1" applyAlignment="1">
      <alignment horizontal="center" vertical="center"/>
    </xf>
    <xf numFmtId="9" fontId="25" fillId="0" borderId="27" xfId="2" applyFont="1" applyBorder="1" applyAlignment="1">
      <alignment horizontal="center" vertical="center"/>
    </xf>
    <xf numFmtId="0" fontId="4" fillId="0" borderId="27" xfId="0" applyFont="1" applyBorder="1" applyAlignment="1">
      <alignment horizontal="center" vertical="center"/>
    </xf>
    <xf numFmtId="10" fontId="23" fillId="0" borderId="9" xfId="2" applyNumberFormat="1" applyFont="1" applyBorder="1" applyAlignment="1">
      <alignment horizontal="center" vertical="center"/>
    </xf>
    <xf numFmtId="10" fontId="23" fillId="0" borderId="27" xfId="2" applyNumberFormat="1" applyFont="1" applyBorder="1" applyAlignment="1">
      <alignment horizontal="center" vertical="center"/>
    </xf>
    <xf numFmtId="9" fontId="23" fillId="0" borderId="9" xfId="2" applyFont="1" applyBorder="1" applyAlignment="1">
      <alignment horizontal="center" vertical="center"/>
    </xf>
    <xf numFmtId="9" fontId="23" fillId="0" borderId="0" xfId="2" applyFont="1" applyBorder="1" applyAlignment="1">
      <alignment horizontal="center" vertical="center"/>
    </xf>
    <xf numFmtId="9" fontId="23" fillId="0" borderId="27" xfId="2" applyFont="1" applyBorder="1" applyAlignment="1">
      <alignment horizontal="center" vertical="center"/>
    </xf>
    <xf numFmtId="0" fontId="24" fillId="0" borderId="27" xfId="0" applyFont="1" applyBorder="1"/>
    <xf numFmtId="0" fontId="21" fillId="0" borderId="9" xfId="0" applyFont="1" applyBorder="1" applyAlignment="1">
      <alignment horizontal="center" vertical="center"/>
    </xf>
    <xf numFmtId="0" fontId="21" fillId="0" borderId="27" xfId="0" applyFont="1" applyBorder="1" applyAlignment="1">
      <alignment horizontal="center" vertical="center"/>
    </xf>
    <xf numFmtId="9" fontId="21" fillId="0" borderId="27" xfId="2" applyFont="1" applyBorder="1" applyAlignment="1">
      <alignment horizontal="center" vertical="center"/>
    </xf>
    <xf numFmtId="10" fontId="25" fillId="0" borderId="9" xfId="2" applyNumberFormat="1" applyFont="1" applyBorder="1"/>
    <xf numFmtId="0" fontId="25" fillId="0" borderId="67" xfId="0" applyFont="1" applyBorder="1"/>
    <xf numFmtId="9" fontId="25" fillId="0" borderId="67" xfId="2" applyFont="1" applyBorder="1"/>
    <xf numFmtId="0" fontId="5" fillId="0" borderId="53" xfId="0" applyFont="1" applyBorder="1"/>
    <xf numFmtId="0" fontId="36" fillId="27" borderId="23" xfId="0" applyFont="1" applyFill="1" applyBorder="1" applyAlignment="1">
      <alignment horizontal="center" vertical="center"/>
    </xf>
    <xf numFmtId="0" fontId="4" fillId="4" borderId="41" xfId="0" applyFont="1" applyFill="1" applyBorder="1"/>
    <xf numFmtId="2" fontId="4" fillId="4" borderId="41" xfId="0" applyNumberFormat="1" applyFont="1" applyFill="1" applyBorder="1"/>
    <xf numFmtId="10" fontId="23" fillId="0" borderId="40" xfId="2" applyNumberFormat="1" applyFont="1" applyBorder="1" applyAlignment="1">
      <alignment horizontal="center" vertical="center"/>
    </xf>
    <xf numFmtId="10" fontId="23" fillId="0" borderId="40" xfId="2" applyNumberFormat="1" applyFont="1" applyBorder="1"/>
    <xf numFmtId="10" fontId="23" fillId="4" borderId="41" xfId="2" applyNumberFormat="1" applyFont="1" applyFill="1" applyBorder="1"/>
    <xf numFmtId="9" fontId="23" fillId="0" borderId="40" xfId="2" applyFont="1" applyBorder="1" applyAlignment="1">
      <alignment horizontal="center" vertical="center"/>
    </xf>
    <xf numFmtId="9" fontId="23" fillId="4" borderId="41" xfId="2" applyFont="1" applyFill="1" applyBorder="1" applyAlignment="1">
      <alignment horizontal="center" vertical="center"/>
    </xf>
    <xf numFmtId="0" fontId="24" fillId="0" borderId="40" xfId="0" applyFont="1" applyBorder="1"/>
    <xf numFmtId="0" fontId="24" fillId="4" borderId="41" xfId="0" applyFont="1" applyFill="1" applyBorder="1"/>
    <xf numFmtId="10" fontId="24" fillId="0" borderId="40" xfId="2" applyNumberFormat="1" applyFont="1" applyBorder="1"/>
    <xf numFmtId="0" fontId="21" fillId="4" borderId="41" xfId="0" applyFont="1" applyFill="1" applyBorder="1"/>
    <xf numFmtId="10" fontId="21" fillId="0" borderId="40" xfId="2" applyNumberFormat="1" applyFont="1" applyBorder="1" applyAlignment="1">
      <alignment horizontal="center" vertical="center"/>
    </xf>
    <xf numFmtId="10" fontId="21" fillId="4" borderId="41" xfId="2" applyNumberFormat="1" applyFont="1" applyFill="1" applyBorder="1" applyAlignment="1">
      <alignment horizontal="center" vertical="center"/>
    </xf>
    <xf numFmtId="0" fontId="25" fillId="4" borderId="41" xfId="0" applyFont="1" applyFill="1" applyBorder="1"/>
    <xf numFmtId="10" fontId="25" fillId="0" borderId="40" xfId="2" applyNumberFormat="1" applyFont="1" applyBorder="1" applyAlignment="1">
      <alignment horizontal="center" vertical="center"/>
    </xf>
    <xf numFmtId="10" fontId="25" fillId="4" borderId="41" xfId="2" applyNumberFormat="1" applyFont="1" applyFill="1" applyBorder="1"/>
    <xf numFmtId="10" fontId="25" fillId="4" borderId="41" xfId="2" applyNumberFormat="1" applyFont="1" applyFill="1" applyBorder="1" applyAlignment="1">
      <alignment horizontal="center" vertical="center"/>
    </xf>
    <xf numFmtId="10" fontId="25" fillId="0" borderId="40" xfId="2" applyNumberFormat="1" applyFont="1" applyBorder="1"/>
    <xf numFmtId="9" fontId="25" fillId="0" borderId="40" xfId="2" applyFont="1" applyBorder="1"/>
    <xf numFmtId="0" fontId="4" fillId="4" borderId="25" xfId="0" applyFont="1" applyFill="1" applyBorder="1"/>
    <xf numFmtId="0" fontId="4" fillId="4" borderId="26" xfId="0" applyFont="1" applyFill="1" applyBorder="1"/>
    <xf numFmtId="0" fontId="5" fillId="28" borderId="20" xfId="0" applyFont="1" applyFill="1" applyBorder="1"/>
    <xf numFmtId="15" fontId="5" fillId="28" borderId="14" xfId="0" applyNumberFormat="1" applyFont="1" applyFill="1" applyBorder="1" applyAlignment="1">
      <alignment horizontal="center"/>
    </xf>
    <xf numFmtId="0" fontId="5" fillId="28" borderId="41" xfId="0" applyFont="1" applyFill="1" applyBorder="1"/>
    <xf numFmtId="0" fontId="4" fillId="28" borderId="41" xfId="0" applyFont="1" applyFill="1" applyBorder="1" applyAlignment="1">
      <alignment horizontal="center" vertical="center"/>
    </xf>
    <xf numFmtId="174" fontId="23" fillId="28" borderId="41" xfId="0" applyNumberFormat="1" applyFont="1" applyFill="1" applyBorder="1" applyAlignment="1">
      <alignment horizontal="center" vertical="center"/>
    </xf>
    <xf numFmtId="0" fontId="23" fillId="28" borderId="41" xfId="0" applyFont="1" applyFill="1" applyBorder="1" applyAlignment="1">
      <alignment horizontal="center" vertical="center"/>
    </xf>
    <xf numFmtId="9" fontId="23" fillId="28" borderId="49" xfId="2" applyFont="1" applyFill="1" applyBorder="1"/>
    <xf numFmtId="0" fontId="24" fillId="28" borderId="41" xfId="0" applyFont="1" applyFill="1" applyBorder="1" applyAlignment="1">
      <alignment horizontal="center" vertical="center"/>
    </xf>
    <xf numFmtId="0" fontId="24" fillId="28" borderId="66" xfId="0" applyFont="1" applyFill="1" applyBorder="1" applyAlignment="1">
      <alignment horizontal="center" vertical="center"/>
    </xf>
    <xf numFmtId="0" fontId="24" fillId="28" borderId="67" xfId="0" applyFont="1" applyFill="1" applyBorder="1" applyAlignment="1">
      <alignment horizontal="center" vertical="center"/>
    </xf>
    <xf numFmtId="0" fontId="5" fillId="28" borderId="51" xfId="0" applyFont="1" applyFill="1" applyBorder="1" applyAlignment="1">
      <alignment horizontal="center" vertical="center"/>
    </xf>
    <xf numFmtId="0" fontId="4" fillId="28" borderId="53" xfId="0" applyFont="1" applyFill="1" applyBorder="1" applyAlignment="1">
      <alignment horizontal="center" vertical="center"/>
    </xf>
    <xf numFmtId="0" fontId="21" fillId="28" borderId="41" xfId="0" applyFont="1" applyFill="1" applyBorder="1" applyAlignment="1">
      <alignment horizontal="center" vertical="center"/>
    </xf>
    <xf numFmtId="9" fontId="21" fillId="28" borderId="41" xfId="2" applyFont="1" applyFill="1" applyBorder="1" applyAlignment="1">
      <alignment horizontal="center" vertical="center"/>
    </xf>
    <xf numFmtId="0" fontId="25" fillId="28" borderId="41" xfId="0" applyFont="1" applyFill="1" applyBorder="1" applyAlignment="1">
      <alignment horizontal="center" vertical="center"/>
    </xf>
    <xf numFmtId="9" fontId="25" fillId="28" borderId="49" xfId="2" applyFont="1" applyFill="1" applyBorder="1" applyAlignment="1">
      <alignment horizontal="center" vertical="center"/>
    </xf>
    <xf numFmtId="0" fontId="25" fillId="28" borderId="27" xfId="0" applyFont="1" applyFill="1" applyBorder="1" applyAlignment="1">
      <alignment horizontal="center" vertical="center"/>
    </xf>
    <xf numFmtId="0" fontId="25" fillId="28" borderId="66" xfId="0" applyFont="1" applyFill="1" applyBorder="1" applyAlignment="1">
      <alignment horizontal="center" vertical="center"/>
    </xf>
    <xf numFmtId="9" fontId="25" fillId="28" borderId="41" xfId="2" applyFont="1" applyFill="1" applyBorder="1" applyAlignment="1">
      <alignment horizontal="center" vertical="center"/>
    </xf>
    <xf numFmtId="0" fontId="4" fillId="28" borderId="41" xfId="0" applyFont="1" applyFill="1" applyBorder="1"/>
    <xf numFmtId="0" fontId="4" fillId="28" borderId="26" xfId="0" applyFont="1" applyFill="1" applyBorder="1"/>
    <xf numFmtId="15" fontId="5" fillId="28" borderId="8" xfId="0" applyNumberFormat="1" applyFont="1" applyFill="1" applyBorder="1" applyAlignment="1">
      <alignment horizontal="center"/>
    </xf>
    <xf numFmtId="0" fontId="23" fillId="28" borderId="27" xfId="0" applyFont="1" applyFill="1" applyBorder="1"/>
    <xf numFmtId="10" fontId="23" fillId="28" borderId="28" xfId="2" applyNumberFormat="1" applyFont="1" applyFill="1" applyBorder="1"/>
    <xf numFmtId="9" fontId="23" fillId="28" borderId="10" xfId="2" applyFont="1" applyFill="1" applyBorder="1"/>
    <xf numFmtId="0" fontId="24" fillId="28" borderId="41" xfId="0" applyFont="1" applyFill="1" applyBorder="1"/>
    <xf numFmtId="10" fontId="24" fillId="28" borderId="27" xfId="2" applyNumberFormat="1" applyFont="1" applyFill="1" applyBorder="1"/>
    <xf numFmtId="0" fontId="5" fillId="28" borderId="8" xfId="0" applyFont="1" applyFill="1" applyBorder="1" applyAlignment="1">
      <alignment horizontal="center" vertical="center"/>
    </xf>
    <xf numFmtId="0" fontId="21" fillId="28" borderId="41" xfId="0" applyFont="1" applyFill="1" applyBorder="1"/>
    <xf numFmtId="10" fontId="21" fillId="28" borderId="27" xfId="2" applyNumberFormat="1" applyFont="1" applyFill="1" applyBorder="1" applyAlignment="1">
      <alignment horizontal="center" vertical="center"/>
    </xf>
    <xf numFmtId="9" fontId="21" fillId="28" borderId="41" xfId="2" applyFont="1" applyFill="1" applyBorder="1"/>
    <xf numFmtId="0" fontId="25" fillId="28" borderId="41" xfId="0" applyFont="1" applyFill="1" applyBorder="1"/>
    <xf numFmtId="10" fontId="25" fillId="28" borderId="41" xfId="2" applyNumberFormat="1" applyFont="1" applyFill="1" applyBorder="1"/>
    <xf numFmtId="10" fontId="25" fillId="28" borderId="27" xfId="2" applyNumberFormat="1" applyFont="1" applyFill="1" applyBorder="1" applyAlignment="1">
      <alignment horizontal="center" vertical="center"/>
    </xf>
    <xf numFmtId="10" fontId="25" fillId="28" borderId="27" xfId="2" applyNumberFormat="1" applyFont="1" applyFill="1" applyBorder="1"/>
    <xf numFmtId="0" fontId="25" fillId="28" borderId="27" xfId="0" applyFont="1" applyFill="1" applyBorder="1"/>
    <xf numFmtId="0" fontId="5" fillId="28" borderId="18" xfId="0" applyFont="1" applyFill="1" applyBorder="1" applyAlignment="1">
      <alignment horizontal="center" vertical="center"/>
    </xf>
    <xf numFmtId="0" fontId="4" fillId="28" borderId="67" xfId="0" applyFont="1" applyFill="1" applyBorder="1"/>
    <xf numFmtId="0" fontId="5" fillId="28" borderId="51" xfId="0" applyFont="1" applyFill="1" applyBorder="1"/>
    <xf numFmtId="0" fontId="4" fillId="28" borderId="53" xfId="0" applyFont="1" applyFill="1" applyBorder="1"/>
    <xf numFmtId="0" fontId="25" fillId="28" borderId="53" xfId="0" applyFont="1" applyFill="1" applyBorder="1"/>
    <xf numFmtId="0" fontId="5" fillId="28" borderId="18" xfId="0" applyFont="1" applyFill="1" applyBorder="1"/>
    <xf numFmtId="9" fontId="25" fillId="28" borderId="27" xfId="2" applyFont="1" applyFill="1" applyBorder="1" applyAlignment="1">
      <alignment horizontal="center" vertical="center"/>
    </xf>
    <xf numFmtId="9" fontId="25" fillId="28" borderId="41" xfId="2" applyFont="1" applyFill="1" applyBorder="1"/>
    <xf numFmtId="0" fontId="5" fillId="28" borderId="73" xfId="0" applyFont="1" applyFill="1" applyBorder="1"/>
    <xf numFmtId="0" fontId="5" fillId="28" borderId="70" xfId="0" applyFont="1" applyFill="1" applyBorder="1"/>
    <xf numFmtId="15" fontId="5" fillId="28" borderId="7" xfId="0" applyNumberFormat="1" applyFont="1" applyFill="1" applyBorder="1" applyAlignment="1">
      <alignment horizontal="center"/>
    </xf>
    <xf numFmtId="0" fontId="4" fillId="28" borderId="3" xfId="0" applyFont="1" applyFill="1" applyBorder="1"/>
    <xf numFmtId="0" fontId="23" fillId="28" borderId="0" xfId="0" applyFont="1" applyFill="1"/>
    <xf numFmtId="10" fontId="23" fillId="28" borderId="72" xfId="2" applyNumberFormat="1" applyFont="1" applyFill="1" applyBorder="1"/>
    <xf numFmtId="9" fontId="23" fillId="28" borderId="3" xfId="2" applyFont="1" applyFill="1" applyBorder="1"/>
    <xf numFmtId="0" fontId="24" fillId="28" borderId="3" xfId="0" applyFont="1" applyFill="1" applyBorder="1"/>
    <xf numFmtId="10" fontId="24" fillId="28" borderId="0" xfId="2" applyNumberFormat="1" applyFont="1" applyFill="1" applyBorder="1"/>
    <xf numFmtId="0" fontId="5" fillId="28" borderId="7" xfId="0" applyFont="1" applyFill="1" applyBorder="1" applyAlignment="1">
      <alignment horizontal="center" vertical="center"/>
    </xf>
    <xf numFmtId="0" fontId="21" fillId="28" borderId="3" xfId="0" applyFont="1" applyFill="1" applyBorder="1"/>
    <xf numFmtId="10" fontId="21" fillId="28" borderId="0" xfId="2" applyNumberFormat="1" applyFont="1" applyFill="1" applyBorder="1" applyAlignment="1">
      <alignment horizontal="center" vertical="center"/>
    </xf>
    <xf numFmtId="9" fontId="21" fillId="28" borderId="3" xfId="2" applyFont="1" applyFill="1" applyBorder="1"/>
    <xf numFmtId="0" fontId="25" fillId="28" borderId="3" xfId="0" applyFont="1" applyFill="1" applyBorder="1"/>
    <xf numFmtId="10" fontId="25" fillId="28" borderId="3" xfId="2" applyNumberFormat="1" applyFont="1" applyFill="1" applyBorder="1"/>
    <xf numFmtId="9" fontId="25" fillId="28" borderId="3" xfId="2" applyFont="1" applyFill="1" applyBorder="1"/>
    <xf numFmtId="10" fontId="25" fillId="28" borderId="0" xfId="2" applyNumberFormat="1" applyFont="1" applyFill="1" applyBorder="1" applyAlignment="1">
      <alignment horizontal="center" vertical="center"/>
    </xf>
    <xf numFmtId="9" fontId="25" fillId="28" borderId="0" xfId="2" applyFont="1" applyFill="1" applyBorder="1" applyAlignment="1">
      <alignment horizontal="center" vertical="center"/>
    </xf>
    <xf numFmtId="10" fontId="25" fillId="28" borderId="0" xfId="2" applyNumberFormat="1" applyFont="1" applyFill="1" applyBorder="1"/>
    <xf numFmtId="0" fontId="25" fillId="28" borderId="0" xfId="0" applyFont="1" applyFill="1"/>
    <xf numFmtId="0" fontId="5" fillId="28" borderId="56" xfId="0" applyFont="1" applyFill="1" applyBorder="1" applyAlignment="1">
      <alignment horizontal="center" vertical="center"/>
    </xf>
    <xf numFmtId="0" fontId="4" fillId="28" borderId="60" xfId="0" applyFont="1" applyFill="1" applyBorder="1"/>
    <xf numFmtId="0" fontId="5" fillId="28" borderId="59" xfId="0" applyFont="1" applyFill="1" applyBorder="1"/>
    <xf numFmtId="0" fontId="4" fillId="28" borderId="6" xfId="0" applyFont="1" applyFill="1" applyBorder="1"/>
    <xf numFmtId="0" fontId="25" fillId="28" borderId="6" xfId="0" applyFont="1" applyFill="1" applyBorder="1"/>
    <xf numFmtId="0" fontId="5" fillId="28" borderId="56" xfId="0" applyFont="1" applyFill="1" applyBorder="1"/>
    <xf numFmtId="0" fontId="5" fillId="28" borderId="3" xfId="0" applyFont="1" applyFill="1" applyBorder="1"/>
    <xf numFmtId="0" fontId="26" fillId="28" borderId="3" xfId="0" applyFont="1" applyFill="1" applyBorder="1"/>
    <xf numFmtId="10" fontId="26" fillId="28" borderId="3" xfId="2" applyNumberFormat="1" applyFont="1" applyFill="1" applyBorder="1"/>
    <xf numFmtId="9" fontId="26" fillId="28" borderId="3" xfId="2" applyFont="1" applyFill="1" applyBorder="1"/>
    <xf numFmtId="0" fontId="5" fillId="28" borderId="2" xfId="0" applyFont="1" applyFill="1" applyBorder="1"/>
    <xf numFmtId="0" fontId="4" fillId="28" borderId="61" xfId="0" applyFont="1" applyFill="1" applyBorder="1"/>
    <xf numFmtId="15" fontId="5" fillId="28" borderId="56" xfId="0" applyNumberFormat="1" applyFont="1" applyFill="1" applyBorder="1" applyAlignment="1">
      <alignment horizontal="center"/>
    </xf>
    <xf numFmtId="0" fontId="4" fillId="28" borderId="4" xfId="0" applyFont="1" applyFill="1" applyBorder="1"/>
    <xf numFmtId="10" fontId="23" fillId="28" borderId="0" xfId="2" applyNumberFormat="1" applyFont="1" applyFill="1" applyBorder="1" applyAlignment="1">
      <alignment horizontal="center" vertical="center"/>
    </xf>
    <xf numFmtId="9" fontId="23" fillId="28" borderId="4" xfId="2" applyFont="1" applyFill="1" applyBorder="1"/>
    <xf numFmtId="0" fontId="24" fillId="28" borderId="4" xfId="0" applyFont="1" applyFill="1" applyBorder="1"/>
    <xf numFmtId="0" fontId="21" fillId="28" borderId="4" xfId="0" applyFont="1" applyFill="1" applyBorder="1"/>
    <xf numFmtId="9" fontId="21" fillId="28" borderId="4" xfId="2" applyFont="1" applyFill="1" applyBorder="1"/>
    <xf numFmtId="0" fontId="25" fillId="28" borderId="4" xfId="0" applyFont="1" applyFill="1" applyBorder="1"/>
    <xf numFmtId="10" fontId="25" fillId="28" borderId="4" xfId="2" applyNumberFormat="1" applyFont="1" applyFill="1" applyBorder="1"/>
    <xf numFmtId="9" fontId="25" fillId="28" borderId="4" xfId="2" applyFont="1" applyFill="1" applyBorder="1"/>
    <xf numFmtId="0" fontId="4" fillId="28" borderId="0" xfId="0" applyFont="1" applyFill="1"/>
    <xf numFmtId="0" fontId="4" fillId="28" borderId="2" xfId="0" applyFont="1" applyFill="1" applyBorder="1"/>
    <xf numFmtId="0" fontId="25" fillId="28" borderId="2" xfId="0" applyFont="1" applyFill="1" applyBorder="1"/>
    <xf numFmtId="0" fontId="5" fillId="28" borderId="4" xfId="0" applyFont="1" applyFill="1" applyBorder="1"/>
    <xf numFmtId="0" fontId="4" fillId="28" borderId="70" xfId="0" applyFont="1" applyFill="1" applyBorder="1"/>
    <xf numFmtId="2" fontId="4" fillId="19" borderId="49" xfId="0" applyNumberFormat="1" applyFont="1" applyFill="1" applyBorder="1"/>
    <xf numFmtId="175" fontId="4" fillId="0" borderId="0" xfId="0" applyNumberFormat="1" applyFont="1"/>
    <xf numFmtId="10" fontId="4" fillId="0" borderId="0" xfId="2" applyNumberFormat="1" applyFont="1"/>
    <xf numFmtId="175" fontId="4" fillId="4" borderId="41" xfId="0" applyNumberFormat="1" applyFont="1" applyFill="1" applyBorder="1"/>
    <xf numFmtId="1" fontId="4" fillId="4" borderId="41" xfId="0" applyNumberFormat="1" applyFont="1" applyFill="1" applyBorder="1"/>
    <xf numFmtId="1" fontId="25" fillId="4" borderId="41" xfId="0" applyNumberFormat="1" applyFont="1" applyFill="1" applyBorder="1"/>
    <xf numFmtId="1" fontId="25" fillId="4" borderId="41" xfId="2" applyNumberFormat="1" applyFont="1" applyFill="1" applyBorder="1" applyAlignment="1">
      <alignment horizontal="center" vertical="center"/>
    </xf>
    <xf numFmtId="1" fontId="25" fillId="4" borderId="41" xfId="2" applyNumberFormat="1" applyFont="1" applyFill="1" applyBorder="1"/>
    <xf numFmtId="1" fontId="5" fillId="4" borderId="1" xfId="0" applyNumberFormat="1" applyFont="1" applyFill="1" applyBorder="1" applyAlignment="1">
      <alignment horizontal="center" vertical="center"/>
    </xf>
    <xf numFmtId="1" fontId="5" fillId="4" borderId="41" xfId="0" applyNumberFormat="1" applyFont="1" applyFill="1" applyBorder="1" applyAlignment="1">
      <alignment horizontal="center" vertical="center"/>
    </xf>
    <xf numFmtId="1" fontId="4" fillId="4" borderId="1" xfId="0" applyNumberFormat="1" applyFont="1" applyFill="1" applyBorder="1"/>
    <xf numFmtId="175" fontId="5" fillId="0" borderId="1" xfId="0" applyNumberFormat="1" applyFont="1" applyBorder="1" applyAlignment="1">
      <alignment horizontal="center" vertical="center"/>
    </xf>
    <xf numFmtId="175" fontId="5" fillId="0" borderId="41" xfId="0" applyNumberFormat="1" applyFont="1" applyBorder="1" applyAlignment="1">
      <alignment horizontal="center" vertical="center"/>
    </xf>
    <xf numFmtId="175" fontId="5" fillId="0" borderId="1" xfId="0" applyNumberFormat="1" applyFont="1" applyBorder="1"/>
    <xf numFmtId="175" fontId="5" fillId="0" borderId="41" xfId="0" applyNumberFormat="1" applyFont="1" applyBorder="1"/>
    <xf numFmtId="0" fontId="4" fillId="4" borderId="11" xfId="0" applyFont="1" applyFill="1" applyBorder="1"/>
    <xf numFmtId="0" fontId="4" fillId="4" borderId="8" xfId="0" applyFont="1" applyFill="1" applyBorder="1"/>
    <xf numFmtId="1" fontId="4" fillId="4" borderId="8" xfId="0" applyNumberFormat="1" applyFont="1" applyFill="1" applyBorder="1"/>
    <xf numFmtId="3" fontId="4" fillId="4" borderId="8" xfId="0" applyNumberFormat="1" applyFont="1" applyFill="1" applyBorder="1"/>
    <xf numFmtId="3" fontId="4" fillId="4" borderId="17" xfId="0" applyNumberFormat="1" applyFont="1" applyFill="1" applyBorder="1"/>
    <xf numFmtId="175" fontId="4" fillId="4" borderId="8" xfId="0" applyNumberFormat="1" applyFont="1" applyFill="1" applyBorder="1"/>
    <xf numFmtId="2" fontId="4" fillId="4" borderId="8" xfId="0" applyNumberFormat="1" applyFont="1" applyFill="1" applyBorder="1"/>
    <xf numFmtId="2" fontId="4" fillId="4" borderId="7" xfId="0" applyNumberFormat="1" applyFont="1" applyFill="1" applyBorder="1"/>
    <xf numFmtId="9" fontId="4" fillId="0" borderId="0" xfId="0" applyNumberFormat="1" applyFont="1"/>
    <xf numFmtId="9" fontId="4" fillId="0" borderId="1" xfId="0" applyNumberFormat="1" applyFont="1" applyBorder="1"/>
    <xf numFmtId="1" fontId="4" fillId="0" borderId="0" xfId="0" applyNumberFormat="1" applyFont="1"/>
    <xf numFmtId="1" fontId="5" fillId="2" borderId="8" xfId="0" applyNumberFormat="1" applyFont="1" applyFill="1" applyBorder="1"/>
    <xf numFmtId="1" fontId="4" fillId="19" borderId="1" xfId="0" applyNumberFormat="1" applyFont="1" applyFill="1" applyBorder="1"/>
    <xf numFmtId="0" fontId="41" fillId="0" borderId="13" xfId="0" applyFont="1" applyBorder="1"/>
    <xf numFmtId="0" fontId="4" fillId="0" borderId="43" xfId="0" applyFont="1" applyBorder="1" applyAlignment="1">
      <alignment wrapText="1"/>
    </xf>
    <xf numFmtId="9" fontId="4" fillId="0" borderId="43" xfId="2" applyFont="1" applyBorder="1" applyAlignment="1">
      <alignment wrapText="1"/>
    </xf>
    <xf numFmtId="9" fontId="4" fillId="0" borderId="15" xfId="0" applyNumberFormat="1" applyFont="1" applyBorder="1"/>
    <xf numFmtId="0" fontId="41" fillId="0" borderId="78" xfId="0" applyFont="1" applyBorder="1"/>
    <xf numFmtId="9" fontId="4" fillId="0" borderId="0" xfId="2" applyFont="1" applyBorder="1" applyAlignment="1">
      <alignment wrapText="1"/>
    </xf>
    <xf numFmtId="9" fontId="4" fillId="0" borderId="27" xfId="0" applyNumberFormat="1" applyFont="1" applyBorder="1"/>
    <xf numFmtId="0" fontId="4" fillId="0" borderId="42" xfId="0" applyFont="1" applyBorder="1" applyAlignment="1">
      <alignment wrapText="1"/>
    </xf>
    <xf numFmtId="1" fontId="4" fillId="0" borderId="1" xfId="0" applyNumberFormat="1" applyFont="1" applyBorder="1"/>
    <xf numFmtId="1" fontId="5" fillId="12" borderId="8" xfId="0" applyNumberFormat="1" applyFont="1" applyFill="1" applyBorder="1"/>
    <xf numFmtId="0" fontId="42" fillId="0" borderId="1" xfId="0" applyFont="1" applyBorder="1"/>
    <xf numFmtId="174" fontId="24" fillId="0" borderId="27" xfId="2" applyNumberFormat="1" applyFont="1" applyBorder="1"/>
    <xf numFmtId="10" fontId="4" fillId="0" borderId="9" xfId="2" applyNumberFormat="1" applyFont="1" applyBorder="1"/>
    <xf numFmtId="43" fontId="1" fillId="0" borderId="0" xfId="1" applyFont="1"/>
    <xf numFmtId="43" fontId="1" fillId="0" borderId="3" xfId="1" applyFont="1" applyBorder="1"/>
    <xf numFmtId="43" fontId="44" fillId="0" borderId="3" xfId="1" applyFont="1" applyBorder="1"/>
    <xf numFmtId="43" fontId="3" fillId="0" borderId="3" xfId="1" applyFont="1" applyBorder="1" applyAlignment="1">
      <alignment wrapText="1"/>
    </xf>
    <xf numFmtId="43" fontId="3" fillId="0" borderId="3" xfId="1" applyFont="1" applyBorder="1"/>
    <xf numFmtId="43" fontId="1" fillId="0" borderId="3" xfId="1" applyFont="1" applyBorder="1" applyAlignment="1">
      <alignment wrapText="1"/>
    </xf>
    <xf numFmtId="43" fontId="1" fillId="0" borderId="1" xfId="1" applyFont="1" applyBorder="1" applyAlignment="1">
      <alignment wrapText="1"/>
    </xf>
    <xf numFmtId="43" fontId="1" fillId="0" borderId="1" xfId="1" applyFont="1" applyBorder="1"/>
    <xf numFmtId="43" fontId="43" fillId="34" borderId="36" xfId="1" applyFont="1" applyFill="1" applyBorder="1" applyAlignment="1">
      <alignment horizontal="center"/>
    </xf>
    <xf numFmtId="43" fontId="43" fillId="34" borderId="62" xfId="1" applyFont="1" applyFill="1" applyBorder="1" applyAlignment="1">
      <alignment horizontal="center"/>
    </xf>
    <xf numFmtId="43" fontId="43" fillId="34" borderId="63" xfId="1" applyFont="1" applyFill="1" applyBorder="1" applyAlignment="1">
      <alignment horizontal="center"/>
    </xf>
    <xf numFmtId="43" fontId="1" fillId="35" borderId="3" xfId="1" applyFont="1" applyFill="1" applyBorder="1"/>
    <xf numFmtId="43" fontId="1" fillId="35" borderId="3" xfId="1" applyFont="1" applyFill="1" applyBorder="1" applyAlignment="1"/>
    <xf numFmtId="43" fontId="1" fillId="0" borderId="7" xfId="1" applyFont="1" applyBorder="1"/>
    <xf numFmtId="43" fontId="43" fillId="34" borderId="30" xfId="1" applyFont="1" applyFill="1" applyBorder="1" applyAlignment="1">
      <alignment horizontal="center"/>
    </xf>
    <xf numFmtId="43" fontId="1" fillId="0" borderId="1" xfId="1" applyFont="1" applyFill="1" applyBorder="1"/>
    <xf numFmtId="0" fontId="3" fillId="0" borderId="3" xfId="1" applyNumberFormat="1" applyFont="1" applyBorder="1"/>
    <xf numFmtId="0" fontId="3" fillId="0" borderId="3" xfId="1" applyNumberFormat="1" applyFont="1" applyBorder="1" applyAlignment="1">
      <alignment wrapText="1"/>
    </xf>
    <xf numFmtId="0" fontId="44" fillId="0" borderId="3" xfId="1" applyNumberFormat="1" applyFont="1" applyBorder="1"/>
    <xf numFmtId="0" fontId="1" fillId="35" borderId="3" xfId="1" applyNumberFormat="1" applyFont="1" applyFill="1" applyBorder="1"/>
    <xf numFmtId="0" fontId="1" fillId="35" borderId="3" xfId="1" applyNumberFormat="1" applyFont="1" applyFill="1" applyBorder="1" applyAlignment="1"/>
    <xf numFmtId="0" fontId="3" fillId="0" borderId="0" xfId="1" applyNumberFormat="1" applyFont="1" applyBorder="1" applyAlignment="1">
      <alignment wrapText="1"/>
    </xf>
    <xf numFmtId="0" fontId="1" fillId="0" borderId="3" xfId="1" applyNumberFormat="1" applyFont="1" applyBorder="1" applyAlignment="1">
      <alignment wrapText="1"/>
    </xf>
    <xf numFmtId="0" fontId="1" fillId="0" borderId="3" xfId="1" applyNumberFormat="1" applyFont="1" applyBorder="1"/>
    <xf numFmtId="2" fontId="0" fillId="19" borderId="1" xfId="0" applyNumberFormat="1" applyFill="1" applyBorder="1" applyAlignment="1">
      <alignment horizontal="center"/>
    </xf>
    <xf numFmtId="0" fontId="1" fillId="4" borderId="3" xfId="0" applyFont="1" applyFill="1" applyBorder="1" applyAlignment="1">
      <alignment horizontal="center"/>
    </xf>
    <xf numFmtId="0" fontId="0" fillId="19" borderId="1" xfId="0" applyFill="1" applyBorder="1" applyAlignment="1">
      <alignment horizontal="center"/>
    </xf>
    <xf numFmtId="174" fontId="0" fillId="19" borderId="1" xfId="2" applyNumberFormat="1" applyFont="1" applyFill="1" applyBorder="1" applyAlignment="1">
      <alignment horizontal="center"/>
    </xf>
    <xf numFmtId="10" fontId="0" fillId="19" borderId="1" xfId="2" applyNumberFormat="1" applyFont="1" applyFill="1" applyBorder="1" applyAlignment="1">
      <alignment horizontal="center"/>
    </xf>
    <xf numFmtId="10" fontId="0" fillId="19" borderId="1" xfId="0" applyNumberFormat="1" applyFill="1" applyBorder="1" applyAlignment="1">
      <alignment horizontal="center"/>
    </xf>
    <xf numFmtId="10" fontId="1" fillId="4" borderId="1" xfId="2" applyNumberFormat="1" applyFont="1" applyFill="1" applyBorder="1" applyAlignment="1">
      <alignment horizontal="center"/>
    </xf>
    <xf numFmtId="0" fontId="0" fillId="4" borderId="1" xfId="0" applyFill="1" applyBorder="1" applyAlignment="1">
      <alignment horizontal="center"/>
    </xf>
    <xf numFmtId="0" fontId="1" fillId="18" borderId="60" xfId="0" applyFont="1" applyFill="1" applyBorder="1" applyAlignment="1">
      <alignment horizontal="center"/>
    </xf>
    <xf numFmtId="0" fontId="0" fillId="20" borderId="1" xfId="0" applyFill="1" applyBorder="1" applyAlignment="1">
      <alignment horizontal="center"/>
    </xf>
    <xf numFmtId="3" fontId="0" fillId="19" borderId="1" xfId="0" applyNumberFormat="1" applyFill="1" applyBorder="1" applyAlignment="1">
      <alignment horizontal="center"/>
    </xf>
    <xf numFmtId="165" fontId="0" fillId="19" borderId="1" xfId="1" applyNumberFormat="1" applyFont="1" applyFill="1" applyBorder="1" applyAlignment="1">
      <alignment horizontal="center"/>
    </xf>
    <xf numFmtId="165" fontId="0" fillId="19" borderId="1" xfId="1" applyNumberFormat="1" applyFont="1" applyFill="1" applyBorder="1" applyAlignment="1">
      <alignment horizontal="center" vertical="center"/>
    </xf>
    <xf numFmtId="164" fontId="0" fillId="19" borderId="1" xfId="0" applyNumberFormat="1" applyFill="1" applyBorder="1" applyAlignment="1">
      <alignment horizontal="center"/>
    </xf>
    <xf numFmtId="0" fontId="38" fillId="18" borderId="0" xfId="8" applyFill="1" applyAlignment="1">
      <alignment horizontal="center" vertical="center"/>
    </xf>
    <xf numFmtId="0" fontId="45" fillId="0" borderId="0" xfId="0" applyFont="1"/>
    <xf numFmtId="174" fontId="45" fillId="0" borderId="0" xfId="0" applyNumberFormat="1" applyFont="1"/>
    <xf numFmtId="2" fontId="45" fillId="0" borderId="0" xfId="0" applyNumberFormat="1" applyFont="1"/>
    <xf numFmtId="2" fontId="46" fillId="36" borderId="0" xfId="7" applyNumberFormat="1" applyFont="1" applyFill="1" applyBorder="1"/>
    <xf numFmtId="0" fontId="38" fillId="18" borderId="0" xfId="7" applyFont="1" applyFill="1" applyBorder="1"/>
    <xf numFmtId="10" fontId="0" fillId="0" borderId="0" xfId="0" applyNumberFormat="1"/>
    <xf numFmtId="3" fontId="4" fillId="0" borderId="45" xfId="0" applyNumberFormat="1" applyFont="1" applyBorder="1"/>
    <xf numFmtId="3" fontId="4" fillId="0" borderId="66" xfId="0" applyNumberFormat="1" applyFont="1" applyBorder="1"/>
    <xf numFmtId="1" fontId="45" fillId="0" borderId="0" xfId="0" applyNumberFormat="1" applyFont="1"/>
    <xf numFmtId="1" fontId="0" fillId="0" borderId="0" xfId="0" applyNumberFormat="1"/>
    <xf numFmtId="175" fontId="4" fillId="9" borderId="49" xfId="0" applyNumberFormat="1" applyFont="1" applyFill="1" applyBorder="1"/>
    <xf numFmtId="1" fontId="4" fillId="9" borderId="49" xfId="0" applyNumberFormat="1" applyFont="1" applyFill="1" applyBorder="1"/>
    <xf numFmtId="169" fontId="4" fillId="4" borderId="49" xfId="0" applyNumberFormat="1" applyFont="1" applyFill="1" applyBorder="1"/>
    <xf numFmtId="169" fontId="4" fillId="4" borderId="1" xfId="0" applyNumberFormat="1" applyFont="1" applyFill="1" applyBorder="1"/>
    <xf numFmtId="10" fontId="4" fillId="0" borderId="8" xfId="0" applyNumberFormat="1" applyFont="1" applyBorder="1"/>
    <xf numFmtId="169" fontId="4" fillId="0" borderId="8" xfId="0" applyNumberFormat="1" applyFont="1" applyBorder="1"/>
    <xf numFmtId="169" fontId="5" fillId="0" borderId="48" xfId="1" applyNumberFormat="1" applyFont="1" applyBorder="1"/>
    <xf numFmtId="169" fontId="5" fillId="0" borderId="46" xfId="1" applyNumberFormat="1" applyFont="1" applyBorder="1"/>
    <xf numFmtId="169" fontId="5" fillId="0" borderId="8" xfId="1" applyNumberFormat="1" applyFont="1" applyBorder="1"/>
    <xf numFmtId="1" fontId="46" fillId="36" borderId="0" xfId="7" applyNumberFormat="1" applyFont="1" applyFill="1" applyBorder="1"/>
    <xf numFmtId="1" fontId="46" fillId="36" borderId="0" xfId="10" applyNumberFormat="1" applyFont="1" applyFill="1" applyAlignment="1">
      <alignment horizontal="right"/>
    </xf>
    <xf numFmtId="1" fontId="38" fillId="18" borderId="0" xfId="7" applyNumberFormat="1" applyFont="1" applyFill="1" applyBorder="1"/>
    <xf numFmtId="1" fontId="46" fillId="18" borderId="0" xfId="7" applyNumberFormat="1" applyFont="1" applyFill="1" applyBorder="1"/>
    <xf numFmtId="1" fontId="47" fillId="36" borderId="0" xfId="7" applyNumberFormat="1" applyFont="1" applyFill="1" applyBorder="1"/>
    <xf numFmtId="1" fontId="47" fillId="36" borderId="0" xfId="10" applyNumberFormat="1" applyFont="1" applyFill="1" applyAlignment="1">
      <alignment horizontal="right"/>
    </xf>
    <xf numFmtId="9" fontId="0" fillId="0" borderId="0" xfId="2" applyFont="1"/>
    <xf numFmtId="9" fontId="4" fillId="0" borderId="10" xfId="2" applyFont="1" applyBorder="1" applyAlignment="1">
      <alignment wrapText="1"/>
    </xf>
    <xf numFmtId="0" fontId="4" fillId="0" borderId="1" xfId="0" applyFont="1" applyBorder="1" applyAlignment="1">
      <alignment horizontal="center"/>
    </xf>
    <xf numFmtId="175" fontId="46" fillId="18" borderId="0" xfId="7" applyNumberFormat="1" applyFont="1" applyFill="1" applyBorder="1"/>
    <xf numFmtId="175" fontId="45" fillId="0" borderId="0" xfId="0" applyNumberFormat="1" applyFont="1"/>
    <xf numFmtId="17" fontId="4" fillId="0" borderId="1" xfId="0" applyNumberFormat="1" applyFont="1" applyBorder="1"/>
    <xf numFmtId="0" fontId="4" fillId="0" borderId="21" xfId="0" applyFont="1" applyBorder="1" applyAlignment="1">
      <alignment horizontal="left"/>
    </xf>
    <xf numFmtId="0" fontId="4" fillId="0" borderId="40" xfId="0" applyFont="1" applyBorder="1" applyAlignment="1">
      <alignment horizontal="left" vertical="top"/>
    </xf>
    <xf numFmtId="0" fontId="5" fillId="6" borderId="2" xfId="0" applyFont="1" applyFill="1" applyBorder="1"/>
    <xf numFmtId="0" fontId="4" fillId="19" borderId="1" xfId="0" applyFont="1" applyFill="1" applyBorder="1" applyAlignment="1">
      <alignment horizontal="left" vertical="center"/>
    </xf>
    <xf numFmtId="176" fontId="4" fillId="19" borderId="1" xfId="0" applyNumberFormat="1" applyFont="1" applyFill="1" applyBorder="1"/>
    <xf numFmtId="10" fontId="4" fillId="19" borderId="1" xfId="2" applyNumberFormat="1" applyFont="1" applyFill="1" applyBorder="1"/>
    <xf numFmtId="174" fontId="4" fillId="19" borderId="1" xfId="0" applyNumberFormat="1" applyFont="1" applyFill="1" applyBorder="1"/>
    <xf numFmtId="0" fontId="42" fillId="19" borderId="1" xfId="0" applyFont="1" applyFill="1" applyBorder="1" applyAlignment="1">
      <alignment horizontal="left" vertical="center"/>
    </xf>
    <xf numFmtId="177" fontId="4" fillId="19" borderId="1" xfId="0" applyNumberFormat="1" applyFont="1" applyFill="1" applyBorder="1"/>
    <xf numFmtId="176" fontId="4" fillId="19" borderId="1" xfId="2" applyNumberFormat="1" applyFont="1" applyFill="1" applyBorder="1"/>
    <xf numFmtId="17" fontId="4" fillId="19" borderId="1" xfId="0" applyNumberFormat="1" applyFont="1" applyFill="1" applyBorder="1" applyAlignment="1">
      <alignment horizontal="left" vertical="center"/>
    </xf>
    <xf numFmtId="166" fontId="4" fillId="19" borderId="1" xfId="0" applyNumberFormat="1" applyFont="1" applyFill="1" applyBorder="1"/>
    <xf numFmtId="0" fontId="36" fillId="31" borderId="0" xfId="8" applyFont="1" applyAlignment="1">
      <alignment horizontal="center"/>
    </xf>
    <xf numFmtId="10" fontId="4" fillId="0" borderId="13" xfId="2" applyNumberFormat="1" applyFont="1" applyBorder="1"/>
    <xf numFmtId="177" fontId="4" fillId="0" borderId="43" xfId="0" applyNumberFormat="1" applyFont="1" applyBorder="1"/>
    <xf numFmtId="10" fontId="4" fillId="0" borderId="15" xfId="2" applyNumberFormat="1" applyFont="1" applyBorder="1"/>
    <xf numFmtId="177" fontId="4" fillId="0" borderId="56" xfId="0" applyNumberFormat="1" applyFont="1" applyBorder="1"/>
    <xf numFmtId="10" fontId="4" fillId="0" borderId="18" xfId="2" applyNumberFormat="1" applyFont="1" applyBorder="1"/>
    <xf numFmtId="0" fontId="36" fillId="31" borderId="0" xfId="8" applyFont="1"/>
    <xf numFmtId="0" fontId="36" fillId="31" borderId="0" xfId="8" applyFont="1" applyAlignment="1"/>
    <xf numFmtId="2" fontId="4" fillId="0" borderId="13" xfId="0" applyNumberFormat="1" applyFont="1" applyBorder="1"/>
    <xf numFmtId="10" fontId="4" fillId="0" borderId="43" xfId="2" applyNumberFormat="1" applyFont="1" applyBorder="1"/>
    <xf numFmtId="10" fontId="4" fillId="0" borderId="43" xfId="0" applyNumberFormat="1" applyFont="1" applyBorder="1"/>
    <xf numFmtId="10" fontId="4" fillId="0" borderId="14" xfId="0" applyNumberFormat="1" applyFont="1" applyBorder="1"/>
    <xf numFmtId="14" fontId="36" fillId="31" borderId="0" xfId="8" applyNumberFormat="1" applyFont="1"/>
    <xf numFmtId="2" fontId="4" fillId="0" borderId="15" xfId="0" applyNumberFormat="1" applyFont="1" applyBorder="1"/>
    <xf numFmtId="2" fontId="4" fillId="0" borderId="27" xfId="0" applyNumberFormat="1" applyFont="1" applyBorder="1"/>
    <xf numFmtId="10" fontId="4" fillId="0" borderId="56" xfId="2" applyNumberFormat="1" applyFont="1" applyBorder="1"/>
    <xf numFmtId="10" fontId="4" fillId="0" borderId="56" xfId="0" applyNumberFormat="1" applyFont="1" applyBorder="1"/>
    <xf numFmtId="0" fontId="36" fillId="31" borderId="0" xfId="8" applyFont="1" applyAlignment="1">
      <alignment horizontal="left"/>
    </xf>
    <xf numFmtId="10" fontId="4" fillId="0" borderId="10" xfId="2" applyNumberFormat="1" applyFont="1" applyBorder="1"/>
    <xf numFmtId="10" fontId="4" fillId="0" borderId="10" xfId="0" applyNumberFormat="1" applyFont="1" applyBorder="1"/>
    <xf numFmtId="2" fontId="4" fillId="0" borderId="13" xfId="2" applyNumberFormat="1" applyFont="1" applyBorder="1"/>
    <xf numFmtId="10" fontId="4" fillId="0" borderId="15" xfId="0" applyNumberFormat="1" applyFont="1" applyBorder="1"/>
    <xf numFmtId="2" fontId="4" fillId="0" borderId="7" xfId="2" applyNumberFormat="1" applyFont="1" applyBorder="1"/>
    <xf numFmtId="10" fontId="4" fillId="0" borderId="18" xfId="0" applyNumberFormat="1" applyFont="1" applyBorder="1"/>
    <xf numFmtId="10" fontId="4" fillId="0" borderId="11" xfId="2" applyNumberFormat="1" applyFont="1" applyBorder="1"/>
    <xf numFmtId="2" fontId="4" fillId="0" borderId="9" xfId="2" applyNumberFormat="1" applyFont="1" applyBorder="1"/>
    <xf numFmtId="10" fontId="4" fillId="0" borderId="27" xfId="0" applyNumberFormat="1" applyFont="1" applyBorder="1"/>
    <xf numFmtId="2" fontId="4" fillId="0" borderId="20" xfId="0" applyNumberFormat="1" applyFont="1" applyBorder="1"/>
    <xf numFmtId="0" fontId="63" fillId="8" borderId="14" xfId="0" applyFont="1" applyFill="1" applyBorder="1" applyAlignment="1">
      <alignment horizontal="right" vertical="center"/>
    </xf>
    <xf numFmtId="0" fontId="63" fillId="8" borderId="88" xfId="0" applyFont="1" applyFill="1" applyBorder="1" applyAlignment="1">
      <alignment horizontal="right" vertical="center"/>
    </xf>
    <xf numFmtId="10" fontId="4" fillId="0" borderId="14" xfId="2" applyNumberFormat="1" applyFont="1" applyBorder="1"/>
    <xf numFmtId="0" fontId="6" fillId="0" borderId="8" xfId="3" applyFill="1" applyBorder="1" applyAlignment="1" applyProtection="1"/>
    <xf numFmtId="0" fontId="6" fillId="0" borderId="8" xfId="3" applyBorder="1" applyAlignment="1" applyProtection="1"/>
    <xf numFmtId="0" fontId="4" fillId="0" borderId="47" xfId="0" applyFont="1" applyBorder="1" applyAlignment="1">
      <alignment horizontal="left" vertical="center" wrapText="1"/>
    </xf>
    <xf numFmtId="173" fontId="5" fillId="24" borderId="17" xfId="0" applyNumberFormat="1" applyFont="1" applyFill="1" applyBorder="1"/>
    <xf numFmtId="173" fontId="5" fillId="24" borderId="33" xfId="0" applyNumberFormat="1" applyFont="1" applyFill="1" applyBorder="1"/>
    <xf numFmtId="0" fontId="65" fillId="0" borderId="7" xfId="0" applyFont="1" applyBorder="1" applyAlignment="1">
      <alignment horizontal="center"/>
    </xf>
    <xf numFmtId="0" fontId="65" fillId="0" borderId="9" xfId="0" applyFont="1" applyBorder="1" applyAlignment="1">
      <alignment horizontal="center"/>
    </xf>
    <xf numFmtId="0" fontId="62" fillId="15" borderId="9" xfId="0" applyFont="1" applyFill="1" applyBorder="1" applyAlignment="1">
      <alignment horizontal="center"/>
    </xf>
    <xf numFmtId="0" fontId="65" fillId="0" borderId="12" xfId="0" applyFont="1" applyBorder="1" applyAlignment="1">
      <alignment horizontal="center"/>
    </xf>
    <xf numFmtId="0" fontId="62" fillId="15" borderId="13" xfId="0" applyFont="1" applyFill="1" applyBorder="1" applyAlignment="1">
      <alignment horizontal="center"/>
    </xf>
    <xf numFmtId="0" fontId="65" fillId="0" borderId="11" xfId="0" applyFont="1" applyBorder="1" applyAlignment="1">
      <alignment horizontal="center"/>
    </xf>
    <xf numFmtId="0" fontId="65" fillId="0" borderId="10" xfId="0" applyFont="1" applyBorder="1" applyAlignment="1">
      <alignment horizontal="center"/>
    </xf>
    <xf numFmtId="0" fontId="62" fillId="15" borderId="14" xfId="0" applyFont="1" applyFill="1" applyBorder="1" applyAlignment="1">
      <alignment horizontal="center"/>
    </xf>
    <xf numFmtId="0" fontId="4" fillId="6" borderId="27" xfId="0" applyFont="1" applyFill="1" applyBorder="1"/>
    <xf numFmtId="0" fontId="4" fillId="6" borderId="28" xfId="0" applyFont="1" applyFill="1" applyBorder="1"/>
    <xf numFmtId="2" fontId="4" fillId="6" borderId="18" xfId="0" applyNumberFormat="1" applyFont="1" applyFill="1" applyBorder="1"/>
    <xf numFmtId="170" fontId="4" fillId="6" borderId="27" xfId="0" applyNumberFormat="1" applyFont="1" applyFill="1" applyBorder="1"/>
    <xf numFmtId="3" fontId="4" fillId="6" borderId="37" xfId="0" applyNumberFormat="1" applyFont="1" applyFill="1" applyBorder="1"/>
    <xf numFmtId="3" fontId="4" fillId="6" borderId="28" xfId="0" applyNumberFormat="1" applyFont="1" applyFill="1" applyBorder="1"/>
    <xf numFmtId="0" fontId="4" fillId="6" borderId="29" xfId="0" applyFont="1" applyFill="1" applyBorder="1"/>
    <xf numFmtId="9" fontId="4" fillId="6" borderId="18" xfId="2" applyFont="1" applyFill="1" applyBorder="1"/>
    <xf numFmtId="9" fontId="4" fillId="6" borderId="27" xfId="2" applyFont="1" applyFill="1" applyBorder="1"/>
    <xf numFmtId="170" fontId="4" fillId="6" borderId="38" xfId="0" applyNumberFormat="1" applyFont="1" applyFill="1" applyBorder="1"/>
    <xf numFmtId="0" fontId="4" fillId="6" borderId="38" xfId="0" applyFont="1" applyFill="1" applyBorder="1"/>
    <xf numFmtId="10" fontId="4" fillId="6" borderId="1" xfId="2" applyNumberFormat="1" applyFont="1" applyFill="1" applyBorder="1"/>
    <xf numFmtId="0" fontId="4" fillId="6" borderId="20" xfId="0" applyFont="1" applyFill="1" applyBorder="1"/>
    <xf numFmtId="165" fontId="4" fillId="0" borderId="51" xfId="1" applyNumberFormat="1" applyFont="1" applyFill="1" applyBorder="1"/>
    <xf numFmtId="165" fontId="4" fillId="0" borderId="8" xfId="1" applyNumberFormat="1" applyFont="1" applyFill="1" applyBorder="1"/>
    <xf numFmtId="165" fontId="4" fillId="0" borderId="8" xfId="0" applyNumberFormat="1" applyFont="1" applyBorder="1" applyAlignment="1">
      <alignment wrapText="1"/>
    </xf>
    <xf numFmtId="165" fontId="4" fillId="0" borderId="7" xfId="0" applyNumberFormat="1" applyFont="1" applyBorder="1" applyAlignment="1">
      <alignment wrapText="1"/>
    </xf>
    <xf numFmtId="0" fontId="5" fillId="24" borderId="14" xfId="0" applyFont="1" applyFill="1" applyBorder="1" applyAlignment="1">
      <alignment horizontal="center" vertical="center" wrapText="1"/>
    </xf>
    <xf numFmtId="0" fontId="4" fillId="4" borderId="49" xfId="0" applyFont="1" applyFill="1" applyBorder="1"/>
    <xf numFmtId="170" fontId="4" fillId="4" borderId="49" xfId="0" applyNumberFormat="1" applyFont="1" applyFill="1" applyBorder="1"/>
    <xf numFmtId="175" fontId="4" fillId="4" borderId="49" xfId="0" applyNumberFormat="1" applyFont="1" applyFill="1" applyBorder="1"/>
    <xf numFmtId="3" fontId="4" fillId="4" borderId="49" xfId="0" applyNumberFormat="1" applyFont="1" applyFill="1" applyBorder="1"/>
    <xf numFmtId="1" fontId="4" fillId="4" borderId="49" xfId="0" applyNumberFormat="1" applyFont="1" applyFill="1" applyBorder="1"/>
    <xf numFmtId="0" fontId="0" fillId="0" borderId="43" xfId="0" applyBorder="1"/>
    <xf numFmtId="0" fontId="0" fillId="0" borderId="15" xfId="0" applyBorder="1"/>
    <xf numFmtId="0" fontId="0" fillId="0" borderId="42" xfId="0" applyBorder="1"/>
    <xf numFmtId="0" fontId="0" fillId="0" borderId="20" xfId="0" applyBorder="1"/>
    <xf numFmtId="0" fontId="66" fillId="0" borderId="43" xfId="0" applyFont="1" applyBorder="1"/>
    <xf numFmtId="0" fontId="66" fillId="0" borderId="0" xfId="0" applyFont="1"/>
    <xf numFmtId="0" fontId="67" fillId="0" borderId="0" xfId="0" applyFont="1" applyAlignment="1">
      <alignment horizontal="left" vertical="center" wrapText="1"/>
    </xf>
    <xf numFmtId="0" fontId="20" fillId="0" borderId="0" xfId="3" applyFont="1" applyBorder="1" applyAlignment="1" applyProtection="1"/>
    <xf numFmtId="1" fontId="0" fillId="0" borderId="42" xfId="0" applyNumberFormat="1" applyBorder="1"/>
    <xf numFmtId="170" fontId="4" fillId="0" borderId="8" xfId="0" applyNumberFormat="1" applyFont="1" applyBorder="1" applyAlignment="1">
      <alignment vertical="center" wrapText="1"/>
    </xf>
    <xf numFmtId="171" fontId="0" fillId="0" borderId="0" xfId="0" applyNumberFormat="1"/>
    <xf numFmtId="171" fontId="1" fillId="0" borderId="1" xfId="0" applyNumberFormat="1" applyFont="1" applyBorder="1"/>
    <xf numFmtId="171" fontId="0" fillId="0" borderId="1" xfId="0" applyNumberFormat="1" applyBorder="1"/>
    <xf numFmtId="171" fontId="1" fillId="0" borderId="40" xfId="0" applyNumberFormat="1" applyFont="1" applyBorder="1"/>
    <xf numFmtId="171" fontId="0" fillId="0" borderId="41" xfId="0" applyNumberFormat="1" applyBorder="1"/>
    <xf numFmtId="171" fontId="0" fillId="0" borderId="40" xfId="0" applyNumberFormat="1" applyBorder="1"/>
    <xf numFmtId="171" fontId="1" fillId="0" borderId="41" xfId="0" applyNumberFormat="1" applyFont="1" applyBorder="1"/>
    <xf numFmtId="171" fontId="1" fillId="0" borderId="52" xfId="0" applyNumberFormat="1" applyFont="1" applyBorder="1"/>
    <xf numFmtId="171" fontId="0" fillId="0" borderId="44" xfId="0" applyNumberFormat="1" applyBorder="1"/>
    <xf numFmtId="171" fontId="0" fillId="0" borderId="53" xfId="0" applyNumberFormat="1" applyBorder="1"/>
    <xf numFmtId="171" fontId="1" fillId="0" borderId="17" xfId="0" applyNumberFormat="1" applyFont="1" applyBorder="1"/>
    <xf numFmtId="171" fontId="1" fillId="0" borderId="58" xfId="0" applyNumberFormat="1" applyFont="1" applyBorder="1"/>
    <xf numFmtId="171" fontId="1" fillId="0" borderId="51" xfId="0" applyNumberFormat="1" applyFont="1" applyBorder="1"/>
    <xf numFmtId="171" fontId="0" fillId="0" borderId="38" xfId="0" applyNumberFormat="1" applyBorder="1"/>
    <xf numFmtId="171" fontId="0" fillId="0" borderId="45" xfId="0" applyNumberFormat="1" applyBorder="1"/>
    <xf numFmtId="171" fontId="0" fillId="0" borderId="66" xfId="0" applyNumberFormat="1" applyBorder="1"/>
    <xf numFmtId="171" fontId="1" fillId="0" borderId="44" xfId="0" applyNumberFormat="1" applyFont="1" applyBorder="1"/>
    <xf numFmtId="171" fontId="1" fillId="0" borderId="53" xfId="0" applyNumberFormat="1" applyFont="1" applyBorder="1"/>
    <xf numFmtId="171" fontId="0" fillId="0" borderId="37" xfId="0" applyNumberFormat="1" applyBorder="1"/>
    <xf numFmtId="171" fontId="0" fillId="0" borderId="19" xfId="0" applyNumberFormat="1" applyBorder="1"/>
    <xf numFmtId="171" fontId="0" fillId="0" borderId="67" xfId="0" applyNumberFormat="1" applyBorder="1"/>
    <xf numFmtId="0" fontId="0" fillId="0" borderId="24" xfId="0" applyBorder="1"/>
    <xf numFmtId="0" fontId="0" fillId="0" borderId="25" xfId="0" applyBorder="1"/>
    <xf numFmtId="0" fontId="0" fillId="0" borderId="26" xfId="0" applyBorder="1"/>
    <xf numFmtId="172" fontId="1" fillId="0" borderId="58" xfId="0" applyNumberFormat="1" applyFont="1" applyBorder="1"/>
    <xf numFmtId="172" fontId="1" fillId="0" borderId="51" xfId="0" applyNumberFormat="1" applyFont="1" applyBorder="1"/>
    <xf numFmtId="171" fontId="0" fillId="0" borderId="17" xfId="0" applyNumberFormat="1" applyBorder="1"/>
    <xf numFmtId="171" fontId="1" fillId="0" borderId="38" xfId="0" applyNumberFormat="1" applyFont="1" applyBorder="1"/>
    <xf numFmtId="171" fontId="70" fillId="0" borderId="1" xfId="0" applyNumberFormat="1" applyFont="1" applyBorder="1"/>
    <xf numFmtId="171" fontId="71" fillId="0" borderId="1" xfId="0" applyNumberFormat="1" applyFont="1" applyBorder="1"/>
    <xf numFmtId="171" fontId="72" fillId="0" borderId="1" xfId="0" applyNumberFormat="1" applyFont="1" applyBorder="1"/>
    <xf numFmtId="0" fontId="5" fillId="16" borderId="8" xfId="0" applyFont="1" applyFill="1" applyBorder="1" applyAlignment="1">
      <alignment horizontal="center" vertical="center" wrapText="1"/>
    </xf>
    <xf numFmtId="0" fontId="5" fillId="16" borderId="56" xfId="0" applyFont="1" applyFill="1" applyBorder="1" applyAlignment="1">
      <alignment horizontal="center" vertical="center" wrapText="1"/>
    </xf>
    <xf numFmtId="0" fontId="19" fillId="0" borderId="54" xfId="3" applyFont="1" applyBorder="1" applyAlignment="1" applyProtection="1"/>
    <xf numFmtId="3" fontId="4" fillId="0" borderId="16" xfId="0" applyNumberFormat="1" applyFont="1" applyBorder="1" applyAlignment="1">
      <alignment wrapText="1"/>
    </xf>
    <xf numFmtId="3" fontId="4" fillId="0" borderId="54" xfId="0" applyNumberFormat="1" applyFont="1" applyBorder="1"/>
    <xf numFmtId="165" fontId="0" fillId="0" borderId="16" xfId="1" applyNumberFormat="1" applyFont="1" applyFill="1" applyBorder="1"/>
    <xf numFmtId="3" fontId="4" fillId="19" borderId="44" xfId="0" applyNumberFormat="1" applyFont="1" applyFill="1" applyBorder="1"/>
    <xf numFmtId="9" fontId="4" fillId="19" borderId="16" xfId="2" applyFont="1" applyFill="1" applyBorder="1"/>
    <xf numFmtId="3" fontId="4" fillId="19" borderId="55" xfId="0" applyNumberFormat="1" applyFont="1" applyFill="1" applyBorder="1"/>
    <xf numFmtId="9" fontId="4" fillId="19" borderId="44" xfId="2" applyFont="1" applyFill="1" applyBorder="1"/>
    <xf numFmtId="0" fontId="5" fillId="16" borderId="7" xfId="0" applyFont="1" applyFill="1" applyBorder="1" applyAlignment="1">
      <alignment horizontal="center" vertical="center" wrapText="1"/>
    </xf>
    <xf numFmtId="0" fontId="5" fillId="24" borderId="58" xfId="0" applyFont="1" applyFill="1" applyBorder="1" applyAlignment="1">
      <alignment horizontal="center" vertical="center" wrapText="1"/>
    </xf>
    <xf numFmtId="0" fontId="5" fillId="24" borderId="59" xfId="0" applyFont="1" applyFill="1" applyBorder="1" applyAlignment="1">
      <alignment horizontal="center" vertical="center" wrapText="1"/>
    </xf>
    <xf numFmtId="0" fontId="5" fillId="14" borderId="8" xfId="0" applyFont="1" applyFill="1" applyBorder="1" applyAlignment="1">
      <alignment vertical="center" wrapText="1"/>
    </xf>
    <xf numFmtId="0" fontId="5" fillId="14" borderId="33" xfId="0" applyFont="1" applyFill="1" applyBorder="1" applyAlignment="1">
      <alignment vertical="center" wrapText="1"/>
    </xf>
    <xf numFmtId="0" fontId="5" fillId="14" borderId="58" xfId="0" applyFont="1" applyFill="1" applyBorder="1" applyAlignment="1">
      <alignment vertical="center" wrapText="1"/>
    </xf>
    <xf numFmtId="0" fontId="5" fillId="14" borderId="51" xfId="0" applyFont="1" applyFill="1" applyBorder="1" applyAlignment="1">
      <alignment vertical="center" wrapText="1"/>
    </xf>
    <xf numFmtId="0" fontId="0" fillId="0" borderId="12"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27" xfId="0" applyBorder="1" applyAlignment="1">
      <alignment horizontal="center" vertical="center"/>
    </xf>
    <xf numFmtId="0" fontId="68" fillId="0" borderId="0" xfId="0" applyFont="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4" fillId="0" borderId="0" xfId="0" applyFont="1" applyAlignment="1">
      <alignment horizontal="center"/>
    </xf>
    <xf numFmtId="0" fontId="18" fillId="0" borderId="42" xfId="0" applyFont="1" applyBorder="1" applyAlignment="1">
      <alignment horizontal="center"/>
    </xf>
    <xf numFmtId="0" fontId="64" fillId="0" borderId="0" xfId="0" applyFont="1" applyAlignment="1">
      <alignment horizontal="center"/>
    </xf>
    <xf numFmtId="0" fontId="4" fillId="25" borderId="0" xfId="0" applyFont="1" applyFill="1" applyAlignment="1">
      <alignment horizontal="center"/>
    </xf>
    <xf numFmtId="0" fontId="4" fillId="25" borderId="42" xfId="0" applyFont="1" applyFill="1" applyBorder="1" applyAlignment="1">
      <alignment horizontal="center"/>
    </xf>
    <xf numFmtId="0" fontId="7" fillId="0" borderId="0" xfId="0" applyFont="1" applyAlignment="1">
      <alignment horizontal="center" vertical="center"/>
    </xf>
    <xf numFmtId="0" fontId="28" fillId="0" borderId="42" xfId="0" applyFont="1" applyBorder="1" applyAlignment="1">
      <alignment horizontal="center"/>
    </xf>
    <xf numFmtId="0" fontId="4" fillId="25" borderId="43" xfId="0" applyFont="1" applyFill="1" applyBorder="1"/>
    <xf numFmtId="0" fontId="4" fillId="25" borderId="42" xfId="0" applyFont="1" applyFill="1" applyBorder="1"/>
    <xf numFmtId="1" fontId="4" fillId="4" borderId="14" xfId="0" applyNumberFormat="1" applyFont="1" applyFill="1" applyBorder="1" applyAlignment="1">
      <alignment horizontal="center"/>
    </xf>
    <xf numFmtId="1" fontId="4" fillId="4" borderId="11" xfId="0" applyNumberFormat="1" applyFont="1" applyFill="1" applyBorder="1" applyAlignment="1">
      <alignment horizontal="center"/>
    </xf>
    <xf numFmtId="0" fontId="4" fillId="68" borderId="0" xfId="0" applyFont="1" applyFill="1" applyAlignment="1">
      <alignment horizontal="center"/>
    </xf>
    <xf numFmtId="0" fontId="35" fillId="0" borderId="0" xfId="0" applyFont="1" applyAlignment="1">
      <alignment horizontal="center"/>
    </xf>
    <xf numFmtId="0" fontId="4" fillId="0" borderId="13" xfId="0" applyFont="1" applyBorder="1" applyAlignment="1">
      <alignment horizontal="center" vertical="center"/>
    </xf>
    <xf numFmtId="0" fontId="4" fillId="0" borderId="43" xfId="0" applyFont="1" applyBorder="1" applyAlignment="1">
      <alignment horizontal="center" vertical="center"/>
    </xf>
    <xf numFmtId="0" fontId="4" fillId="0" borderId="15"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36" fillId="27" borderId="76" xfId="0" applyFont="1" applyFill="1" applyBorder="1" applyAlignment="1">
      <alignment horizontal="center" vertical="center"/>
    </xf>
    <xf numFmtId="0" fontId="36" fillId="27" borderId="72" xfId="0" applyFont="1" applyFill="1" applyBorder="1" applyAlignment="1">
      <alignment horizontal="center" vertical="center"/>
    </xf>
    <xf numFmtId="0" fontId="36" fillId="27" borderId="32" xfId="0" applyFont="1" applyFill="1" applyBorder="1" applyAlignment="1">
      <alignment horizontal="center" vertical="center"/>
    </xf>
    <xf numFmtId="0" fontId="36" fillId="27" borderId="13" xfId="0" applyFont="1" applyFill="1" applyBorder="1" applyAlignment="1">
      <alignment horizontal="center" vertical="center"/>
    </xf>
    <xf numFmtId="0" fontId="36" fillId="27" borderId="43" xfId="0" applyFont="1" applyFill="1" applyBorder="1" applyAlignment="1">
      <alignment horizontal="center" vertical="center"/>
    </xf>
    <xf numFmtId="0" fontId="36" fillId="27" borderId="15" xfId="0" applyFont="1" applyFill="1" applyBorder="1" applyAlignment="1">
      <alignment horizontal="center" vertical="center"/>
    </xf>
    <xf numFmtId="0" fontId="36" fillId="27" borderId="0" xfId="0" applyFont="1" applyFill="1" applyAlignment="1">
      <alignment horizontal="center" vertical="center"/>
    </xf>
    <xf numFmtId="0" fontId="36" fillId="27" borderId="9" xfId="0" applyFont="1" applyFill="1" applyBorder="1" applyAlignment="1">
      <alignment horizontal="center" vertical="center"/>
    </xf>
    <xf numFmtId="0" fontId="36" fillId="27" borderId="46" xfId="0" applyFont="1" applyFill="1" applyBorder="1" applyAlignment="1">
      <alignment horizontal="center" vertical="center"/>
    </xf>
    <xf numFmtId="0" fontId="36" fillId="27" borderId="74" xfId="0" applyFont="1" applyFill="1" applyBorder="1" applyAlignment="1">
      <alignment horizontal="center" vertical="center"/>
    </xf>
    <xf numFmtId="0" fontId="36" fillId="27" borderId="77" xfId="0" applyFont="1" applyFill="1" applyBorder="1" applyAlignment="1">
      <alignment horizontal="center" vertical="center"/>
    </xf>
    <xf numFmtId="0" fontId="36" fillId="27" borderId="54" xfId="0" applyFont="1" applyFill="1" applyBorder="1" applyAlignment="1">
      <alignment horizontal="center" vertical="center"/>
    </xf>
    <xf numFmtId="0" fontId="36" fillId="27" borderId="2" xfId="0" applyFont="1" applyFill="1" applyBorder="1" applyAlignment="1">
      <alignment horizontal="center" vertical="center"/>
    </xf>
    <xf numFmtId="0" fontId="36" fillId="27" borderId="73" xfId="0" applyFont="1" applyFill="1" applyBorder="1" applyAlignment="1">
      <alignment horizontal="center" vertical="center"/>
    </xf>
    <xf numFmtId="0" fontId="36" fillId="27" borderId="47" xfId="0" applyFont="1" applyFill="1" applyBorder="1" applyAlignment="1">
      <alignment horizontal="center" vertical="center"/>
    </xf>
    <xf numFmtId="0" fontId="36" fillId="27" borderId="4" xfId="0" applyFont="1" applyFill="1" applyBorder="1" applyAlignment="1">
      <alignment horizontal="center" vertical="center"/>
    </xf>
    <xf numFmtId="0" fontId="36" fillId="27" borderId="5" xfId="0" applyFont="1" applyFill="1" applyBorder="1" applyAlignment="1">
      <alignment horizontal="center" vertical="center"/>
    </xf>
    <xf numFmtId="0" fontId="36" fillId="27" borderId="75" xfId="0" applyFont="1" applyFill="1" applyBorder="1" applyAlignment="1">
      <alignment horizontal="center" vertical="center"/>
    </xf>
    <xf numFmtId="9" fontId="4" fillId="0" borderId="6" xfId="2" applyFont="1" applyBorder="1" applyAlignment="1">
      <alignment horizontal="center"/>
    </xf>
    <xf numFmtId="9" fontId="4" fillId="0" borderId="2" xfId="2" applyFont="1" applyBorder="1" applyAlignment="1">
      <alignment horizontal="center"/>
    </xf>
    <xf numFmtId="9" fontId="4" fillId="0" borderId="60" xfId="2" applyFont="1" applyBorder="1" applyAlignment="1">
      <alignment horizontal="center"/>
    </xf>
    <xf numFmtId="9" fontId="4" fillId="0" borderId="0" xfId="2" applyFont="1" applyAlignment="1">
      <alignment horizontal="center"/>
    </xf>
    <xf numFmtId="178" fontId="0" fillId="19" borderId="0" xfId="0" applyNumberFormat="1" applyFill="1" applyAlignment="1">
      <alignment horizontal="center" wrapText="1"/>
    </xf>
    <xf numFmtId="9" fontId="4" fillId="0" borderId="60" xfId="2" applyFont="1" applyBorder="1"/>
    <xf numFmtId="9" fontId="4" fillId="0" borderId="0" xfId="2" applyFont="1"/>
    <xf numFmtId="1" fontId="4" fillId="0" borderId="60" xfId="2" applyNumberFormat="1" applyFont="1" applyBorder="1"/>
    <xf numFmtId="1" fontId="4" fillId="0" borderId="0" xfId="2" applyNumberFormat="1" applyFont="1"/>
    <xf numFmtId="0" fontId="5" fillId="21" borderId="14" xfId="0" applyFont="1" applyFill="1" applyBorder="1" applyAlignment="1">
      <alignment horizontal="left"/>
    </xf>
    <xf numFmtId="0" fontId="5" fillId="21" borderId="16" xfId="0" applyFont="1" applyFill="1" applyBorder="1" applyAlignment="1">
      <alignment horizontal="left"/>
    </xf>
    <xf numFmtId="168" fontId="5" fillId="9" borderId="13" xfId="1" applyNumberFormat="1" applyFont="1" applyFill="1" applyBorder="1" applyAlignment="1">
      <alignment horizontal="center" wrapText="1"/>
    </xf>
    <xf numFmtId="168" fontId="5" fillId="9" borderId="43" xfId="1" applyNumberFormat="1" applyFont="1" applyFill="1" applyBorder="1" applyAlignment="1">
      <alignment horizontal="center" wrapText="1"/>
    </xf>
    <xf numFmtId="168" fontId="5" fillId="22" borderId="43" xfId="1" applyNumberFormat="1" applyFont="1" applyFill="1" applyBorder="1" applyAlignment="1">
      <alignment horizontal="center"/>
    </xf>
    <xf numFmtId="168" fontId="5" fillId="22" borderId="15" xfId="1" applyNumberFormat="1" applyFont="1" applyFill="1" applyBorder="1" applyAlignment="1">
      <alignment horizontal="center"/>
    </xf>
    <xf numFmtId="0" fontId="5" fillId="9" borderId="13" xfId="0" applyFont="1" applyFill="1" applyBorder="1" applyAlignment="1">
      <alignment horizontal="center"/>
    </xf>
    <xf numFmtId="0" fontId="5" fillId="9" borderId="15" xfId="0" applyFont="1" applyFill="1" applyBorder="1" applyAlignment="1">
      <alignment horizontal="center"/>
    </xf>
    <xf numFmtId="168" fontId="5" fillId="9" borderId="7" xfId="1" applyNumberFormat="1" applyFont="1" applyFill="1" applyBorder="1" applyAlignment="1">
      <alignment horizontal="center" wrapText="1"/>
    </xf>
    <xf numFmtId="168" fontId="5" fillId="9" borderId="56" xfId="1" applyNumberFormat="1" applyFont="1" applyFill="1" applyBorder="1" applyAlignment="1">
      <alignment horizontal="center" wrapText="1"/>
    </xf>
    <xf numFmtId="168" fontId="5" fillId="22" borderId="56" xfId="1" applyNumberFormat="1" applyFont="1" applyFill="1" applyBorder="1" applyAlignment="1">
      <alignment horizontal="center"/>
    </xf>
    <xf numFmtId="170" fontId="30" fillId="3" borderId="0" xfId="3" applyNumberFormat="1" applyFont="1" applyFill="1" applyBorder="1" applyAlignment="1" applyProtection="1">
      <alignment horizontal="center"/>
    </xf>
    <xf numFmtId="0" fontId="5" fillId="0" borderId="1" xfId="0" applyFont="1" applyBorder="1" applyAlignment="1">
      <alignment horizontal="center"/>
    </xf>
    <xf numFmtId="0" fontId="4" fillId="5" borderId="2" xfId="0" applyFont="1" applyFill="1" applyBorder="1" applyAlignment="1">
      <alignment horizontal="center" wrapText="1"/>
    </xf>
    <xf numFmtId="0" fontId="30" fillId="3" borderId="0" xfId="3" applyFont="1" applyFill="1" applyBorder="1" applyAlignment="1" applyProtection="1">
      <alignment horizontal="center"/>
    </xf>
    <xf numFmtId="0" fontId="4" fillId="5" borderId="0" xfId="0" applyFont="1" applyFill="1" applyAlignment="1">
      <alignment horizontal="center"/>
    </xf>
    <xf numFmtId="0" fontId="4" fillId="7" borderId="0" xfId="0" applyFont="1" applyFill="1" applyAlignment="1">
      <alignment horizontal="center"/>
    </xf>
    <xf numFmtId="0" fontId="4" fillId="7" borderId="60" xfId="0" applyFont="1" applyFill="1" applyBorder="1" applyAlignment="1">
      <alignment horizontal="center"/>
    </xf>
    <xf numFmtId="0" fontId="4" fillId="13" borderId="1" xfId="0" applyFont="1" applyFill="1" applyBorder="1" applyAlignment="1">
      <alignment horizontal="center" wrapText="1"/>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12" borderId="3" xfId="0" applyFont="1" applyFill="1" applyBorder="1" applyAlignment="1">
      <alignment horizontal="center"/>
    </xf>
    <xf numFmtId="0" fontId="5" fillId="12" borderId="4" xfId="0" applyFont="1" applyFill="1" applyBorder="1" applyAlignment="1">
      <alignment horizontal="center"/>
    </xf>
    <xf numFmtId="170" fontId="20" fillId="3" borderId="0" xfId="3" applyNumberFormat="1" applyFont="1" applyFill="1" applyBorder="1" applyAlignment="1" applyProtection="1">
      <alignment horizontal="center"/>
    </xf>
    <xf numFmtId="170" fontId="5" fillId="12" borderId="2" xfId="0" applyNumberFormat="1" applyFont="1" applyFill="1" applyBorder="1" applyAlignment="1">
      <alignment horizontal="center"/>
    </xf>
    <xf numFmtId="170" fontId="30" fillId="3" borderId="2" xfId="3" applyNumberFormat="1" applyFont="1" applyFill="1" applyBorder="1" applyAlignment="1" applyProtection="1">
      <alignment horizontal="center"/>
    </xf>
    <xf numFmtId="0" fontId="30" fillId="11" borderId="2" xfId="3" applyFont="1" applyFill="1" applyBorder="1" applyAlignment="1" applyProtection="1">
      <alignment horizontal="center"/>
    </xf>
    <xf numFmtId="0" fontId="20" fillId="2" borderId="0" xfId="3" applyFont="1" applyFill="1" applyBorder="1" applyAlignment="1" applyProtection="1">
      <alignment horizontal="center"/>
    </xf>
    <xf numFmtId="0" fontId="5" fillId="4" borderId="2" xfId="0" applyFont="1" applyFill="1" applyBorder="1" applyAlignment="1">
      <alignment horizontal="left" vertic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31" fillId="4" borderId="0" xfId="0" applyFont="1" applyFill="1" applyAlignment="1">
      <alignment horizontal="center"/>
    </xf>
    <xf numFmtId="170" fontId="5" fillId="5" borderId="0" xfId="0" applyNumberFormat="1" applyFont="1" applyFill="1" applyAlignment="1">
      <alignment horizontal="center"/>
    </xf>
    <xf numFmtId="0" fontId="5" fillId="6" borderId="7" xfId="0" applyFont="1" applyFill="1" applyBorder="1" applyAlignment="1">
      <alignment horizontal="center"/>
    </xf>
    <xf numFmtId="0" fontId="5" fillId="6" borderId="18" xfId="0" applyFont="1" applyFill="1" applyBorder="1" applyAlignment="1">
      <alignment horizontal="center"/>
    </xf>
    <xf numFmtId="0" fontId="4" fillId="6" borderId="0" xfId="0" applyFont="1" applyFill="1" applyAlignment="1">
      <alignment horizontal="center"/>
    </xf>
    <xf numFmtId="0" fontId="4" fillId="6" borderId="2" xfId="0" applyFont="1" applyFill="1" applyBorder="1" applyAlignment="1">
      <alignment horizontal="center"/>
    </xf>
    <xf numFmtId="0" fontId="20" fillId="3" borderId="2" xfId="3" applyFont="1" applyFill="1" applyBorder="1" applyAlignment="1" applyProtection="1">
      <alignment horizontal="center"/>
    </xf>
    <xf numFmtId="0" fontId="20" fillId="3" borderId="0" xfId="3" applyFont="1" applyFill="1" applyBorder="1" applyAlignment="1" applyProtection="1">
      <alignment horizontal="center"/>
    </xf>
    <xf numFmtId="170" fontId="5" fillId="5" borderId="2" xfId="0" applyNumberFormat="1" applyFont="1" applyFill="1" applyBorder="1" applyAlignment="1">
      <alignment horizontal="center"/>
    </xf>
    <xf numFmtId="0" fontId="4" fillId="5" borderId="2" xfId="0" applyFont="1" applyFill="1" applyBorder="1" applyAlignment="1">
      <alignment horizontal="center"/>
    </xf>
    <xf numFmtId="0" fontId="4" fillId="12" borderId="3" xfId="0" applyFont="1" applyFill="1" applyBorder="1" applyAlignment="1">
      <alignment horizontal="center"/>
    </xf>
    <xf numFmtId="0" fontId="4" fillId="12" borderId="4" xfId="0" applyFont="1" applyFill="1" applyBorder="1" applyAlignment="1">
      <alignment horizontal="center"/>
    </xf>
    <xf numFmtId="0" fontId="4" fillId="12" borderId="5" xfId="0" applyFont="1" applyFill="1" applyBorder="1" applyAlignment="1">
      <alignment horizontal="center"/>
    </xf>
    <xf numFmtId="0" fontId="30" fillId="3" borderId="2" xfId="3" applyFont="1" applyFill="1" applyBorder="1" applyAlignment="1" applyProtection="1">
      <alignment horizontal="center"/>
    </xf>
    <xf numFmtId="170" fontId="20" fillId="3" borderId="2" xfId="3" applyNumberFormat="1" applyFont="1" applyFill="1" applyBorder="1" applyAlignment="1" applyProtection="1">
      <alignment horizontal="center"/>
    </xf>
    <xf numFmtId="0" fontId="4" fillId="12" borderId="1" xfId="0" applyFont="1" applyFill="1" applyBorder="1" applyAlignment="1">
      <alignment horizontal="center" wrapText="1"/>
    </xf>
    <xf numFmtId="0" fontId="4" fillId="0" borderId="1" xfId="0" applyFont="1" applyBorder="1" applyAlignment="1">
      <alignment horizontal="center"/>
    </xf>
    <xf numFmtId="0" fontId="4" fillId="5" borderId="0" xfId="0" applyFont="1" applyFill="1" applyAlignment="1">
      <alignment horizontal="center" wrapText="1"/>
    </xf>
    <xf numFmtId="170" fontId="4" fillId="0" borderId="0" xfId="0" applyNumberFormat="1" applyFont="1" applyAlignment="1">
      <alignment wrapText="1"/>
    </xf>
    <xf numFmtId="0" fontId="4" fillId="0" borderId="0" xfId="0" applyFont="1" applyAlignment="1">
      <alignment wrapText="1"/>
    </xf>
    <xf numFmtId="170" fontId="5" fillId="12" borderId="2" xfId="0" applyNumberFormat="1" applyFont="1" applyFill="1" applyBorder="1"/>
    <xf numFmtId="170" fontId="4" fillId="5" borderId="0" xfId="0" applyNumberFormat="1" applyFont="1" applyFill="1" applyAlignment="1">
      <alignment horizontal="center" wrapText="1"/>
    </xf>
    <xf numFmtId="0" fontId="4" fillId="4" borderId="2" xfId="0" applyFont="1" applyFill="1" applyBorder="1" applyAlignment="1">
      <alignment horizontal="center" vertical="center"/>
    </xf>
    <xf numFmtId="170" fontId="5" fillId="3" borderId="2" xfId="0" applyNumberFormat="1" applyFont="1" applyFill="1" applyBorder="1" applyAlignment="1">
      <alignment horizontal="center"/>
    </xf>
    <xf numFmtId="0" fontId="5" fillId="3" borderId="2" xfId="0" applyFont="1" applyFill="1" applyBorder="1" applyAlignment="1">
      <alignment horizontal="center"/>
    </xf>
    <xf numFmtId="0" fontId="5" fillId="4" borderId="0" xfId="0" applyFont="1" applyFill="1" applyAlignment="1">
      <alignment horizontal="left"/>
    </xf>
    <xf numFmtId="0" fontId="19" fillId="2" borderId="6" xfId="3" applyFont="1" applyFill="1" applyBorder="1" applyAlignment="1" applyProtection="1">
      <alignment horizontal="center"/>
    </xf>
    <xf numFmtId="0" fontId="19" fillId="2" borderId="2" xfId="3" applyFont="1" applyFill="1" applyBorder="1" applyAlignment="1" applyProtection="1">
      <alignment horizontal="center"/>
    </xf>
    <xf numFmtId="0" fontId="4" fillId="3" borderId="2" xfId="0" applyFont="1" applyFill="1" applyBorder="1" applyAlignment="1">
      <alignment horizontal="center"/>
    </xf>
    <xf numFmtId="0" fontId="19" fillId="2" borderId="0" xfId="3" applyFont="1" applyFill="1" applyBorder="1" applyAlignment="1" applyProtection="1">
      <alignment horizontal="center"/>
    </xf>
    <xf numFmtId="0" fontId="5" fillId="3" borderId="4" xfId="0" applyFont="1" applyFill="1" applyBorder="1" applyAlignment="1">
      <alignment horizontal="center"/>
    </xf>
    <xf numFmtId="0" fontId="4" fillId="3" borderId="4" xfId="0" applyFont="1" applyFill="1" applyBorder="1" applyAlignment="1">
      <alignment horizontal="center"/>
    </xf>
    <xf numFmtId="170" fontId="4" fillId="3" borderId="2" xfId="0" applyNumberFormat="1" applyFont="1" applyFill="1" applyBorder="1" applyAlignment="1">
      <alignment horizontal="center"/>
    </xf>
    <xf numFmtId="0" fontId="5" fillId="3" borderId="0" xfId="0" applyFont="1" applyFill="1" applyAlignment="1">
      <alignment horizontal="center" vertical="center"/>
    </xf>
    <xf numFmtId="0" fontId="30" fillId="3" borderId="0" xfId="3" applyFont="1" applyFill="1" applyAlignment="1" applyProtection="1">
      <alignment horizontal="center" vertical="center"/>
    </xf>
    <xf numFmtId="0" fontId="5" fillId="18" borderId="1" xfId="0" applyFont="1" applyFill="1" applyBorder="1" applyAlignment="1">
      <alignment horizontal="center"/>
    </xf>
    <xf numFmtId="0" fontId="16" fillId="14" borderId="3" xfId="0" applyFont="1" applyFill="1" applyBorder="1" applyAlignment="1">
      <alignment horizontal="left"/>
    </xf>
    <xf numFmtId="0" fontId="16" fillId="14" borderId="5" xfId="0" applyFont="1" applyFill="1" applyBorder="1" applyAlignment="1">
      <alignment horizontal="left"/>
    </xf>
    <xf numFmtId="0" fontId="4" fillId="14" borderId="1" xfId="0" applyFont="1" applyFill="1" applyBorder="1"/>
    <xf numFmtId="0" fontId="16" fillId="14" borderId="1" xfId="0" applyFont="1" applyFill="1" applyBorder="1" applyAlignment="1">
      <alignment horizontal="left"/>
    </xf>
    <xf numFmtId="0" fontId="17" fillId="14" borderId="1" xfId="0" applyFont="1" applyFill="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12" fillId="2" borderId="0" xfId="0" applyFont="1" applyFill="1" applyAlignment="1">
      <alignment horizontal="center"/>
    </xf>
    <xf numFmtId="0" fontId="5" fillId="0" borderId="3" xfId="0" applyFont="1" applyBorder="1"/>
    <xf numFmtId="0" fontId="5" fillId="0" borderId="5" xfId="0" applyFont="1" applyBorder="1"/>
    <xf numFmtId="0" fontId="4" fillId="14" borderId="44" xfId="0" applyFont="1" applyFill="1" applyBorder="1"/>
    <xf numFmtId="0" fontId="1" fillId="18" borderId="3" xfId="0" applyFont="1" applyFill="1" applyBorder="1" applyAlignment="1">
      <alignment horizontal="center"/>
    </xf>
    <xf numFmtId="0" fontId="1" fillId="18" borderId="5" xfId="0" applyFont="1" applyFill="1" applyBorder="1" applyAlignment="1">
      <alignment horizontal="center"/>
    </xf>
    <xf numFmtId="170" fontId="17" fillId="14" borderId="1" xfId="0" applyNumberFormat="1" applyFont="1" applyFill="1" applyBorder="1" applyAlignment="1">
      <alignment horizontal="left"/>
    </xf>
    <xf numFmtId="0" fontId="10" fillId="0" borderId="2" xfId="0" applyFont="1" applyBorder="1" applyAlignment="1">
      <alignment horizontal="center" vertical="center"/>
    </xf>
    <xf numFmtId="0" fontId="36" fillId="31" borderId="0" xfId="8" applyFont="1" applyAlignment="1">
      <alignment horizontal="center"/>
    </xf>
    <xf numFmtId="0" fontId="5" fillId="67" borderId="0" xfId="0" applyFont="1" applyFill="1" applyAlignment="1">
      <alignment horizontal="center"/>
    </xf>
    <xf numFmtId="0" fontId="4" fillId="0" borderId="60" xfId="0" applyFont="1" applyBorder="1" applyAlignment="1">
      <alignment horizontal="center"/>
    </xf>
    <xf numFmtId="0" fontId="73" fillId="23" borderId="0" xfId="0" applyFont="1" applyFill="1" applyAlignment="1">
      <alignment horizontal="center"/>
    </xf>
    <xf numFmtId="0" fontId="0" fillId="23" borderId="0" xfId="0" applyFill="1" applyAlignment="1">
      <alignment horizontal="center"/>
    </xf>
    <xf numFmtId="0" fontId="69" fillId="69" borderId="1" xfId="0" applyFont="1" applyFill="1" applyBorder="1" applyAlignment="1">
      <alignment horizontal="center" vertical="top"/>
    </xf>
    <xf numFmtId="2" fontId="0" fillId="0" borderId="1" xfId="0" applyNumberFormat="1" applyBorder="1"/>
    <xf numFmtId="2" fontId="1" fillId="0" borderId="1" xfId="0" applyNumberFormat="1" applyFont="1" applyBorder="1"/>
    <xf numFmtId="0" fontId="0" fillId="0" borderId="0" xfId="0" applyFill="1" applyAlignment="1">
      <alignment horizontal="center"/>
    </xf>
    <xf numFmtId="0" fontId="74" fillId="23" borderId="0" xfId="0" applyFont="1" applyFill="1" applyAlignment="1">
      <alignment horizontal="center"/>
    </xf>
    <xf numFmtId="0" fontId="75" fillId="23" borderId="0" xfId="0" applyFont="1" applyFill="1" applyAlignment="1">
      <alignment horizontal="center"/>
    </xf>
    <xf numFmtId="171" fontId="75" fillId="23" borderId="42" xfId="0" applyNumberFormat="1" applyFont="1" applyFill="1" applyBorder="1" applyAlignment="1">
      <alignment horizontal="center"/>
    </xf>
    <xf numFmtId="171" fontId="76" fillId="23" borderId="2" xfId="0" applyNumberFormat="1" applyFont="1" applyFill="1" applyBorder="1" applyAlignment="1">
      <alignment horizontal="center"/>
    </xf>
    <xf numFmtId="0" fontId="77" fillId="23" borderId="0" xfId="0" applyFont="1" applyFill="1" applyAlignment="1">
      <alignment horizontal="center"/>
    </xf>
    <xf numFmtId="0" fontId="77" fillId="23" borderId="0" xfId="0" applyFont="1" applyFill="1" applyAlignment="1">
      <alignment horizontal="center"/>
    </xf>
  </cellXfs>
  <cellStyles count="53">
    <cellStyle name="20% - Accent1" xfId="30" builtinId="30" customBuiltin="1"/>
    <cellStyle name="20% - Accent2" xfId="34" builtinId="34" customBuiltin="1"/>
    <cellStyle name="20% - Accent3" xfId="38" builtinId="38" customBuiltin="1"/>
    <cellStyle name="20% - Accent4" xfId="42" builtinId="42" customBuiltin="1"/>
    <cellStyle name="20% - Accent5" xfId="46" builtinId="46" customBuiltin="1"/>
    <cellStyle name="20% - Accent6" xfId="50" builtinId="50" customBuiltin="1"/>
    <cellStyle name="40% - Accent1" xfId="31" builtinId="31" customBuiltin="1"/>
    <cellStyle name="40% - Accent2" xfId="35" builtinId="35" customBuiltin="1"/>
    <cellStyle name="40% - Accent3" xfId="39" builtinId="39" customBuiltin="1"/>
    <cellStyle name="40% - Accent4" xfId="43" builtinId="43" customBuiltin="1"/>
    <cellStyle name="40% - Accent5" xfId="47" builtinId="47" customBuiltin="1"/>
    <cellStyle name="40% - Accent6" xfId="51" builtinId="51" customBuiltin="1"/>
    <cellStyle name="60% - Accent1" xfId="32" builtinId="32" customBuiltin="1"/>
    <cellStyle name="60% - Accent2" xfId="36" builtinId="36" customBuiltin="1"/>
    <cellStyle name="60% - Accent3" xfId="40" builtinId="40" customBuiltin="1"/>
    <cellStyle name="60% - Accent4" xfId="44" builtinId="44" customBuiltin="1"/>
    <cellStyle name="60% - Accent5" xfId="48" builtinId="48" customBuiltin="1"/>
    <cellStyle name="60% - Accent6" xfId="52" builtinId="52" customBuiltin="1"/>
    <cellStyle name="Accent1" xfId="29" builtinId="29" customBuiltin="1"/>
    <cellStyle name="Accent2" xfId="33" builtinId="33" customBuiltin="1"/>
    <cellStyle name="Accent3" xfId="37" builtinId="37" customBuiltin="1"/>
    <cellStyle name="Accent4" xfId="41" builtinId="41" customBuiltin="1"/>
    <cellStyle name="Accent5" xfId="45" builtinId="45" customBuiltin="1"/>
    <cellStyle name="Accent6" xfId="49" builtinId="49" customBuiltin="1"/>
    <cellStyle name="Bad" xfId="18" builtinId="27" customBuiltin="1"/>
    <cellStyle name="Calculation" xfId="22" builtinId="22" customBuiltin="1"/>
    <cellStyle name="Check Cell" xfId="24" builtinId="23" customBuiltin="1"/>
    <cellStyle name="Comma" xfId="1" builtinId="3"/>
    <cellStyle name="Comma 3" xfId="6" xr:uid="{3C727D66-9933-4071-A65B-8DF540B915D5}"/>
    <cellStyle name="Explanatory Text" xfId="27"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Hyperlink" xfId="3" builtinId="8"/>
    <cellStyle name="Input" xfId="20" builtinId="20" customBuiltin="1"/>
    <cellStyle name="item" xfId="9" xr:uid="{D5A5BACE-BB9C-4FFF-A853-3D7A6779FC30}"/>
    <cellStyle name="Linked Cell" xfId="23" builtinId="24" customBuiltin="1"/>
    <cellStyle name="Neutral" xfId="19" builtinId="28" customBuiltin="1"/>
    <cellStyle name="Neutral 2" xfId="11" xr:uid="{D3FAF8F5-309B-493F-AFBB-9554B76AFC9F}"/>
    <cellStyle name="Normal" xfId="0" builtinId="0"/>
    <cellStyle name="Normal 2" xfId="4" xr:uid="{00000000-0005-0000-0000-000003000000}"/>
    <cellStyle name="Note" xfId="26" builtinId="10" customBuiltin="1"/>
    <cellStyle name="Output" xfId="21" builtinId="21" customBuiltin="1"/>
    <cellStyle name="Percent" xfId="2" builtinId="5"/>
    <cellStyle name="Percent 2" xfId="5" xr:uid="{2484DBE3-451D-4B01-ADF3-FE1BD571F8F5}"/>
    <cellStyle name="shbh" xfId="8" xr:uid="{728A3B4E-031E-43D7-964F-0A6F199902B7}"/>
    <cellStyle name="Style 1" xfId="7" xr:uid="{A416030A-A543-4419-A3DF-2D00A2674222}"/>
    <cellStyle name="Style 2" xfId="10" xr:uid="{FC1906D1-BA30-414C-9CD8-938B863C0681}"/>
    <cellStyle name="Title" xfId="12" builtinId="15" customBuiltin="1"/>
    <cellStyle name="Total" xfId="28" builtinId="25" customBuiltin="1"/>
    <cellStyle name="Warning Text" xfId="25" builtinId="11" customBuiltin="1"/>
  </cellStyles>
  <dxfs count="0"/>
  <tableStyles count="1" defaultTableStyle="TableStyleMedium2" defaultPivotStyle="PivotStyleLight16">
    <tableStyle name="Table Style 1" pivot="0" count="0" xr9:uid="{8A095D34-A653-4BA7-80C9-83BA4551E1FE}"/>
  </tableStyles>
  <colors>
    <mruColors>
      <color rgb="FF990000"/>
      <color rgb="FF66FFCC"/>
      <color rgb="FFFF7C80"/>
      <color rgb="FFFFCCFF"/>
      <color rgb="FF00FFCC"/>
      <color rgb="FF99FF99"/>
      <color rgb="FFFFFF66"/>
      <color rgb="FFC3F8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1</xdr:row>
      <xdr:rowOff>19050</xdr:rowOff>
    </xdr:from>
    <xdr:to>
      <xdr:col>4</xdr:col>
      <xdr:colOff>254000</xdr:colOff>
      <xdr:row>10</xdr:row>
      <xdr:rowOff>165100</xdr:rowOff>
    </xdr:to>
    <xdr:pic>
      <xdr:nvPicPr>
        <xdr:cNvPr id="3" name="Picture 2">
          <a:extLst>
            <a:ext uri="{FF2B5EF4-FFF2-40B4-BE49-F238E27FC236}">
              <a16:creationId xmlns:a16="http://schemas.microsoft.com/office/drawing/2014/main" id="{88E7A3D2-144A-497E-9BE7-8EE48643CD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650" y="203200"/>
          <a:ext cx="2571750" cy="1809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prestigeconstruction.com/" TargetMode="External"/><Relationship Id="rId1" Type="http://schemas.openxmlformats.org/officeDocument/2006/relationships/hyperlink" Target="mailto:properties@prestigeconstructions.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E2102-F3F0-4A75-A1A8-1B7927E1F692}">
  <dimension ref="F2:N11"/>
  <sheetViews>
    <sheetView workbookViewId="0">
      <selection activeCell="F2" sqref="F2:N3"/>
    </sheetView>
  </sheetViews>
  <sheetFormatPr defaultRowHeight="14.5" x14ac:dyDescent="0.35"/>
  <cols>
    <col min="8" max="8" width="17.54296875" bestFit="1" customWidth="1"/>
  </cols>
  <sheetData>
    <row r="2" spans="6:14" x14ac:dyDescent="0.35">
      <c r="F2" s="1006" t="s">
        <v>1104</v>
      </c>
      <c r="G2" s="1006"/>
      <c r="H2" s="1006"/>
      <c r="I2" s="1006"/>
      <c r="J2" s="1006"/>
      <c r="K2" s="1006"/>
      <c r="L2" s="1006"/>
      <c r="M2" s="1006"/>
      <c r="N2" s="1006"/>
    </row>
    <row r="3" spans="6:14" x14ac:dyDescent="0.35">
      <c r="F3" s="1006"/>
      <c r="G3" s="1006"/>
      <c r="H3" s="1006"/>
      <c r="I3" s="1006"/>
      <c r="J3" s="1006"/>
      <c r="K3" s="1006"/>
      <c r="L3" s="1006"/>
      <c r="M3" s="1006"/>
      <c r="N3" s="1006"/>
    </row>
    <row r="4" spans="6:14" ht="15" thickBot="1" x14ac:dyDescent="0.4"/>
    <row r="5" spans="6:14" x14ac:dyDescent="0.35">
      <c r="F5" s="1007" t="s">
        <v>1105</v>
      </c>
      <c r="G5" s="1008"/>
      <c r="H5" s="948" t="s">
        <v>1110</v>
      </c>
      <c r="I5" s="944"/>
      <c r="J5" s="944"/>
      <c r="K5" s="944"/>
      <c r="L5" s="944"/>
      <c r="M5" s="945"/>
    </row>
    <row r="6" spans="6:14" x14ac:dyDescent="0.35">
      <c r="F6" s="1004"/>
      <c r="G6" s="1005"/>
      <c r="H6" s="949" t="s">
        <v>1111</v>
      </c>
      <c r="M6" s="335"/>
    </row>
    <row r="7" spans="6:14" x14ac:dyDescent="0.35">
      <c r="F7" s="1004"/>
      <c r="G7" s="1005"/>
      <c r="H7" s="950" t="s">
        <v>1106</v>
      </c>
      <c r="M7" s="335"/>
    </row>
    <row r="8" spans="6:14" x14ac:dyDescent="0.35">
      <c r="F8" s="1004" t="s">
        <v>1108</v>
      </c>
      <c r="G8" s="1005"/>
      <c r="H8" s="951" t="s">
        <v>1107</v>
      </c>
      <c r="M8" s="335"/>
    </row>
    <row r="9" spans="6:14" x14ac:dyDescent="0.35">
      <c r="F9" s="1004" t="s">
        <v>1109</v>
      </c>
      <c r="G9" s="1005"/>
      <c r="H9" s="951" t="s">
        <v>1114</v>
      </c>
      <c r="M9" s="335"/>
    </row>
    <row r="10" spans="6:14" x14ac:dyDescent="0.35">
      <c r="F10" s="1004" t="s">
        <v>1112</v>
      </c>
      <c r="G10" s="1005"/>
      <c r="H10" s="843">
        <v>918025591080</v>
      </c>
      <c r="M10" s="335"/>
    </row>
    <row r="11" spans="6:14" ht="15" thickBot="1" x14ac:dyDescent="0.4">
      <c r="F11" s="1002" t="s">
        <v>1113</v>
      </c>
      <c r="G11" s="1003"/>
      <c r="H11" s="952">
        <v>918025591945</v>
      </c>
      <c r="I11" s="946"/>
      <c r="J11" s="946"/>
      <c r="K11" s="946"/>
      <c r="L11" s="946"/>
      <c r="M11" s="947"/>
    </row>
  </sheetData>
  <mergeCells count="7">
    <mergeCell ref="F11:G11"/>
    <mergeCell ref="F6:G7"/>
    <mergeCell ref="F2:N3"/>
    <mergeCell ref="F5:G5"/>
    <mergeCell ref="F8:G8"/>
    <mergeCell ref="F9:G9"/>
    <mergeCell ref="F10:G10"/>
  </mergeCells>
  <hyperlinks>
    <hyperlink ref="H8" r:id="rId1" display="mailto:properties@prestigeconstructions.com" xr:uid="{FF98AD36-5D86-408E-8607-2203C8B8406B}"/>
    <hyperlink ref="H9" r:id="rId2" xr:uid="{6057DF42-B76A-476C-9946-E4126BDEF068}"/>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49A85-67B8-4439-A076-2667F78C1459}">
  <dimension ref="B2:F53"/>
  <sheetViews>
    <sheetView tabSelected="1" workbookViewId="0">
      <selection activeCell="B2" sqref="B2:F2"/>
    </sheetView>
  </sheetViews>
  <sheetFormatPr defaultRowHeight="14.5" x14ac:dyDescent="0.35"/>
  <cols>
    <col min="2" max="2" width="55.90625" bestFit="1" customWidth="1"/>
    <col min="3" max="6" width="9.81640625" bestFit="1" customWidth="1"/>
  </cols>
  <sheetData>
    <row r="2" spans="2:6" ht="19" thickBot="1" x14ac:dyDescent="0.5">
      <c r="B2" s="1149" t="s">
        <v>1154</v>
      </c>
      <c r="C2" s="1149"/>
      <c r="D2" s="1149"/>
      <c r="E2" s="1149"/>
      <c r="F2" s="1149"/>
    </row>
    <row r="3" spans="2:6" ht="15" thickBot="1" x14ac:dyDescent="0.4">
      <c r="B3" s="964" t="s">
        <v>29</v>
      </c>
      <c r="C3" s="978">
        <v>2016</v>
      </c>
      <c r="D3" s="978">
        <v>2017</v>
      </c>
      <c r="E3" s="978">
        <v>2018</v>
      </c>
      <c r="F3" s="979">
        <v>2019</v>
      </c>
    </row>
    <row r="4" spans="2:6" x14ac:dyDescent="0.35">
      <c r="B4" s="961" t="s">
        <v>1155</v>
      </c>
      <c r="C4" s="962"/>
      <c r="D4" s="962"/>
      <c r="E4" s="962"/>
      <c r="F4" s="963"/>
    </row>
    <row r="5" spans="2:6" x14ac:dyDescent="0.35">
      <c r="B5" s="959" t="s">
        <v>1156</v>
      </c>
      <c r="C5" s="955">
        <v>177951.46</v>
      </c>
      <c r="D5" s="955">
        <v>182460.7</v>
      </c>
      <c r="E5" s="955">
        <v>161985.31</v>
      </c>
      <c r="F5" s="960">
        <v>198156.05</v>
      </c>
    </row>
    <row r="6" spans="2:6" ht="15" thickBot="1" x14ac:dyDescent="0.4">
      <c r="B6" s="967" t="s">
        <v>1157</v>
      </c>
      <c r="C6" s="968">
        <v>3023.58</v>
      </c>
      <c r="D6" s="968">
        <v>4716.91</v>
      </c>
      <c r="E6" s="968">
        <v>5562.32</v>
      </c>
      <c r="F6" s="969">
        <v>8513.39</v>
      </c>
    </row>
    <row r="7" spans="2:6" ht="15" thickBot="1" x14ac:dyDescent="0.4">
      <c r="B7" s="964" t="s">
        <v>1158</v>
      </c>
      <c r="C7" s="965">
        <v>180975.04</v>
      </c>
      <c r="D7" s="965">
        <v>187177.61</v>
      </c>
      <c r="E7" s="965">
        <v>167547.63</v>
      </c>
      <c r="F7" s="966">
        <v>206669.44</v>
      </c>
    </row>
    <row r="8" spans="2:6" x14ac:dyDescent="0.35">
      <c r="B8" s="961" t="s">
        <v>0</v>
      </c>
      <c r="C8" s="962"/>
      <c r="D8" s="962"/>
      <c r="E8" s="962"/>
      <c r="F8" s="963"/>
    </row>
    <row r="9" spans="2:6" x14ac:dyDescent="0.35">
      <c r="B9" s="959" t="s">
        <v>1159</v>
      </c>
      <c r="C9" s="956">
        <v>43312.86</v>
      </c>
      <c r="D9" s="956">
        <v>28272.880000000001</v>
      </c>
      <c r="E9" s="956">
        <v>17688.189999999999</v>
      </c>
      <c r="F9" s="958">
        <v>46090.21</v>
      </c>
    </row>
    <row r="10" spans="2:6" x14ac:dyDescent="0.35">
      <c r="B10" s="959" t="s">
        <v>1160</v>
      </c>
      <c r="C10" s="956">
        <v>-14835.24</v>
      </c>
      <c r="D10" s="956">
        <v>-3608.71</v>
      </c>
      <c r="E10" s="956">
        <v>-4497.78</v>
      </c>
      <c r="F10" s="958">
        <v>-24200.7</v>
      </c>
    </row>
    <row r="11" spans="2:6" x14ac:dyDescent="0.35">
      <c r="B11" s="959" t="s">
        <v>1161</v>
      </c>
      <c r="C11" s="956">
        <v>12442.29</v>
      </c>
      <c r="D11" s="956">
        <v>14026.05</v>
      </c>
      <c r="E11" s="956">
        <v>14727.24</v>
      </c>
      <c r="F11" s="958">
        <v>16150.29</v>
      </c>
    </row>
    <row r="12" spans="2:6" x14ac:dyDescent="0.35">
      <c r="B12" s="959" t="s">
        <v>1162</v>
      </c>
      <c r="C12" s="956">
        <v>17728.21</v>
      </c>
      <c r="D12" s="956">
        <v>19530.73</v>
      </c>
      <c r="E12" s="956">
        <v>19828.16</v>
      </c>
      <c r="F12" s="958">
        <v>20423.2</v>
      </c>
    </row>
    <row r="13" spans="2:6" x14ac:dyDescent="0.35">
      <c r="B13" s="959" t="s">
        <v>416</v>
      </c>
      <c r="C13" s="956">
        <v>44246.45</v>
      </c>
      <c r="D13" s="956">
        <v>42302.52</v>
      </c>
      <c r="E13" s="956">
        <v>34760.730000000003</v>
      </c>
      <c r="F13" s="958">
        <v>35057.910000000003</v>
      </c>
    </row>
    <row r="14" spans="2:6" ht="15" thickBot="1" x14ac:dyDescent="0.4">
      <c r="B14" s="967" t="s">
        <v>1163</v>
      </c>
      <c r="C14" s="968">
        <v>58341.53</v>
      </c>
      <c r="D14" s="968">
        <v>59076.98</v>
      </c>
      <c r="E14" s="968">
        <v>56301.4</v>
      </c>
      <c r="F14" s="969">
        <v>60802.26</v>
      </c>
    </row>
    <row r="15" spans="2:6" ht="15" thickBot="1" x14ac:dyDescent="0.4">
      <c r="B15" s="964" t="s">
        <v>1164</v>
      </c>
      <c r="C15" s="965">
        <v>161236.1</v>
      </c>
      <c r="D15" s="965">
        <v>159600.46</v>
      </c>
      <c r="E15" s="965">
        <v>138807.94</v>
      </c>
      <c r="F15" s="966">
        <v>154323.17000000001</v>
      </c>
    </row>
    <row r="16" spans="2:6" ht="15" thickBot="1" x14ac:dyDescent="0.4">
      <c r="B16" s="964" t="s">
        <v>1165</v>
      </c>
      <c r="C16" s="965">
        <v>19738.939999999999</v>
      </c>
      <c r="D16" s="965">
        <v>27577.15</v>
      </c>
      <c r="E16" s="965">
        <v>28739.69</v>
      </c>
      <c r="F16" s="966">
        <v>52346.27</v>
      </c>
    </row>
    <row r="17" spans="2:6" ht="15" thickBot="1" x14ac:dyDescent="0.4">
      <c r="B17" s="972" t="s">
        <v>1166</v>
      </c>
      <c r="C17" s="973">
        <v>-3872.74</v>
      </c>
      <c r="D17" s="973">
        <v>0</v>
      </c>
      <c r="E17" s="973">
        <v>0</v>
      </c>
      <c r="F17" s="974">
        <v>4809.8900000000003</v>
      </c>
    </row>
    <row r="18" spans="2:6" ht="15" thickBot="1" x14ac:dyDescent="0.4">
      <c r="B18" s="964" t="s">
        <v>1167</v>
      </c>
      <c r="C18" s="965">
        <v>15866.2</v>
      </c>
      <c r="D18" s="965">
        <v>27577.15</v>
      </c>
      <c r="E18" s="965">
        <v>28739.69</v>
      </c>
      <c r="F18" s="966">
        <v>57156.160000000003</v>
      </c>
    </row>
    <row r="19" spans="2:6" x14ac:dyDescent="0.35">
      <c r="B19" s="961" t="s">
        <v>1168</v>
      </c>
      <c r="C19" s="962"/>
      <c r="D19" s="962"/>
      <c r="E19" s="962"/>
      <c r="F19" s="963"/>
    </row>
    <row r="20" spans="2:6" x14ac:dyDescent="0.35">
      <c r="B20" s="959" t="s">
        <v>1169</v>
      </c>
      <c r="C20" s="956">
        <v>10696.82</v>
      </c>
      <c r="D20" s="956">
        <v>7925.16</v>
      </c>
      <c r="E20" s="956">
        <v>6872.2</v>
      </c>
      <c r="F20" s="958">
        <v>10911.18</v>
      </c>
    </row>
    <row r="21" spans="2:6" x14ac:dyDescent="0.35">
      <c r="B21" s="959" t="s">
        <v>1170</v>
      </c>
      <c r="C21" s="956">
        <v>-3026.63</v>
      </c>
      <c r="D21" s="956">
        <v>744.24</v>
      </c>
      <c r="E21" s="956">
        <v>698.81</v>
      </c>
      <c r="F21" s="958">
        <v>16.690000000000001</v>
      </c>
    </row>
    <row r="22" spans="2:6" x14ac:dyDescent="0.35">
      <c r="B22" s="959" t="s">
        <v>1171</v>
      </c>
      <c r="C22" s="956"/>
      <c r="D22" s="956"/>
      <c r="E22" s="956"/>
      <c r="F22" s="958"/>
    </row>
    <row r="23" spans="2:6" ht="15" thickBot="1" x14ac:dyDescent="0.4">
      <c r="B23" s="967" t="s">
        <v>1172</v>
      </c>
      <c r="C23" s="968">
        <v>-1.2</v>
      </c>
      <c r="D23" s="968">
        <v>-93.64</v>
      </c>
      <c r="E23" s="968">
        <v>8.58</v>
      </c>
      <c r="F23" s="969">
        <v>59.43</v>
      </c>
    </row>
    <row r="24" spans="2:6" ht="15" thickBot="1" x14ac:dyDescent="0.4">
      <c r="B24" s="980"/>
      <c r="C24" s="965">
        <f>SUM(C20:C23)</f>
        <v>7668.99</v>
      </c>
      <c r="D24" s="965">
        <f>SUM(D20:D23)</f>
        <v>8575.76</v>
      </c>
      <c r="E24" s="965">
        <v>7579.59</v>
      </c>
      <c r="F24" s="966">
        <v>10987.3</v>
      </c>
    </row>
    <row r="25" spans="2:6" x14ac:dyDescent="0.35">
      <c r="B25" s="961" t="s">
        <v>1173</v>
      </c>
      <c r="C25" s="970">
        <v>8197.2099999999991</v>
      </c>
      <c r="D25" s="970">
        <v>19001.400000000001</v>
      </c>
      <c r="E25" s="970">
        <v>21160.1</v>
      </c>
      <c r="F25" s="971">
        <v>46168.86</v>
      </c>
    </row>
    <row r="26" spans="2:6" ht="15" thickBot="1" x14ac:dyDescent="0.4">
      <c r="B26" s="967" t="s">
        <v>1174</v>
      </c>
      <c r="C26" s="968">
        <v>167.98</v>
      </c>
      <c r="D26" s="968">
        <v>95.07</v>
      </c>
      <c r="E26" s="968">
        <v>4423.01</v>
      </c>
      <c r="F26" s="969">
        <v>3530.68</v>
      </c>
    </row>
    <row r="27" spans="2:6" ht="15" thickBot="1" x14ac:dyDescent="0.4">
      <c r="B27" s="964" t="s">
        <v>1175</v>
      </c>
      <c r="C27" s="965">
        <v>8365.19</v>
      </c>
      <c r="D27" s="965">
        <v>19096.47</v>
      </c>
      <c r="E27" s="965">
        <v>25583.11</v>
      </c>
      <c r="F27" s="966">
        <v>49699.54</v>
      </c>
    </row>
    <row r="28" spans="2:6" x14ac:dyDescent="0.35">
      <c r="B28" s="961" t="s">
        <v>1176</v>
      </c>
      <c r="C28" s="962"/>
      <c r="D28" s="962"/>
      <c r="E28" s="962"/>
      <c r="F28" s="963"/>
    </row>
    <row r="29" spans="2:6" x14ac:dyDescent="0.35">
      <c r="B29" s="957" t="s">
        <v>1177</v>
      </c>
      <c r="C29" s="956"/>
      <c r="D29" s="956"/>
      <c r="E29" s="956"/>
      <c r="F29" s="958"/>
    </row>
    <row r="30" spans="2:6" x14ac:dyDescent="0.35">
      <c r="B30" s="959" t="s">
        <v>1178</v>
      </c>
      <c r="C30" s="956">
        <v>152.97999999999999</v>
      </c>
      <c r="D30" s="956">
        <v>-18.02</v>
      </c>
      <c r="E30" s="956">
        <v>16.760000000000002</v>
      </c>
      <c r="F30" s="958">
        <v>-75.67</v>
      </c>
    </row>
    <row r="31" spans="2:6" x14ac:dyDescent="0.35">
      <c r="B31" s="959" t="s">
        <v>1179</v>
      </c>
      <c r="C31" s="956">
        <v>-51.34</v>
      </c>
      <c r="D31" s="956">
        <v>-53.79</v>
      </c>
      <c r="E31" s="956">
        <v>10893.58</v>
      </c>
      <c r="F31" s="958">
        <v>-4432.04</v>
      </c>
    </row>
    <row r="32" spans="2:6" x14ac:dyDescent="0.35">
      <c r="B32" s="959" t="s">
        <v>1180</v>
      </c>
      <c r="C32" s="956"/>
      <c r="D32" s="956"/>
      <c r="E32" s="956"/>
      <c r="F32" s="958"/>
    </row>
    <row r="33" spans="2:6" x14ac:dyDescent="0.35">
      <c r="B33" s="959" t="s">
        <v>1181</v>
      </c>
      <c r="C33" s="956">
        <v>0</v>
      </c>
      <c r="D33" s="956">
        <v>0</v>
      </c>
      <c r="E33" s="956">
        <v>1741.76</v>
      </c>
      <c r="F33" s="958">
        <v>6218.09</v>
      </c>
    </row>
    <row r="34" spans="2:6" x14ac:dyDescent="0.35">
      <c r="B34" s="959" t="s">
        <v>1182</v>
      </c>
      <c r="C34" s="956">
        <v>0</v>
      </c>
      <c r="D34" s="956">
        <v>0</v>
      </c>
      <c r="E34" s="956">
        <v>0</v>
      </c>
      <c r="F34" s="958">
        <v>36.99</v>
      </c>
    </row>
    <row r="35" spans="2:6" x14ac:dyDescent="0.35">
      <c r="B35" s="957" t="s">
        <v>1183</v>
      </c>
      <c r="C35" s="956">
        <v>-8.0500000000000007</v>
      </c>
      <c r="D35" s="956">
        <v>10.3</v>
      </c>
      <c r="E35" s="956">
        <v>1.68</v>
      </c>
      <c r="F35" s="958">
        <v>-71.819999999999993</v>
      </c>
    </row>
    <row r="36" spans="2:6" ht="15" thickBot="1" x14ac:dyDescent="0.4">
      <c r="B36" s="981" t="s">
        <v>1184</v>
      </c>
      <c r="C36" s="968"/>
      <c r="D36" s="968"/>
      <c r="E36" s="968"/>
      <c r="F36" s="969"/>
    </row>
    <row r="37" spans="2:6" ht="15" thickBot="1" x14ac:dyDescent="0.4">
      <c r="B37" s="964" t="s">
        <v>1185</v>
      </c>
      <c r="C37" s="965">
        <v>93.6</v>
      </c>
      <c r="D37" s="965">
        <v>-61.51</v>
      </c>
      <c r="E37" s="965">
        <v>12653.78</v>
      </c>
      <c r="F37" s="966">
        <v>1675.55</v>
      </c>
    </row>
    <row r="38" spans="2:6" ht="15" thickBot="1" x14ac:dyDescent="0.4">
      <c r="B38" s="964">
        <v>5</v>
      </c>
      <c r="C38" s="965">
        <v>8458.7800000000007</v>
      </c>
      <c r="D38" s="965">
        <v>19034.96</v>
      </c>
      <c r="E38" s="965">
        <v>38236.89</v>
      </c>
      <c r="F38" s="966">
        <v>51375.09</v>
      </c>
    </row>
    <row r="39" spans="2:6" x14ac:dyDescent="0.35">
      <c r="B39" s="961" t="s">
        <v>1186</v>
      </c>
      <c r="C39" s="962"/>
      <c r="D39" s="962"/>
      <c r="E39" s="962"/>
      <c r="F39" s="963"/>
    </row>
    <row r="40" spans="2:6" x14ac:dyDescent="0.35">
      <c r="B40" s="959" t="s">
        <v>1187</v>
      </c>
      <c r="C40" s="956">
        <v>12892.96</v>
      </c>
      <c r="D40" s="956">
        <v>16792.13</v>
      </c>
      <c r="E40" s="956">
        <v>24236.46</v>
      </c>
      <c r="F40" s="958">
        <v>42101.78</v>
      </c>
    </row>
    <row r="41" spans="2:6" x14ac:dyDescent="0.35">
      <c r="B41" s="959" t="s">
        <v>1188</v>
      </c>
      <c r="C41" s="956">
        <v>-4527.7700000000004</v>
      </c>
      <c r="D41" s="956">
        <v>2304.33</v>
      </c>
      <c r="E41" s="956">
        <v>1346.65</v>
      </c>
      <c r="F41" s="958">
        <v>7597.76</v>
      </c>
    </row>
    <row r="42" spans="2:6" x14ac:dyDescent="0.35">
      <c r="B42" s="957" t="s">
        <v>1189</v>
      </c>
      <c r="C42" s="956"/>
      <c r="D42" s="956"/>
      <c r="E42" s="956"/>
      <c r="F42" s="958"/>
    </row>
    <row r="43" spans="2:6" x14ac:dyDescent="0.35">
      <c r="B43" s="959" t="s">
        <v>1187</v>
      </c>
      <c r="C43" s="956">
        <v>56.92</v>
      </c>
      <c r="D43" s="956">
        <v>-57.11</v>
      </c>
      <c r="E43" s="956">
        <v>12648.6</v>
      </c>
      <c r="F43" s="958">
        <v>1689.65</v>
      </c>
    </row>
    <row r="44" spans="2:6" x14ac:dyDescent="0.35">
      <c r="B44" s="959" t="s">
        <v>1188</v>
      </c>
      <c r="C44" s="956">
        <v>36.68</v>
      </c>
      <c r="D44" s="956">
        <v>-4.4000000000000004</v>
      </c>
      <c r="E44" s="956">
        <v>5.18</v>
      </c>
      <c r="F44" s="958">
        <v>-14.1</v>
      </c>
    </row>
    <row r="45" spans="2:6" x14ac:dyDescent="0.35">
      <c r="B45" s="957" t="s">
        <v>1190</v>
      </c>
      <c r="C45" s="956"/>
      <c r="D45" s="956"/>
      <c r="E45" s="956"/>
      <c r="F45" s="958"/>
    </row>
    <row r="46" spans="2:6" x14ac:dyDescent="0.35">
      <c r="B46" s="959" t="s">
        <v>1187</v>
      </c>
      <c r="C46" s="956">
        <v>12949.88</v>
      </c>
      <c r="D46" s="956">
        <v>16735.02</v>
      </c>
      <c r="E46" s="956">
        <v>36885.06</v>
      </c>
      <c r="F46" s="958">
        <v>43791.43</v>
      </c>
    </row>
    <row r="47" spans="2:6" x14ac:dyDescent="0.35">
      <c r="B47" s="959" t="s">
        <v>1188</v>
      </c>
      <c r="C47" s="956">
        <v>-4491.09</v>
      </c>
      <c r="D47" s="956">
        <v>2299.9299999999998</v>
      </c>
      <c r="E47" s="956">
        <v>1351.83</v>
      </c>
      <c r="F47" s="958">
        <v>7583.66</v>
      </c>
    </row>
    <row r="48" spans="2:6" x14ac:dyDescent="0.35">
      <c r="B48" s="957" t="s">
        <v>1191</v>
      </c>
      <c r="C48" s="956"/>
      <c r="D48" s="956"/>
      <c r="E48" s="956"/>
      <c r="F48" s="958"/>
    </row>
    <row r="49" spans="2:6" x14ac:dyDescent="0.35">
      <c r="B49" s="959" t="s">
        <v>125</v>
      </c>
      <c r="C49" s="956">
        <v>8.56</v>
      </c>
      <c r="D49" s="956">
        <v>10.97</v>
      </c>
      <c r="E49" s="956">
        <v>15.83</v>
      </c>
      <c r="F49" s="958">
        <v>27.48</v>
      </c>
    </row>
    <row r="50" spans="2:6" x14ac:dyDescent="0.35">
      <c r="B50" s="959" t="s">
        <v>126</v>
      </c>
      <c r="C50" s="956">
        <v>8.56</v>
      </c>
      <c r="D50" s="956">
        <v>10.97</v>
      </c>
      <c r="E50" s="956">
        <v>15.77</v>
      </c>
      <c r="F50" s="958">
        <v>27.4</v>
      </c>
    </row>
    <row r="51" spans="2:6" x14ac:dyDescent="0.35">
      <c r="B51" s="959"/>
      <c r="C51" s="956"/>
      <c r="D51" s="956"/>
      <c r="E51" s="956"/>
      <c r="F51" s="958"/>
    </row>
    <row r="52" spans="2:6" x14ac:dyDescent="0.35">
      <c r="B52" s="959" t="s">
        <v>1192</v>
      </c>
      <c r="C52" s="956">
        <v>7264.76</v>
      </c>
      <c r="D52" s="956">
        <v>828.6</v>
      </c>
      <c r="E52" s="956">
        <v>4418.68</v>
      </c>
      <c r="F52" s="958">
        <v>4801.75</v>
      </c>
    </row>
    <row r="53" spans="2:6" ht="15" thickBot="1" x14ac:dyDescent="0.4">
      <c r="B53" s="975"/>
      <c r="C53" s="976"/>
      <c r="D53" s="976"/>
      <c r="E53" s="976"/>
      <c r="F53" s="977"/>
    </row>
  </sheetData>
  <mergeCells count="1">
    <mergeCell ref="B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EF9B3-B8FA-4572-B555-EEAE6074381D}">
  <dimension ref="B2:F60"/>
  <sheetViews>
    <sheetView workbookViewId="0">
      <selection activeCell="B2" sqref="B2:F2"/>
    </sheetView>
  </sheetViews>
  <sheetFormatPr defaultRowHeight="14.5" x14ac:dyDescent="0.35"/>
  <cols>
    <col min="2" max="2" width="37.90625" bestFit="1" customWidth="1"/>
    <col min="3" max="6" width="10.453125" bestFit="1" customWidth="1"/>
  </cols>
  <sheetData>
    <row r="2" spans="2:6" ht="18.5" x14ac:dyDescent="0.45">
      <c r="B2" s="1150" t="s">
        <v>1193</v>
      </c>
      <c r="C2" s="1150"/>
      <c r="D2" s="1150"/>
      <c r="E2" s="1150"/>
      <c r="F2" s="1150"/>
    </row>
    <row r="3" spans="2:6" x14ac:dyDescent="0.35">
      <c r="B3" s="982" t="s">
        <v>29</v>
      </c>
      <c r="C3" s="982">
        <v>2016</v>
      </c>
      <c r="D3" s="982">
        <v>2017</v>
      </c>
      <c r="E3" s="982">
        <v>2018</v>
      </c>
      <c r="F3" s="982">
        <v>2019</v>
      </c>
    </row>
    <row r="4" spans="2:6" x14ac:dyDescent="0.35">
      <c r="B4" s="982" t="s">
        <v>1175</v>
      </c>
      <c r="C4" s="982">
        <v>8365.19</v>
      </c>
      <c r="D4" s="982">
        <v>19096.47</v>
      </c>
      <c r="E4" s="982">
        <v>25583.11</v>
      </c>
      <c r="F4" s="982">
        <v>49699.54</v>
      </c>
    </row>
    <row r="5" spans="2:6" x14ac:dyDescent="0.35">
      <c r="B5" s="983" t="s">
        <v>1174</v>
      </c>
      <c r="C5" s="983">
        <v>-167.98</v>
      </c>
      <c r="D5" s="983">
        <v>-95.07</v>
      </c>
      <c r="E5" s="983">
        <v>-4423.01</v>
      </c>
      <c r="F5" s="983">
        <v>-3530.68</v>
      </c>
    </row>
    <row r="6" spans="2:6" x14ac:dyDescent="0.35">
      <c r="B6" s="982" t="s">
        <v>1194</v>
      </c>
      <c r="C6" s="982">
        <v>8197.2100000000009</v>
      </c>
      <c r="D6" s="982">
        <v>19001.400000000001</v>
      </c>
      <c r="E6" s="982">
        <v>21160.1</v>
      </c>
      <c r="F6" s="982">
        <v>46168.86</v>
      </c>
    </row>
    <row r="7" spans="2:6" x14ac:dyDescent="0.35">
      <c r="B7" s="983" t="s">
        <v>1157</v>
      </c>
      <c r="C7" s="983">
        <v>-3023.58</v>
      </c>
      <c r="D7" s="983">
        <v>-4716.91</v>
      </c>
      <c r="E7" s="983">
        <v>-5562.32</v>
      </c>
      <c r="F7" s="983">
        <v>-8513.39</v>
      </c>
    </row>
    <row r="8" spans="2:6" x14ac:dyDescent="0.35">
      <c r="B8" s="983" t="s">
        <v>1162</v>
      </c>
      <c r="C8" s="983">
        <v>17728.21</v>
      </c>
      <c r="D8" s="983">
        <v>19530.73</v>
      </c>
      <c r="E8" s="983">
        <v>19828.16</v>
      </c>
      <c r="F8" s="983">
        <v>20423.2</v>
      </c>
    </row>
    <row r="9" spans="2:6" x14ac:dyDescent="0.35">
      <c r="B9" s="983" t="s">
        <v>416</v>
      </c>
      <c r="C9" s="983">
        <v>44246.45</v>
      </c>
      <c r="D9" s="983">
        <v>42302.52</v>
      </c>
      <c r="E9" s="983">
        <v>34760.730000000003</v>
      </c>
      <c r="F9" s="983">
        <v>35057.910000000003</v>
      </c>
    </row>
    <row r="10" spans="2:6" x14ac:dyDescent="0.35">
      <c r="B10" s="982" t="s">
        <v>1195</v>
      </c>
      <c r="C10" s="982">
        <v>67148.289999999994</v>
      </c>
      <c r="D10" s="982">
        <v>76117.739999999991</v>
      </c>
      <c r="E10" s="982">
        <v>70186.670000000013</v>
      </c>
      <c r="F10" s="982">
        <v>93136.58</v>
      </c>
    </row>
    <row r="11" spans="2:6" x14ac:dyDescent="0.35">
      <c r="B11" s="983" t="s">
        <v>1128</v>
      </c>
      <c r="C11" s="983">
        <v>-1629.1800000000003</v>
      </c>
      <c r="D11" s="983">
        <v>1989.5100000000002</v>
      </c>
      <c r="E11" s="983">
        <v>-1425.5100000000002</v>
      </c>
      <c r="F11" s="983">
        <v>44.559999999999491</v>
      </c>
    </row>
    <row r="12" spans="2:6" x14ac:dyDescent="0.35">
      <c r="B12" s="983" t="s">
        <v>419</v>
      </c>
      <c r="C12" s="983">
        <v>-14565.330000000002</v>
      </c>
      <c r="D12" s="983">
        <v>37846.520000000004</v>
      </c>
      <c r="E12" s="983">
        <v>28400.149999999994</v>
      </c>
      <c r="F12" s="983">
        <v>-23715.339999999997</v>
      </c>
    </row>
    <row r="13" spans="2:6" x14ac:dyDescent="0.35">
      <c r="B13" s="983" t="s">
        <v>1130</v>
      </c>
      <c r="C13" s="983">
        <v>-6607.09</v>
      </c>
      <c r="D13" s="983">
        <v>13157.31</v>
      </c>
      <c r="E13" s="983">
        <v>1785.8199999999997</v>
      </c>
      <c r="F13" s="983">
        <v>-6637.0500000000011</v>
      </c>
    </row>
    <row r="14" spans="2:6" x14ac:dyDescent="0.35">
      <c r="B14" s="983" t="s">
        <v>1133</v>
      </c>
      <c r="C14" s="983">
        <v>-5368.7799999999988</v>
      </c>
      <c r="D14" s="983">
        <v>1662.8799999999992</v>
      </c>
      <c r="E14" s="983">
        <v>2915.51</v>
      </c>
      <c r="F14" s="983">
        <v>-10.800000000001091</v>
      </c>
    </row>
    <row r="15" spans="2:6" x14ac:dyDescent="0.35">
      <c r="B15" s="983" t="s">
        <v>423</v>
      </c>
      <c r="C15" s="983">
        <v>1592.8400000000001</v>
      </c>
      <c r="D15" s="983">
        <v>-1329.9000000000015</v>
      </c>
      <c r="E15" s="983">
        <v>173.81999999999971</v>
      </c>
      <c r="F15" s="983">
        <v>3826.2900000000009</v>
      </c>
    </row>
    <row r="16" spans="2:6" x14ac:dyDescent="0.35">
      <c r="B16" s="983" t="s">
        <v>1143</v>
      </c>
      <c r="C16" s="983">
        <v>1235.1100000000001</v>
      </c>
      <c r="D16" s="983">
        <v>-3548.13</v>
      </c>
      <c r="E16" s="983">
        <v>18.079999999999998</v>
      </c>
      <c r="F16" s="983">
        <v>15.130000000000003</v>
      </c>
    </row>
    <row r="17" spans="2:6" x14ac:dyDescent="0.35">
      <c r="B17" s="983" t="s">
        <v>1146</v>
      </c>
      <c r="C17" s="983">
        <v>-171.28</v>
      </c>
      <c r="D17" s="983">
        <v>542.96</v>
      </c>
      <c r="E17" s="983">
        <v>-540.43000000000006</v>
      </c>
      <c r="F17" s="983">
        <v>192.95000000000002</v>
      </c>
    </row>
    <row r="18" spans="2:6" x14ac:dyDescent="0.35">
      <c r="B18" s="982" t="s">
        <v>1196</v>
      </c>
      <c r="C18" s="982">
        <v>41634.579999999987</v>
      </c>
      <c r="D18" s="982">
        <v>126438.89</v>
      </c>
      <c r="E18" s="982">
        <v>101514.11</v>
      </c>
      <c r="F18" s="982">
        <v>66852.319999999992</v>
      </c>
    </row>
    <row r="19" spans="2:6" x14ac:dyDescent="0.35">
      <c r="B19" s="983"/>
      <c r="C19" s="983"/>
      <c r="D19" s="983"/>
      <c r="E19" s="983"/>
      <c r="F19" s="983"/>
    </row>
    <row r="20" spans="2:6" x14ac:dyDescent="0.35">
      <c r="B20" s="982" t="s">
        <v>1197</v>
      </c>
      <c r="C20" s="983"/>
      <c r="D20" s="983"/>
      <c r="E20" s="983"/>
      <c r="F20" s="983"/>
    </row>
    <row r="21" spans="2:6" x14ac:dyDescent="0.35">
      <c r="B21" s="983" t="s">
        <v>1157</v>
      </c>
      <c r="C21" s="983">
        <v>3023.58</v>
      </c>
      <c r="D21" s="983">
        <v>4716.91</v>
      </c>
      <c r="E21" s="983">
        <v>5562.32</v>
      </c>
      <c r="F21" s="983">
        <v>8513.39</v>
      </c>
    </row>
    <row r="22" spans="2:6" x14ac:dyDescent="0.35">
      <c r="B22" s="983" t="s">
        <v>1174</v>
      </c>
      <c r="C22" s="983">
        <v>167.98</v>
      </c>
      <c r="D22" s="983">
        <v>95.07</v>
      </c>
      <c r="E22" s="983">
        <v>4423.01</v>
      </c>
      <c r="F22" s="983">
        <v>3530.68</v>
      </c>
    </row>
    <row r="23" spans="2:6" x14ac:dyDescent="0.35">
      <c r="B23" s="983" t="s">
        <v>442</v>
      </c>
      <c r="C23" s="983">
        <v>-40065.44999999999</v>
      </c>
      <c r="D23" s="983">
        <v>-1545.7500000000182</v>
      </c>
      <c r="E23" s="983">
        <v>-132091.07999999993</v>
      </c>
      <c r="F23" s="983">
        <v>-105915.25000000004</v>
      </c>
    </row>
    <row r="24" spans="2:6" x14ac:dyDescent="0.35">
      <c r="B24" s="983" t="s">
        <v>1121</v>
      </c>
      <c r="C24" s="983">
        <v>1891.6100000000006</v>
      </c>
      <c r="D24" s="983">
        <v>-13288.52</v>
      </c>
      <c r="E24" s="983">
        <v>-17476.020000000004</v>
      </c>
      <c r="F24" s="983">
        <v>-39353.19</v>
      </c>
    </row>
    <row r="25" spans="2:6" x14ac:dyDescent="0.35">
      <c r="B25" s="983" t="s">
        <v>1122</v>
      </c>
      <c r="C25" s="983">
        <v>-17237.34</v>
      </c>
      <c r="D25" s="983">
        <v>19049.710000000003</v>
      </c>
      <c r="E25" s="983">
        <v>6.5000000000000284</v>
      </c>
      <c r="F25" s="983">
        <v>3.1399999999999864</v>
      </c>
    </row>
    <row r="26" spans="2:6" x14ac:dyDescent="0.35">
      <c r="B26" s="983" t="s">
        <v>1123</v>
      </c>
      <c r="C26" s="983">
        <v>-119.75999999999999</v>
      </c>
      <c r="D26" s="983">
        <v>301.25</v>
      </c>
      <c r="E26" s="983">
        <v>71.69</v>
      </c>
      <c r="F26" s="983">
        <v>-21.27</v>
      </c>
    </row>
    <row r="27" spans="2:6" x14ac:dyDescent="0.35">
      <c r="B27" s="983" t="s">
        <v>1124</v>
      </c>
      <c r="C27" s="983">
        <v>0</v>
      </c>
      <c r="D27" s="983">
        <v>-32727.71</v>
      </c>
      <c r="E27" s="983">
        <v>-4379.239999999998</v>
      </c>
      <c r="F27" s="983">
        <v>0</v>
      </c>
    </row>
    <row r="28" spans="2:6" x14ac:dyDescent="0.35">
      <c r="B28" s="983" t="s">
        <v>445</v>
      </c>
      <c r="C28" s="983">
        <v>4245.8999999999996</v>
      </c>
      <c r="D28" s="983">
        <v>-26983.340000000004</v>
      </c>
      <c r="E28" s="983">
        <v>-8826.2699999999968</v>
      </c>
      <c r="F28" s="983">
        <v>2563.0800000000017</v>
      </c>
    </row>
    <row r="29" spans="2:6" x14ac:dyDescent="0.35">
      <c r="B29" s="983" t="s">
        <v>1126</v>
      </c>
      <c r="C29" s="983">
        <v>-5421.05</v>
      </c>
      <c r="D29" s="983">
        <v>6024.5</v>
      </c>
      <c r="E29" s="983">
        <v>259.37</v>
      </c>
      <c r="F29" s="983">
        <v>0.13999999999998636</v>
      </c>
    </row>
    <row r="30" spans="2:6" x14ac:dyDescent="0.35">
      <c r="B30" s="983" t="s">
        <v>1127</v>
      </c>
      <c r="C30" s="983">
        <v>-1024.1900000000005</v>
      </c>
      <c r="D30" s="983">
        <v>-4352.41</v>
      </c>
      <c r="E30" s="983">
        <v>2208.4300000000003</v>
      </c>
      <c r="F30" s="983">
        <v>-1167.5900000000001</v>
      </c>
    </row>
    <row r="31" spans="2:6" x14ac:dyDescent="0.35">
      <c r="B31" s="983" t="s">
        <v>1129</v>
      </c>
      <c r="C31" s="983">
        <v>-4241.0499999999993</v>
      </c>
      <c r="D31" s="983">
        <v>12825.35</v>
      </c>
      <c r="E31" s="983">
        <v>-3168.24</v>
      </c>
      <c r="F31" s="983">
        <v>3658.8999999999996</v>
      </c>
    </row>
    <row r="32" spans="2:6" x14ac:dyDescent="0.35">
      <c r="B32" s="983" t="s">
        <v>445</v>
      </c>
      <c r="C32" s="983">
        <v>-235.34000000000015</v>
      </c>
      <c r="D32" s="983">
        <v>2135.34</v>
      </c>
      <c r="E32" s="983">
        <v>-33116.71</v>
      </c>
      <c r="F32" s="983">
        <v>5835.7199999999975</v>
      </c>
    </row>
    <row r="33" spans="2:6" x14ac:dyDescent="0.35">
      <c r="B33" s="983" t="s">
        <v>446</v>
      </c>
      <c r="C33" s="983">
        <v>2356.3000000000002</v>
      </c>
      <c r="D33" s="983">
        <v>-1506.48</v>
      </c>
      <c r="E33" s="983">
        <v>233.77999999999975</v>
      </c>
      <c r="F33" s="983">
        <v>1043.44</v>
      </c>
    </row>
    <row r="34" spans="2:6" x14ac:dyDescent="0.35">
      <c r="B34" s="983" t="s">
        <v>1127</v>
      </c>
      <c r="C34" s="983">
        <v>1299.9100000000001</v>
      </c>
      <c r="D34" s="983">
        <v>-556.56999999999994</v>
      </c>
      <c r="E34" s="983">
        <v>-5779.16</v>
      </c>
      <c r="F34" s="983">
        <v>-97.409999999999854</v>
      </c>
    </row>
    <row r="35" spans="2:6" x14ac:dyDescent="0.35">
      <c r="B35" s="983" t="s">
        <v>1134</v>
      </c>
      <c r="C35" s="983">
        <v>453.95000000000073</v>
      </c>
      <c r="D35" s="983">
        <v>3386.9300000000003</v>
      </c>
      <c r="E35" s="983">
        <v>-2434.46</v>
      </c>
      <c r="F35" s="983">
        <v>-3374.7</v>
      </c>
    </row>
    <row r="36" spans="2:6" x14ac:dyDescent="0.35">
      <c r="B36" s="982" t="s">
        <v>1197</v>
      </c>
      <c r="C36" s="982">
        <v>-54904.95</v>
      </c>
      <c r="D36" s="982">
        <v>-32425.720000000023</v>
      </c>
      <c r="E36" s="982">
        <v>-194506.0799999999</v>
      </c>
      <c r="F36" s="982">
        <v>-124780.92000000003</v>
      </c>
    </row>
    <row r="37" spans="2:6" x14ac:dyDescent="0.35">
      <c r="B37" s="983"/>
      <c r="C37" s="983"/>
      <c r="D37" s="983"/>
      <c r="E37" s="983"/>
      <c r="F37" s="983"/>
    </row>
    <row r="38" spans="2:6" x14ac:dyDescent="0.35">
      <c r="B38" s="982" t="s">
        <v>1198</v>
      </c>
      <c r="C38" s="983"/>
      <c r="D38" s="983"/>
      <c r="E38" s="983"/>
      <c r="F38" s="983"/>
    </row>
    <row r="39" spans="2:6" x14ac:dyDescent="0.35">
      <c r="B39" s="983" t="s">
        <v>416</v>
      </c>
      <c r="C39" s="983">
        <v>-44246.45</v>
      </c>
      <c r="D39" s="983">
        <v>-42302.52</v>
      </c>
      <c r="E39" s="983">
        <v>-34760.730000000003</v>
      </c>
      <c r="F39" s="983">
        <v>-35057.910000000003</v>
      </c>
    </row>
    <row r="40" spans="2:6" x14ac:dyDescent="0.35">
      <c r="B40" s="983" t="s">
        <v>1192</v>
      </c>
      <c r="C40" s="983">
        <v>-7264.76</v>
      </c>
      <c r="D40" s="983">
        <v>-828.6</v>
      </c>
      <c r="E40" s="983">
        <v>-4418.68</v>
      </c>
      <c r="F40" s="983">
        <v>-4801.75</v>
      </c>
    </row>
    <row r="41" spans="2:6" x14ac:dyDescent="0.35">
      <c r="B41" s="983" t="s">
        <v>1138</v>
      </c>
      <c r="C41" s="983">
        <v>160.65000000000009</v>
      </c>
      <c r="D41" s="983">
        <v>1.5599999999999454</v>
      </c>
      <c r="E41" s="983">
        <v>1.4899999999997817</v>
      </c>
      <c r="F41" s="983">
        <v>2.9700000000002547</v>
      </c>
    </row>
    <row r="42" spans="2:6" x14ac:dyDescent="0.35">
      <c r="B42" s="983" t="s">
        <v>448</v>
      </c>
      <c r="C42" s="983">
        <v>31441.029999999992</v>
      </c>
      <c r="D42" s="983">
        <v>-5994.1299999999828</v>
      </c>
      <c r="E42" s="983">
        <v>49019.629999999968</v>
      </c>
      <c r="F42" s="983">
        <v>17319.740000000027</v>
      </c>
    </row>
    <row r="43" spans="2:6" x14ac:dyDescent="0.35">
      <c r="B43" s="983" t="s">
        <v>1140</v>
      </c>
      <c r="C43" s="983">
        <v>-18871.179999999993</v>
      </c>
      <c r="D43" s="983">
        <v>-19928.78</v>
      </c>
      <c r="E43" s="983">
        <v>18645.03</v>
      </c>
      <c r="F43" s="983">
        <v>75719.839999999997</v>
      </c>
    </row>
    <row r="44" spans="2:6" x14ac:dyDescent="0.35">
      <c r="B44" s="983" t="s">
        <v>1142</v>
      </c>
      <c r="C44" s="983">
        <v>57908.450000000012</v>
      </c>
      <c r="D44" s="983">
        <v>-27351.790000000037</v>
      </c>
      <c r="E44" s="983">
        <v>9061.6000000000349</v>
      </c>
      <c r="F44" s="983">
        <v>23474.989999999991</v>
      </c>
    </row>
    <row r="45" spans="2:6" x14ac:dyDescent="0.35">
      <c r="B45" s="983" t="s">
        <v>423</v>
      </c>
      <c r="C45" s="983">
        <v>-244.42999999999995</v>
      </c>
      <c r="D45" s="983">
        <v>-178.80000000000007</v>
      </c>
      <c r="E45" s="983">
        <v>-344.73999999999995</v>
      </c>
      <c r="F45" s="983">
        <v>-28.79</v>
      </c>
    </row>
    <row r="46" spans="2:6" x14ac:dyDescent="0.35">
      <c r="B46" s="983" t="s">
        <v>440</v>
      </c>
      <c r="C46" s="983">
        <v>163.57</v>
      </c>
      <c r="D46" s="983">
        <v>675.90000000000009</v>
      </c>
      <c r="E46" s="983">
        <v>16706.150000000001</v>
      </c>
      <c r="F46" s="983">
        <v>-1598.5200000000004</v>
      </c>
    </row>
    <row r="47" spans="2:6" x14ac:dyDescent="0.35">
      <c r="B47" s="983" t="s">
        <v>449</v>
      </c>
      <c r="C47" s="983">
        <v>897.0300000000002</v>
      </c>
      <c r="D47" s="983">
        <v>1305.8499999999995</v>
      </c>
      <c r="E47" s="983">
        <v>922.02000000000044</v>
      </c>
      <c r="F47" s="983">
        <v>-4567.5600000000004</v>
      </c>
    </row>
    <row r="48" spans="2:6" x14ac:dyDescent="0.35">
      <c r="B48" s="983" t="s">
        <v>1144</v>
      </c>
      <c r="C48" s="983">
        <v>-585.54000000000087</v>
      </c>
      <c r="D48" s="983">
        <v>807.20000000000073</v>
      </c>
      <c r="E48" s="983">
        <v>-27660.79</v>
      </c>
      <c r="F48" s="983">
        <v>251.26</v>
      </c>
    </row>
    <row r="49" spans="2:6" x14ac:dyDescent="0.35">
      <c r="B49" s="983" t="s">
        <v>1142</v>
      </c>
      <c r="C49" s="983">
        <v>1606.75</v>
      </c>
      <c r="D49" s="983">
        <v>444.84000000000015</v>
      </c>
      <c r="E49" s="983">
        <v>608.03999999999724</v>
      </c>
      <c r="F49" s="983">
        <v>29537.560000000005</v>
      </c>
    </row>
    <row r="50" spans="2:6" x14ac:dyDescent="0.35">
      <c r="B50" s="983" t="s">
        <v>440</v>
      </c>
      <c r="C50" s="983">
        <v>-9036.5999999999985</v>
      </c>
      <c r="D50" s="983">
        <v>-2708.7299999999996</v>
      </c>
      <c r="E50" s="983">
        <v>70717.759999999995</v>
      </c>
      <c r="F50" s="983">
        <v>-39247.89</v>
      </c>
    </row>
    <row r="51" spans="2:6" x14ac:dyDescent="0.35">
      <c r="B51" s="983" t="s">
        <v>449</v>
      </c>
      <c r="C51" s="983">
        <v>1170.72</v>
      </c>
      <c r="D51" s="983">
        <v>40214.810000000005</v>
      </c>
      <c r="E51" s="983">
        <v>-37505.950000000004</v>
      </c>
      <c r="F51" s="983">
        <v>434.35000000000036</v>
      </c>
    </row>
    <row r="52" spans="2:6" x14ac:dyDescent="0.35">
      <c r="B52" s="983" t="s">
        <v>1145</v>
      </c>
      <c r="C52" s="983">
        <v>9701.07</v>
      </c>
      <c r="D52" s="983">
        <v>-46349.23</v>
      </c>
      <c r="E52" s="983">
        <v>27938.350000000002</v>
      </c>
      <c r="F52" s="983">
        <v>11625.920000000002</v>
      </c>
    </row>
    <row r="53" spans="2:6" x14ac:dyDescent="0.35">
      <c r="B53" s="982" t="s">
        <v>1198</v>
      </c>
      <c r="C53" s="982">
        <v>22800.310000000012</v>
      </c>
      <c r="D53" s="982">
        <v>-102192.42000000001</v>
      </c>
      <c r="E53" s="982">
        <v>88929.18</v>
      </c>
      <c r="F53" s="982">
        <v>73064.210000000021</v>
      </c>
    </row>
    <row r="54" spans="2:6" x14ac:dyDescent="0.35">
      <c r="B54" s="983"/>
      <c r="C54" s="983"/>
      <c r="D54" s="983"/>
      <c r="E54" s="983"/>
      <c r="F54" s="983"/>
    </row>
    <row r="55" spans="2:6" x14ac:dyDescent="0.35">
      <c r="B55" s="983" t="s">
        <v>1199</v>
      </c>
      <c r="C55" s="983">
        <v>9529.9400000000023</v>
      </c>
      <c r="D55" s="983">
        <v>-8179.2500000000291</v>
      </c>
      <c r="E55" s="983">
        <v>-4062.7899999999063</v>
      </c>
      <c r="F55" s="983">
        <v>15135.609999999986</v>
      </c>
    </row>
    <row r="56" spans="2:6" x14ac:dyDescent="0.35">
      <c r="B56" s="983" t="s">
        <v>1200</v>
      </c>
      <c r="C56" s="983">
        <v>6773.51</v>
      </c>
      <c r="D56" s="983">
        <v>16303.45</v>
      </c>
      <c r="E56" s="983">
        <v>8124.2</v>
      </c>
      <c r="F56" s="983">
        <v>4061.41</v>
      </c>
    </row>
    <row r="57" spans="2:6" x14ac:dyDescent="0.35">
      <c r="B57" s="984" t="s">
        <v>1201</v>
      </c>
      <c r="C57" s="984">
        <v>16303.450000000003</v>
      </c>
      <c r="D57" s="984">
        <v>8124.1999999999716</v>
      </c>
      <c r="E57" s="984">
        <v>4061.4100000000935</v>
      </c>
      <c r="F57" s="984">
        <v>19197.019999999986</v>
      </c>
    </row>
    <row r="58" spans="2:6" x14ac:dyDescent="0.35">
      <c r="B58" s="983"/>
      <c r="C58" s="983"/>
      <c r="D58" s="983"/>
      <c r="E58" s="983"/>
      <c r="F58" s="983"/>
    </row>
    <row r="59" spans="2:6" x14ac:dyDescent="0.35">
      <c r="B59" s="984" t="s">
        <v>1202</v>
      </c>
      <c r="C59" s="984">
        <v>16303.45</v>
      </c>
      <c r="D59" s="984">
        <v>8124.2</v>
      </c>
      <c r="E59" s="984">
        <v>4061.41</v>
      </c>
      <c r="F59" s="984">
        <v>19197.02</v>
      </c>
    </row>
    <row r="60" spans="2:6" x14ac:dyDescent="0.35">
      <c r="B60" s="983"/>
      <c r="C60" s="983">
        <f>C57-C59</f>
        <v>0</v>
      </c>
      <c r="D60" s="983">
        <f t="shared" ref="D60:F60" si="0">D57-D59</f>
        <v>-2.8194335754960775E-11</v>
      </c>
      <c r="E60" s="983">
        <f t="shared" si="0"/>
        <v>9.3677954282611609E-11</v>
      </c>
      <c r="F60" s="983">
        <f t="shared" si="0"/>
        <v>0</v>
      </c>
    </row>
  </sheetData>
  <mergeCells count="1">
    <mergeCell ref="B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3:S44"/>
  <sheetViews>
    <sheetView showGridLines="0" topLeftCell="F1" zoomScaleNormal="100" workbookViewId="0">
      <selection activeCell="O31" sqref="O31"/>
    </sheetView>
  </sheetViews>
  <sheetFormatPr defaultRowHeight="14" x14ac:dyDescent="0.3"/>
  <cols>
    <col min="1" max="2" width="8.7265625" style="17"/>
    <col min="3" max="3" width="6.54296875" style="17" customWidth="1"/>
    <col min="4" max="4" width="14.453125" style="17" customWidth="1"/>
    <col min="5" max="5" width="18.26953125" style="17" customWidth="1"/>
    <col min="6" max="8" width="16.1796875" style="17" bestFit="1" customWidth="1"/>
    <col min="9" max="9" width="16.1796875" style="17" customWidth="1"/>
    <col min="10" max="10" width="8.7265625" style="17"/>
    <col min="11" max="11" width="27.08984375" style="17" customWidth="1"/>
    <col min="12" max="12" width="19.54296875" style="17" bestFit="1" customWidth="1"/>
    <col min="13" max="13" width="22.26953125" style="17" bestFit="1" customWidth="1"/>
    <col min="14" max="14" width="21.1796875" style="17" bestFit="1" customWidth="1"/>
    <col min="15" max="15" width="12" style="17" bestFit="1" customWidth="1"/>
    <col min="16" max="16" width="14.6328125" style="17" bestFit="1" customWidth="1"/>
    <col min="17" max="17" width="21.54296875" style="17" bestFit="1" customWidth="1"/>
    <col min="18" max="18" width="18.26953125" style="17" customWidth="1"/>
    <col min="19" max="19" width="14.81640625" style="17" customWidth="1"/>
    <col min="20" max="16384" width="8.7265625" style="17"/>
  </cols>
  <sheetData>
    <row r="3" spans="4:17" ht="17.5" x14ac:dyDescent="0.35">
      <c r="F3" s="1130" t="s">
        <v>766</v>
      </c>
      <c r="G3" s="1130"/>
      <c r="H3" s="1130"/>
      <c r="I3" s="1130"/>
      <c r="J3" s="1130"/>
      <c r="K3" s="1130"/>
    </row>
    <row r="6" spans="4:17" x14ac:dyDescent="0.3">
      <c r="D6" s="1073" t="s">
        <v>746</v>
      </c>
      <c r="E6" s="1075"/>
      <c r="F6" s="9">
        <v>2017</v>
      </c>
      <c r="G6" s="9">
        <v>2018</v>
      </c>
      <c r="H6" s="9">
        <v>2019</v>
      </c>
      <c r="I6" s="9">
        <v>2020</v>
      </c>
      <c r="K6" s="1131" t="s">
        <v>741</v>
      </c>
      <c r="L6" s="1132"/>
      <c r="M6" s="1">
        <v>2017</v>
      </c>
      <c r="N6" s="1">
        <v>2018</v>
      </c>
      <c r="O6" s="1">
        <v>2019</v>
      </c>
      <c r="P6" s="1">
        <v>2020</v>
      </c>
    </row>
    <row r="7" spans="4:17" x14ac:dyDescent="0.3">
      <c r="D7" s="1126" t="s">
        <v>750</v>
      </c>
      <c r="E7" s="1126"/>
      <c r="F7" s="302">
        <f>RATIO!G129</f>
        <v>4.8150254797032978E-2</v>
      </c>
      <c r="G7" s="302">
        <f>RATIO!H129</f>
        <v>4.6154687072970754E-2</v>
      </c>
      <c r="H7" s="302">
        <f>RATIO!I129</f>
        <v>5.4334602033641023E-2</v>
      </c>
      <c r="I7" s="302">
        <f>RATIO!J129</f>
        <v>5.6393895773355018E-2</v>
      </c>
      <c r="K7" s="1133" t="s">
        <v>742</v>
      </c>
      <c r="L7" s="1133"/>
      <c r="M7" s="302">
        <v>6.6900000000000001E-2</v>
      </c>
      <c r="N7" s="302">
        <v>7.3999999999999996E-2</v>
      </c>
      <c r="O7" s="302">
        <v>7.3499999999999996E-2</v>
      </c>
      <c r="P7" s="302">
        <v>7.3499999999999996E-2</v>
      </c>
    </row>
    <row r="8" spans="4:17" x14ac:dyDescent="0.3">
      <c r="D8" s="1126" t="s">
        <v>749</v>
      </c>
      <c r="E8" s="1126"/>
      <c r="F8" s="508">
        <f>'INCOME STATEMENT'!I53/'INCOME STATEMENT'!I31</f>
        <v>1</v>
      </c>
      <c r="G8" s="508">
        <f>'INCOME STATEMENT'!J53/'INCOME STATEMENT'!J31</f>
        <v>0.74372335386072952</v>
      </c>
      <c r="H8" s="508">
        <f>'INCOME STATEMENT'!K53/'INCOME STATEMENT'!K31</f>
        <v>0.77691043549712413</v>
      </c>
      <c r="I8" s="508">
        <f>'INCOME STATEMENT'!L53/'INCOME STATEMENT'!L31</f>
        <v>0.79912584599278258</v>
      </c>
      <c r="K8" s="1125" t="s">
        <v>743</v>
      </c>
      <c r="L8" s="1125"/>
      <c r="M8" s="19">
        <v>0.92900000000000005</v>
      </c>
      <c r="N8" s="19">
        <v>0.92900000000000005</v>
      </c>
      <c r="O8" s="19">
        <v>0.92900000000000005</v>
      </c>
      <c r="P8" s="19">
        <v>0.92900000000000005</v>
      </c>
    </row>
    <row r="9" spans="4:17" x14ac:dyDescent="0.3">
      <c r="D9" s="1126" t="s">
        <v>748</v>
      </c>
      <c r="E9" s="1126"/>
      <c r="F9" s="296">
        <f>1-F8</f>
        <v>0</v>
      </c>
      <c r="G9" s="296">
        <f>1-G8</f>
        <v>0.25627664613927048</v>
      </c>
      <c r="H9" s="296">
        <f>1-H8</f>
        <v>0.22308956450287587</v>
      </c>
      <c r="I9" s="296">
        <f>1-I8</f>
        <v>0.20087415400721742</v>
      </c>
      <c r="K9" s="1125" t="s">
        <v>755</v>
      </c>
      <c r="L9" s="1125"/>
      <c r="M9" s="296">
        <f>M10-M7</f>
        <v>8.3899999999999988E-2</v>
      </c>
      <c r="N9" s="296">
        <f t="shared" ref="N9:O9" si="0">N10-N7</f>
        <v>8.1299999999999997E-2</v>
      </c>
      <c r="O9" s="296">
        <f t="shared" si="0"/>
        <v>8.3099999999999993E-2</v>
      </c>
      <c r="P9" s="296">
        <f t="shared" ref="P9" si="1">P10-P7</f>
        <v>8.3099999999999993E-2</v>
      </c>
    </row>
    <row r="10" spans="4:17" x14ac:dyDescent="0.3">
      <c r="D10" s="1126" t="s">
        <v>756</v>
      </c>
      <c r="E10" s="1126"/>
      <c r="F10" s="21">
        <f>F8*F7</f>
        <v>4.8150254797032978E-2</v>
      </c>
      <c r="G10" s="21">
        <f>G8*G7</f>
        <v>3.4326318666302265E-2</v>
      </c>
      <c r="H10" s="21">
        <f>H8*H7</f>
        <v>4.2213119328518976E-2</v>
      </c>
      <c r="I10" s="21">
        <f>I8*I7</f>
        <v>4.5065819668711135E-2</v>
      </c>
      <c r="K10" s="1125" t="s">
        <v>744</v>
      </c>
      <c r="L10" s="1125"/>
      <c r="M10" s="302">
        <v>0.15079999999999999</v>
      </c>
      <c r="N10" s="302">
        <v>0.15529999999999999</v>
      </c>
      <c r="O10" s="302">
        <v>0.15659999999999999</v>
      </c>
      <c r="P10" s="302">
        <v>0.15659999999999999</v>
      </c>
    </row>
    <row r="11" spans="4:17" x14ac:dyDescent="0.3">
      <c r="D11" s="1126" t="s">
        <v>747</v>
      </c>
      <c r="E11" s="1126"/>
      <c r="F11" s="19">
        <v>0</v>
      </c>
      <c r="G11" s="19">
        <f>G14/G13</f>
        <v>0.69316081330868762</v>
      </c>
      <c r="H11" s="19">
        <f t="shared" ref="H11:I11" si="2">H14/H13</f>
        <v>0.69060773480662985</v>
      </c>
      <c r="I11" s="19">
        <f t="shared" si="2"/>
        <v>0.69060773480662985</v>
      </c>
      <c r="K11" s="1125" t="s">
        <v>765</v>
      </c>
      <c r="L11" s="1125"/>
      <c r="M11" s="21">
        <f>M7+M8*(M9)</f>
        <v>0.1448431</v>
      </c>
      <c r="N11" s="21">
        <f t="shared" ref="N11:O11" si="3">N7+N8*(N9)</f>
        <v>0.14952769999999999</v>
      </c>
      <c r="O11" s="21">
        <f t="shared" si="3"/>
        <v>0.1506999</v>
      </c>
      <c r="P11" s="21">
        <f t="shared" ref="P11" si="4">P7+P8*(P9)</f>
        <v>0.1506999</v>
      </c>
    </row>
    <row r="12" spans="4:17" x14ac:dyDescent="0.3">
      <c r="D12" s="1126" t="s">
        <v>751</v>
      </c>
      <c r="E12" s="1126"/>
      <c r="F12" s="19">
        <f>F11*(1+F10)</f>
        <v>0</v>
      </c>
      <c r="G12" s="19">
        <f t="shared" ref="G12:H12" si="5">G11*(1+G10)</f>
        <v>0.71695447227331488</v>
      </c>
      <c r="H12" s="19">
        <f t="shared" si="5"/>
        <v>0.71976044152522023</v>
      </c>
      <c r="I12" s="19">
        <f t="shared" ref="I12" si="6">I11*(1+I10)</f>
        <v>0.72173053844524249</v>
      </c>
    </row>
    <row r="13" spans="4:17" x14ac:dyDescent="0.3">
      <c r="D13" s="1123" t="s">
        <v>773</v>
      </c>
      <c r="E13" s="1124"/>
      <c r="F13" s="509">
        <f>('INCOME STATEMENT'!I50+'INCOME STATEMENT'!I51)*100000</f>
        <v>0</v>
      </c>
      <c r="G13" s="289">
        <f>('INCOME STATEMENT'!J51+'INCOME STATEMENT'!J50)*1000000</f>
        <v>541000000</v>
      </c>
      <c r="H13" s="289">
        <f>('INCOME STATEMENT'!K51+'INCOME STATEMENT'!K50)*1000000</f>
        <v>543000000</v>
      </c>
      <c r="I13" s="289">
        <f>('INCOME STATEMENT'!L51+'INCOME STATEMENT'!L50)*1000000</f>
        <v>543000000</v>
      </c>
    </row>
    <row r="14" spans="4:17" x14ac:dyDescent="0.3">
      <c r="D14" s="1123" t="s">
        <v>763</v>
      </c>
      <c r="E14" s="1124"/>
      <c r="F14" s="289">
        <f>375000000</f>
        <v>375000000</v>
      </c>
      <c r="G14" s="289">
        <f t="shared" ref="G14:I14" si="7">375000000</f>
        <v>375000000</v>
      </c>
      <c r="H14" s="289">
        <f t="shared" si="7"/>
        <v>375000000</v>
      </c>
      <c r="I14" s="289">
        <f t="shared" si="7"/>
        <v>375000000</v>
      </c>
      <c r="P14" s="17" t="s">
        <v>770</v>
      </c>
    </row>
    <row r="15" spans="4:17" x14ac:dyDescent="0.3">
      <c r="D15" s="1123" t="s">
        <v>753</v>
      </c>
      <c r="E15" s="1124"/>
      <c r="F15" s="510">
        <v>217.45</v>
      </c>
      <c r="G15" s="510">
        <v>291.8</v>
      </c>
      <c r="H15" s="510">
        <v>252.8</v>
      </c>
      <c r="I15" s="510">
        <v>253.8</v>
      </c>
      <c r="K15" s="1122" t="s">
        <v>754</v>
      </c>
      <c r="L15" s="1122"/>
      <c r="M15" s="1122"/>
      <c r="N15" s="1122"/>
      <c r="Q15" s="27"/>
    </row>
    <row r="16" spans="4:17" x14ac:dyDescent="0.3">
      <c r="D16" s="1127" t="s">
        <v>752</v>
      </c>
      <c r="E16" s="1127"/>
      <c r="F16" s="21">
        <f>(F12/F15)+F10</f>
        <v>4.8150254797032978E-2</v>
      </c>
      <c r="G16" s="21">
        <f t="shared" ref="G16:H16" si="8">(G12/G15)+G10</f>
        <v>3.6783325082591897E-2</v>
      </c>
      <c r="H16" s="21">
        <f t="shared" si="8"/>
        <v>4.5060272973792788E-2</v>
      </c>
      <c r="I16" s="21">
        <f t="shared" ref="I16" si="9">(I12/I15)+I10</f>
        <v>4.7909517613727852E-2</v>
      </c>
      <c r="K16" s="511"/>
      <c r="L16" s="11">
        <v>2017</v>
      </c>
      <c r="M16" s="10">
        <v>2018</v>
      </c>
      <c r="N16" s="10">
        <v>2019</v>
      </c>
      <c r="O16" s="10">
        <v>2020</v>
      </c>
      <c r="P16" s="17" t="s">
        <v>767</v>
      </c>
    </row>
    <row r="17" spans="4:17" x14ac:dyDescent="0.3">
      <c r="K17" s="512" t="s">
        <v>757</v>
      </c>
      <c r="L17" s="513">
        <f>(F14*F15)/1000000</f>
        <v>81543.75</v>
      </c>
      <c r="M17" s="513">
        <f>(G14*G15)/1000000</f>
        <v>109425</v>
      </c>
      <c r="N17" s="513">
        <f>(H14*H15)/1000000</f>
        <v>94800</v>
      </c>
      <c r="O17" s="513">
        <f>(I14*I15)/1000000</f>
        <v>95175</v>
      </c>
      <c r="P17" s="17" t="s">
        <v>768</v>
      </c>
      <c r="Q17" s="17" t="s">
        <v>769</v>
      </c>
    </row>
    <row r="18" spans="4:17" x14ac:dyDescent="0.3">
      <c r="D18" s="1128" t="s">
        <v>734</v>
      </c>
      <c r="E18" s="1129"/>
      <c r="F18" s="1">
        <v>2017</v>
      </c>
      <c r="G18" s="1">
        <v>2018</v>
      </c>
      <c r="H18" s="1">
        <v>2019</v>
      </c>
      <c r="I18" s="1">
        <v>2020</v>
      </c>
      <c r="K18" s="512" t="s">
        <v>758</v>
      </c>
      <c r="L18" s="514">
        <f>F20</f>
        <v>101389.07820872647</v>
      </c>
      <c r="M18" s="514">
        <f>G20</f>
        <v>100999.02725804731</v>
      </c>
      <c r="N18" s="514">
        <f>H20</f>
        <v>115939.11102598812</v>
      </c>
      <c r="O18" s="514">
        <f>I20</f>
        <v>115927.6592136079</v>
      </c>
    </row>
    <row r="19" spans="4:17" x14ac:dyDescent="0.3">
      <c r="D19" s="1126" t="s">
        <v>735</v>
      </c>
      <c r="E19" s="1126"/>
      <c r="F19" s="107">
        <f>ANALYTICAL!E14</f>
        <v>3160</v>
      </c>
      <c r="G19" s="107">
        <f>ANALYTICAL!F14</f>
        <v>5657</v>
      </c>
      <c r="H19" s="107">
        <f>ANALYTICAL!G14</f>
        <v>7228</v>
      </c>
      <c r="I19" s="107">
        <f>ANALYTICAL!H14</f>
        <v>10233</v>
      </c>
      <c r="K19" s="512" t="s">
        <v>759</v>
      </c>
      <c r="L19" s="513">
        <f t="shared" ref="L19:N19" si="10">SUM(L17:L18)</f>
        <v>182932.82820872648</v>
      </c>
      <c r="M19" s="513">
        <f t="shared" si="10"/>
        <v>210424.02725804731</v>
      </c>
      <c r="N19" s="513">
        <f t="shared" si="10"/>
        <v>210739.11102598812</v>
      </c>
      <c r="O19" s="513">
        <f t="shared" ref="O19" si="11">SUM(O17:O18)</f>
        <v>211102.6592136079</v>
      </c>
    </row>
    <row r="20" spans="4:17" x14ac:dyDescent="0.3">
      <c r="D20" s="1126" t="s">
        <v>745</v>
      </c>
      <c r="E20" s="1126"/>
      <c r="F20" s="19">
        <f>RATIO!L72</f>
        <v>101389.07820872647</v>
      </c>
      <c r="G20" s="19">
        <f>RATIO!M72</f>
        <v>100999.02725804731</v>
      </c>
      <c r="H20" s="19">
        <f>RATIO!N72</f>
        <v>115939.11102598812</v>
      </c>
      <c r="I20" s="19">
        <f>RATIO!O72</f>
        <v>115927.6592136079</v>
      </c>
      <c r="K20" s="515"/>
      <c r="N20" s="138"/>
      <c r="O20" s="138"/>
      <c r="P20" s="17" t="s">
        <v>771</v>
      </c>
    </row>
    <row r="21" spans="4:17" x14ac:dyDescent="0.3">
      <c r="D21" s="1127" t="s">
        <v>736</v>
      </c>
      <c r="E21" s="1127"/>
      <c r="F21" s="516">
        <f>F19/F20</f>
        <v>3.1167065090527885E-2</v>
      </c>
      <c r="G21" s="516">
        <f t="shared" ref="G21:H21" si="12">G19/G20</f>
        <v>5.6010440432724726E-2</v>
      </c>
      <c r="H21" s="516">
        <f t="shared" si="12"/>
        <v>6.234306901300822E-2</v>
      </c>
      <c r="I21" s="516">
        <f t="shared" ref="I21" si="13">I19/I20</f>
        <v>8.8270565190527228E-2</v>
      </c>
      <c r="K21" s="511" t="s">
        <v>764</v>
      </c>
      <c r="L21" s="517">
        <f>(L17/L19)*F16+(L18/L19)*F25</f>
        <v>2.8105269517792852E-2</v>
      </c>
      <c r="M21" s="517">
        <f>(M17/M19)*G16+(M18/M19)*G25</f>
        <v>2.8021977718522044E-2</v>
      </c>
      <c r="N21" s="517">
        <f>(N17/N19)*H16+(N18/N19)*H25</f>
        <v>3.3306089245337657E-2</v>
      </c>
      <c r="O21" s="517">
        <f>(O17/O19)*I16+(O18/O19)*I25</f>
        <v>3.7446314427062741E-2</v>
      </c>
      <c r="P21" s="17" t="s">
        <v>772</v>
      </c>
    </row>
    <row r="22" spans="4:17" x14ac:dyDescent="0.3">
      <c r="D22" s="1126" t="s">
        <v>737</v>
      </c>
      <c r="E22" s="1126"/>
      <c r="F22" s="107">
        <f>'INCOME STATEMENT'!I30</f>
        <v>3320</v>
      </c>
      <c r="G22" s="107">
        <f>'INCOME STATEMENT'!J30</f>
        <v>4270</v>
      </c>
      <c r="H22" s="107">
        <f>'INCOME STATEMENT'!K30</f>
        <v>3970</v>
      </c>
      <c r="I22" s="107">
        <f>'INCOME STATEMENT'!L30</f>
        <v>5565.8150000000005</v>
      </c>
      <c r="K22" s="511" t="s">
        <v>760</v>
      </c>
      <c r="L22" s="517">
        <f>(L17/L19)*M11+(L18/L19)*F25</f>
        <v>7.1206867373279983E-2</v>
      </c>
      <c r="M22" s="517">
        <f>(M17/M19)*N11+(M18/M19)*G25</f>
        <v>8.6651466879511238E-2</v>
      </c>
      <c r="N22" s="517">
        <f>(N17/N19)*O11+(N18/N19)*H25</f>
        <v>8.0827579647987452E-2</v>
      </c>
      <c r="O22" s="517">
        <f>(O17/O19)*P11+(O18/O19)*I25</f>
        <v>8.3789049663354945E-2</v>
      </c>
    </row>
    <row r="23" spans="4:17" x14ac:dyDescent="0.3">
      <c r="D23" s="1126" t="s">
        <v>738</v>
      </c>
      <c r="E23" s="1126"/>
      <c r="F23" s="107">
        <f>'INCOME STATEMENT'!I26</f>
        <v>5394</v>
      </c>
      <c r="G23" s="107">
        <f>'INCOME STATEMENT'!J26</f>
        <v>6381</v>
      </c>
      <c r="H23" s="107">
        <f>'INCOME STATEMENT'!K26</f>
        <v>6404</v>
      </c>
      <c r="I23" s="107">
        <f>'INCOME STATEMENT'!L26</f>
        <v>8269</v>
      </c>
    </row>
    <row r="24" spans="4:17" x14ac:dyDescent="0.3">
      <c r="D24" s="1127" t="s">
        <v>739</v>
      </c>
      <c r="E24" s="1127"/>
      <c r="F24" s="516">
        <f t="shared" ref="F24:H24" si="14">F22/F23</f>
        <v>0.61549870226177239</v>
      </c>
      <c r="G24" s="516">
        <f t="shared" si="14"/>
        <v>0.66917411064096533</v>
      </c>
      <c r="H24" s="516">
        <f t="shared" si="14"/>
        <v>0.61992504684572147</v>
      </c>
      <c r="I24" s="516">
        <f t="shared" ref="I24" si="15">I22/I23</f>
        <v>0.67309408634659573</v>
      </c>
      <c r="K24" s="1122" t="s">
        <v>754</v>
      </c>
      <c r="L24" s="1122"/>
      <c r="M24" s="1122"/>
      <c r="N24" s="1122"/>
    </row>
    <row r="25" spans="4:17" x14ac:dyDescent="0.3">
      <c r="D25" s="1136" t="s">
        <v>740</v>
      </c>
      <c r="E25" s="1127"/>
      <c r="F25" s="291">
        <f t="shared" ref="F25:H25" si="16">F21*(1-F24)</f>
        <v>1.1983776973999782E-2</v>
      </c>
      <c r="G25" s="291">
        <f t="shared" si="16"/>
        <v>1.8529703769547393E-2</v>
      </c>
      <c r="H25" s="291">
        <f t="shared" si="16"/>
        <v>2.3695039034613053E-2</v>
      </c>
      <c r="I25" s="291">
        <f t="shared" ref="I25" si="17">I21*(1-I24)</f>
        <v>2.8856169762311687E-2</v>
      </c>
      <c r="K25" s="512"/>
      <c r="L25" s="11">
        <v>2017</v>
      </c>
      <c r="M25" s="10">
        <v>2018</v>
      </c>
      <c r="N25" s="10">
        <v>2019</v>
      </c>
      <c r="O25" s="14">
        <v>2020</v>
      </c>
    </row>
    <row r="26" spans="4:17" x14ac:dyDescent="0.3">
      <c r="K26" s="518" t="s">
        <v>761</v>
      </c>
      <c r="L26" s="519">
        <f>'BALANCES SHEET'!E36</f>
        <v>44148</v>
      </c>
      <c r="M26" s="519">
        <f>'BALANCES SHEET'!F36</f>
        <v>47327</v>
      </c>
      <c r="N26" s="519">
        <f>'BALANCES SHEET'!G36</f>
        <v>42266</v>
      </c>
      <c r="O26" s="519">
        <f>'BALANCES SHEET'!H36</f>
        <v>53602</v>
      </c>
    </row>
    <row r="27" spans="4:17" x14ac:dyDescent="0.3">
      <c r="K27" s="512" t="s">
        <v>762</v>
      </c>
      <c r="L27" s="519">
        <f>RATIO!L72</f>
        <v>101389.07820872647</v>
      </c>
      <c r="M27" s="519">
        <f>RATIO!M72</f>
        <v>100999.02725804731</v>
      </c>
      <c r="N27" s="519">
        <f>RATIO!N72</f>
        <v>115939.11102598812</v>
      </c>
      <c r="O27" s="519">
        <f>RATIO!O72</f>
        <v>115927.6592136079</v>
      </c>
    </row>
    <row r="28" spans="4:17" x14ac:dyDescent="0.3">
      <c r="K28" s="512" t="s">
        <v>701</v>
      </c>
      <c r="L28" s="519">
        <f>SUM(L26:L27)</f>
        <v>145537.07820872648</v>
      </c>
      <c r="M28" s="519">
        <f t="shared" ref="M28:N28" si="18">SUM(M26:M27)</f>
        <v>148326.02725804731</v>
      </c>
      <c r="N28" s="519">
        <f t="shared" si="18"/>
        <v>158205.11102598812</v>
      </c>
      <c r="O28" s="519">
        <f t="shared" ref="O28" si="19">SUM(O26:O27)</f>
        <v>169529.6592136079</v>
      </c>
    </row>
    <row r="29" spans="4:17" x14ac:dyDescent="0.3">
      <c r="K29" s="512"/>
      <c r="L29" s="27"/>
      <c r="M29" s="27"/>
      <c r="N29" s="520"/>
      <c r="O29" s="520"/>
    </row>
    <row r="30" spans="4:17" x14ac:dyDescent="0.3">
      <c r="K30" s="511" t="s">
        <v>764</v>
      </c>
      <c r="L30" s="517">
        <f>(L26/L28)*F16+(L27/L28)*F25</f>
        <v>2.2954710859599332E-2</v>
      </c>
      <c r="M30" s="517">
        <f>(M26/M28)*G16+(M27/M28)*G25</f>
        <v>2.4353962342720952E-2</v>
      </c>
      <c r="N30" s="517">
        <f>(N26/N28)*H16+(N27/N28)*H25</f>
        <v>2.9402964472780672E-2</v>
      </c>
      <c r="O30" s="517">
        <f>(O26/O28)*I16+(O27/O28)*I25</f>
        <v>3.4880469912911119E-2</v>
      </c>
    </row>
    <row r="31" spans="4:17" x14ac:dyDescent="0.3">
      <c r="K31" s="521" t="s">
        <v>760</v>
      </c>
      <c r="L31" s="517">
        <f>(L26/L28)*M11+(L27/L28)*F25</f>
        <v>5.2286038536099498E-2</v>
      </c>
      <c r="M31" s="517">
        <f>(M26/M28)*N11+(M27/M28)*G25</f>
        <v>6.0327777123273432E-2</v>
      </c>
      <c r="N31" s="517">
        <f>(N26/N28)*O11+(N27/N28)*H25</f>
        <v>5.7625595504948911E-2</v>
      </c>
      <c r="O31" s="517">
        <f>(O26/O28)*P11+(O27/O28)*I25</f>
        <v>6.7380801136526877E-2</v>
      </c>
    </row>
    <row r="34" spans="11:19" ht="14.5" x14ac:dyDescent="0.35">
      <c r="K34" s="827" t="s">
        <v>1002</v>
      </c>
      <c r="L34" s="1134" t="s">
        <v>1013</v>
      </c>
      <c r="M34" s="1135"/>
      <c r="N34" s="1134" t="s">
        <v>1014</v>
      </c>
      <c r="O34" s="1135"/>
      <c r="P34" s="1134" t="s">
        <v>1015</v>
      </c>
      <c r="Q34" s="1135"/>
      <c r="R34" s="1134" t="s">
        <v>1016</v>
      </c>
      <c r="S34" s="1135"/>
    </row>
    <row r="35" spans="11:19" ht="14.5" x14ac:dyDescent="0.35">
      <c r="K35" s="828" t="s">
        <v>1003</v>
      </c>
      <c r="L35" s="821"/>
      <c r="M35" s="822">
        <f>L36*L37</f>
        <v>4.8150254797032978E-2</v>
      </c>
      <c r="N35" s="821"/>
      <c r="O35" s="823">
        <f>N36*N37</f>
        <v>3.4326318666302265E-2</v>
      </c>
      <c r="P35" s="821"/>
      <c r="Q35" s="823">
        <f>P36*P37</f>
        <v>4.2213119328518976E-2</v>
      </c>
      <c r="R35" s="821"/>
      <c r="S35" s="823">
        <f>R36*R37</f>
        <v>4.5065819668711135E-2</v>
      </c>
    </row>
    <row r="36" spans="11:19" ht="14.5" x14ac:dyDescent="0.35">
      <c r="K36" s="828" t="s">
        <v>1004</v>
      </c>
      <c r="L36" s="823">
        <f>RATIO!G129</f>
        <v>4.8150254797032978E-2</v>
      </c>
      <c r="M36" s="821"/>
      <c r="N36" s="823">
        <f>RATIO!H129</f>
        <v>4.6154687072970754E-2</v>
      </c>
      <c r="O36" s="821"/>
      <c r="P36" s="823">
        <f>RATIO!I129</f>
        <v>5.4334602033641023E-2</v>
      </c>
      <c r="Q36" s="821"/>
      <c r="R36" s="823">
        <f>RATIO!J129</f>
        <v>5.6393895773355018E-2</v>
      </c>
      <c r="S36" s="821"/>
    </row>
    <row r="37" spans="11:19" ht="14.5" x14ac:dyDescent="0.35">
      <c r="K37" s="828" t="s">
        <v>1005</v>
      </c>
      <c r="L37" s="823">
        <f>'INCOME STATEMENT'!I53/'INCOME STATEMENT'!I31</f>
        <v>1</v>
      </c>
      <c r="M37" s="821"/>
      <c r="N37" s="823">
        <f>'INCOME STATEMENT'!J53/'INCOME STATEMENT'!J31</f>
        <v>0.74372335386072952</v>
      </c>
      <c r="O37" s="821"/>
      <c r="P37" s="823">
        <f>'INCOME STATEMENT'!K53/'INCOME STATEMENT'!K31</f>
        <v>0.77691043549712413</v>
      </c>
      <c r="Q37" s="821"/>
      <c r="R37" s="823">
        <f>'INCOME STATEMENT'!L53/'INCOME STATEMENT'!L31</f>
        <v>0.79912584599278258</v>
      </c>
      <c r="S37" s="821"/>
    </row>
    <row r="38" spans="11:19" ht="14.5" x14ac:dyDescent="0.35">
      <c r="K38" s="828" t="s">
        <v>1006</v>
      </c>
      <c r="L38" s="824">
        <f>1-L37</f>
        <v>0</v>
      </c>
      <c r="M38" s="821"/>
      <c r="N38" s="824">
        <f>1-N37</f>
        <v>0.25627664613927048</v>
      </c>
      <c r="O38" s="821"/>
      <c r="P38" s="824">
        <f>1-P37</f>
        <v>0.22308956450287587</v>
      </c>
      <c r="Q38" s="821"/>
      <c r="R38" s="824">
        <f>1-R37</f>
        <v>0.20087415400721742</v>
      </c>
      <c r="S38" s="821"/>
    </row>
    <row r="39" spans="11:19" ht="14.5" x14ac:dyDescent="0.35">
      <c r="K39" s="828" t="s">
        <v>1007</v>
      </c>
      <c r="L39" s="830">
        <v>375000000</v>
      </c>
      <c r="M39" s="821"/>
      <c r="N39" s="829">
        <v>375000000</v>
      </c>
      <c r="O39" s="821"/>
      <c r="P39" s="829">
        <v>375000000</v>
      </c>
      <c r="Q39" s="821"/>
      <c r="R39" s="821">
        <v>400900000</v>
      </c>
      <c r="S39" s="821"/>
    </row>
    <row r="40" spans="11:19" ht="14.5" x14ac:dyDescent="0.35">
      <c r="K40" s="828" t="s">
        <v>1008</v>
      </c>
      <c r="L40" s="831">
        <f>NOTES!F644*10000000</f>
        <v>0</v>
      </c>
      <c r="M40" s="821"/>
      <c r="N40" s="831">
        <f>NOTES!G644*10000000</f>
        <v>4500000000</v>
      </c>
      <c r="O40" s="821"/>
      <c r="P40" s="831">
        <f>NOTES!H644*10000000</f>
        <v>4500000000</v>
      </c>
      <c r="Q40" s="821"/>
      <c r="R40" s="831">
        <f>NOTES!I644*10000000</f>
        <v>11640000000</v>
      </c>
      <c r="S40" s="821"/>
    </row>
    <row r="41" spans="11:19" ht="14.5" x14ac:dyDescent="0.35">
      <c r="K41" s="828" t="s">
        <v>1009</v>
      </c>
      <c r="L41" s="832">
        <f>L40/L39</f>
        <v>0</v>
      </c>
      <c r="M41" s="821"/>
      <c r="N41" s="832">
        <f>N40/N39</f>
        <v>12</v>
      </c>
      <c r="O41" s="821"/>
      <c r="P41" s="832">
        <f>P40/P39</f>
        <v>12</v>
      </c>
      <c r="Q41" s="821"/>
      <c r="R41" s="832">
        <f>R40/R39</f>
        <v>29.03467198802694</v>
      </c>
      <c r="S41" s="821"/>
    </row>
    <row r="42" spans="11:19" ht="14.5" x14ac:dyDescent="0.35">
      <c r="K42" s="828" t="s">
        <v>1010</v>
      </c>
      <c r="L42" s="819"/>
      <c r="M42" s="819">
        <f>L41*(1+M35)</f>
        <v>0</v>
      </c>
      <c r="N42" s="821"/>
      <c r="O42" s="819">
        <f>N41*(1+O35)</f>
        <v>12.411915823995628</v>
      </c>
      <c r="P42" s="821"/>
      <c r="Q42" s="819">
        <f>P41*(1+Q35)</f>
        <v>12.506557431942227</v>
      </c>
      <c r="R42" s="821"/>
      <c r="S42" s="819">
        <f>R41*(1+S35)</f>
        <v>30.343143279979536</v>
      </c>
    </row>
    <row r="43" spans="11:19" ht="14.5" x14ac:dyDescent="0.35">
      <c r="K43" s="828" t="s">
        <v>1011</v>
      </c>
      <c r="L43" s="821"/>
      <c r="M43" s="821">
        <v>216.06</v>
      </c>
      <c r="N43" s="821"/>
      <c r="O43" s="821">
        <v>288.05</v>
      </c>
      <c r="P43" s="821"/>
      <c r="Q43" s="821">
        <v>251.55</v>
      </c>
      <c r="R43" s="821"/>
      <c r="S43" s="821">
        <v>252.45</v>
      </c>
    </row>
    <row r="44" spans="11:19" ht="14.5" x14ac:dyDescent="0.35">
      <c r="K44" s="820" t="s">
        <v>1012</v>
      </c>
      <c r="L44" s="825"/>
      <c r="M44" s="825">
        <f>(M42/M43)*M35</f>
        <v>0</v>
      </c>
      <c r="N44" s="825"/>
      <c r="O44" s="825">
        <f>(O42/O43)*O35</f>
        <v>1.4791021622419494E-3</v>
      </c>
      <c r="P44" s="826"/>
      <c r="Q44" s="825">
        <f>(Q42/Q43)*Q35</f>
        <v>2.0987509491693624E-3</v>
      </c>
      <c r="R44" s="826"/>
      <c r="S44" s="825">
        <f>(S42/S43)*S35</f>
        <v>5.4166711160127624E-3</v>
      </c>
    </row>
  </sheetData>
  <mergeCells count="32">
    <mergeCell ref="L34:M34"/>
    <mergeCell ref="N34:O34"/>
    <mergeCell ref="P34:Q34"/>
    <mergeCell ref="R34:S34"/>
    <mergeCell ref="D25:E25"/>
    <mergeCell ref="D9:E9"/>
    <mergeCell ref="D20:E20"/>
    <mergeCell ref="F3:K3"/>
    <mergeCell ref="K6:L6"/>
    <mergeCell ref="D6:E6"/>
    <mergeCell ref="K15:N15"/>
    <mergeCell ref="K7:L7"/>
    <mergeCell ref="K8:L8"/>
    <mergeCell ref="K9:L9"/>
    <mergeCell ref="D7:E7"/>
    <mergeCell ref="D8:E8"/>
    <mergeCell ref="D10:E10"/>
    <mergeCell ref="D11:E11"/>
    <mergeCell ref="D12:E12"/>
    <mergeCell ref="D16:E16"/>
    <mergeCell ref="D15:E15"/>
    <mergeCell ref="K24:N24"/>
    <mergeCell ref="D14:E14"/>
    <mergeCell ref="K10:L10"/>
    <mergeCell ref="K11:L11"/>
    <mergeCell ref="D19:E19"/>
    <mergeCell ref="D22:E22"/>
    <mergeCell ref="D23:E23"/>
    <mergeCell ref="D24:E24"/>
    <mergeCell ref="D21:E21"/>
    <mergeCell ref="D18:E18"/>
    <mergeCell ref="D13:E1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CD35E-7F30-49C9-8D0B-C24BDE42E86A}">
  <dimension ref="B1:G7"/>
  <sheetViews>
    <sheetView zoomScale="112" workbookViewId="0">
      <selection activeCell="B2" sqref="B2:G2"/>
    </sheetView>
  </sheetViews>
  <sheetFormatPr defaultRowHeight="14.5" x14ac:dyDescent="0.35"/>
  <cols>
    <col min="2" max="2" width="10.90625" customWidth="1"/>
  </cols>
  <sheetData>
    <row r="1" spans="2:7" x14ac:dyDescent="0.35">
      <c r="B1" s="1146"/>
      <c r="C1" s="1146"/>
      <c r="D1" s="1146"/>
      <c r="E1" s="1146"/>
      <c r="F1" s="1146"/>
      <c r="G1" s="1146"/>
    </row>
    <row r="2" spans="2:7" ht="18.5" x14ac:dyDescent="0.45">
      <c r="B2" s="1147" t="s">
        <v>1205</v>
      </c>
      <c r="C2" s="1148"/>
      <c r="D2" s="1148"/>
      <c r="E2" s="1148"/>
      <c r="F2" s="1148"/>
      <c r="G2" s="1148"/>
    </row>
    <row r="4" spans="2:7" x14ac:dyDescent="0.35">
      <c r="B4" s="309"/>
      <c r="C4" s="1143" t="s">
        <v>1115</v>
      </c>
      <c r="D4" s="1143" t="s">
        <v>1116</v>
      </c>
      <c r="E4" s="1143" t="s">
        <v>1117</v>
      </c>
      <c r="F4" s="1143" t="s">
        <v>1118</v>
      </c>
      <c r="G4" s="1143" t="s">
        <v>1119</v>
      </c>
    </row>
    <row r="5" spans="2:7" x14ac:dyDescent="0.35">
      <c r="B5" s="309" t="s">
        <v>1039</v>
      </c>
      <c r="C5" s="1144">
        <f>AVERAGE(portfolio!D56:D67)</f>
        <v>206.77083333333334</v>
      </c>
      <c r="D5" s="1144">
        <f>AVERAGE(portfolio!D68:D79)</f>
        <v>180.95000000000002</v>
      </c>
      <c r="E5" s="1144">
        <f>AVERAGE(portfolio!D80:D91)</f>
        <v>286.86250000000001</v>
      </c>
      <c r="F5" s="1144">
        <f>AVERAGE(portfolio!D92:D103)</f>
        <v>233.80000000000004</v>
      </c>
      <c r="G5" s="309">
        <f>AVERAGE(portfolio!D104:D115)</f>
        <v>286.96249999999998</v>
      </c>
    </row>
    <row r="6" spans="2:7" x14ac:dyDescent="0.35">
      <c r="B6" s="309" t="s">
        <v>945</v>
      </c>
      <c r="C6" s="309">
        <f>NOTES!E194</f>
        <v>16.3</v>
      </c>
      <c r="D6" s="309">
        <f>NOTES!F194</f>
        <v>7.06</v>
      </c>
      <c r="E6" s="309">
        <f>NOTES!G194</f>
        <v>9.9</v>
      </c>
      <c r="F6" s="309">
        <f>NOTES!H194</f>
        <v>11.08</v>
      </c>
      <c r="G6" s="309">
        <f>NOTES!I194</f>
        <v>10.63</v>
      </c>
    </row>
    <row r="7" spans="2:7" x14ac:dyDescent="0.35">
      <c r="B7" s="309"/>
      <c r="C7" s="1145">
        <f>C5/C6</f>
        <v>12.685327198364009</v>
      </c>
      <c r="D7" s="1145">
        <f t="shared" ref="D7:G7" si="0">D5/D6</f>
        <v>25.630311614730882</v>
      </c>
      <c r="E7" s="1145">
        <f t="shared" si="0"/>
        <v>28.9760101010101</v>
      </c>
      <c r="F7" s="1145">
        <f t="shared" si="0"/>
        <v>21.10108303249098</v>
      </c>
      <c r="G7" s="1145">
        <f t="shared" si="0"/>
        <v>26.995531514581369</v>
      </c>
    </row>
  </sheetData>
  <mergeCells count="1">
    <mergeCell ref="B2:G2"/>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DA31D-80DD-4235-9BF6-9E01B931A772}">
  <dimension ref="B3:O27"/>
  <sheetViews>
    <sheetView zoomScale="73" zoomScaleNormal="100" workbookViewId="0">
      <selection activeCell="B3" sqref="B3:K3"/>
    </sheetView>
  </sheetViews>
  <sheetFormatPr defaultRowHeight="14.5" x14ac:dyDescent="0.35"/>
  <cols>
    <col min="2" max="2" width="28.26953125" bestFit="1" customWidth="1"/>
    <col min="3" max="4" width="9.6328125" bestFit="1" customWidth="1"/>
    <col min="8" max="8" width="9.6328125" bestFit="1" customWidth="1"/>
    <col min="10" max="11" width="10.81640625" bestFit="1" customWidth="1"/>
    <col min="14" max="14" width="24.08984375" bestFit="1" customWidth="1"/>
    <col min="15" max="15" width="13.36328125" bestFit="1" customWidth="1"/>
  </cols>
  <sheetData>
    <row r="3" spans="2:15" ht="28.5" x14ac:dyDescent="0.65">
      <c r="B3" s="1141" t="s">
        <v>1204</v>
      </c>
      <c r="C3" s="1142"/>
      <c r="D3" s="1142"/>
      <c r="E3" s="1142"/>
      <c r="F3" s="1142"/>
      <c r="G3" s="1142"/>
      <c r="H3" s="1142"/>
      <c r="I3" s="1142"/>
      <c r="J3" s="1142"/>
      <c r="K3" s="1142"/>
    </row>
    <row r="5" spans="2:15" x14ac:dyDescent="0.35">
      <c r="B5" t="s">
        <v>754</v>
      </c>
      <c r="C5" s="839">
        <f>'company wacc'!O31</f>
        <v>6.7380801136526877E-2</v>
      </c>
    </row>
    <row r="6" spans="2:15" x14ac:dyDescent="0.35">
      <c r="B6" t="s">
        <v>1035</v>
      </c>
      <c r="C6" s="839">
        <v>7.85E-2</v>
      </c>
    </row>
    <row r="8" spans="2:15" ht="16" x14ac:dyDescent="0.45">
      <c r="B8" s="833" t="s">
        <v>1017</v>
      </c>
      <c r="C8" s="833"/>
      <c r="D8" s="833"/>
      <c r="E8" s="833"/>
      <c r="F8" s="833"/>
      <c r="G8" s="833"/>
      <c r="H8" s="833"/>
      <c r="I8" s="833"/>
      <c r="J8" s="833"/>
      <c r="K8" s="833"/>
      <c r="N8" s="838" t="s">
        <v>1036</v>
      </c>
      <c r="O8">
        <f>K18*(1+C6)/(C5-C6)</f>
        <v>-5899350.5532754734</v>
      </c>
    </row>
    <row r="9" spans="2:15" ht="16" x14ac:dyDescent="0.45">
      <c r="B9" s="833" t="s">
        <v>49</v>
      </c>
      <c r="C9" s="833" t="s">
        <v>410</v>
      </c>
      <c r="D9" s="833" t="s">
        <v>152</v>
      </c>
      <c r="E9" s="833" t="s">
        <v>153</v>
      </c>
      <c r="F9" s="833" t="s">
        <v>868</v>
      </c>
      <c r="G9" s="833" t="s">
        <v>1071</v>
      </c>
      <c r="H9" s="833" t="s">
        <v>1072</v>
      </c>
      <c r="I9" s="833" t="s">
        <v>1073</v>
      </c>
      <c r="J9" s="833" t="s">
        <v>1018</v>
      </c>
      <c r="K9" s="833" t="s">
        <v>1019</v>
      </c>
      <c r="N9" s="838" t="s">
        <v>1037</v>
      </c>
      <c r="O9">
        <f>O8/(1+C5)^K10</f>
        <v>-4851164.9625741486</v>
      </c>
    </row>
    <row r="10" spans="2:15" x14ac:dyDescent="0.35">
      <c r="B10" s="834"/>
      <c r="C10" s="834"/>
      <c r="D10" s="834"/>
      <c r="E10" s="834"/>
      <c r="F10" s="834"/>
      <c r="G10" s="834"/>
      <c r="H10" s="834">
        <v>0</v>
      </c>
      <c r="I10" s="834">
        <v>1</v>
      </c>
      <c r="J10" s="834">
        <v>2</v>
      </c>
      <c r="K10" s="834">
        <v>3</v>
      </c>
      <c r="L10" s="834"/>
      <c r="N10" s="834"/>
    </row>
    <row r="11" spans="2:15" x14ac:dyDescent="0.35">
      <c r="B11" s="834" t="s">
        <v>661</v>
      </c>
      <c r="C11" s="834">
        <f>ANALYTICAL!E13</f>
        <v>7561</v>
      </c>
      <c r="D11" s="834">
        <f>ANALYTICAL!F13</f>
        <v>11223</v>
      </c>
      <c r="E11" s="834">
        <f>ANALYTICAL!G13</f>
        <v>11309</v>
      </c>
      <c r="F11" s="834">
        <f>ANALYTICAL!H13</f>
        <v>16893</v>
      </c>
      <c r="G11" s="842">
        <f>ANALYTICAL!I13</f>
        <v>19282.274028030966</v>
      </c>
      <c r="H11" s="842">
        <f>ANALYTICAL!J13</f>
        <v>14338.213362733732</v>
      </c>
      <c r="I11" s="842">
        <f>ANALYTICAL!K13</f>
        <v>17745.010016665234</v>
      </c>
      <c r="J11" s="842">
        <f>ANALYTICAL!L13</f>
        <v>17749.570035007768</v>
      </c>
      <c r="K11" s="842">
        <f>ANALYTICAL!M13</f>
        <v>17883.717687775425</v>
      </c>
      <c r="N11" s="834"/>
    </row>
    <row r="12" spans="2:15" x14ac:dyDescent="0.35">
      <c r="B12" s="834" t="s">
        <v>1020</v>
      </c>
      <c r="C12" s="835">
        <f>ANALYTICAL!E22</f>
        <v>0.34610000000000002</v>
      </c>
      <c r="D12" s="835">
        <f>ANALYTICAL!F22</f>
        <v>0.34610000000000002</v>
      </c>
      <c r="E12" s="835">
        <f>ANALYTICAL!G22</f>
        <v>0.34610000000000002</v>
      </c>
      <c r="F12" s="835">
        <f>ANALYTICAL!H22</f>
        <v>0.34610000000000002</v>
      </c>
      <c r="G12" s="835">
        <f>$F$12</f>
        <v>0.34610000000000002</v>
      </c>
      <c r="H12" s="835">
        <f t="shared" ref="H12:J12" si="0">$F$12</f>
        <v>0.34610000000000002</v>
      </c>
      <c r="I12" s="835">
        <f t="shared" si="0"/>
        <v>0.34610000000000002</v>
      </c>
      <c r="J12" s="835">
        <f t="shared" si="0"/>
        <v>0.34610000000000002</v>
      </c>
      <c r="K12" s="835">
        <f>$F$12</f>
        <v>0.34610000000000002</v>
      </c>
      <c r="N12" s="834"/>
    </row>
    <row r="13" spans="2:15" ht="16" x14ac:dyDescent="0.45">
      <c r="B13" s="834" t="s">
        <v>1021</v>
      </c>
      <c r="C13" s="842">
        <f>C11*(1-C12)</f>
        <v>4944.1378999999997</v>
      </c>
      <c r="D13" s="842">
        <f t="shared" ref="D13:F13" si="1">D11*(1-D12)</f>
        <v>7338.7196999999987</v>
      </c>
      <c r="E13" s="842">
        <f t="shared" si="1"/>
        <v>7394.9550999999992</v>
      </c>
      <c r="F13" s="842">
        <f t="shared" si="1"/>
        <v>11046.332699999999</v>
      </c>
      <c r="G13" s="842">
        <f t="shared" ref="G13" si="2">G11*(1-G12)</f>
        <v>12608.678986929448</v>
      </c>
      <c r="H13" s="842">
        <f t="shared" ref="H13" si="3">H11*(1-H12)</f>
        <v>9375.7577178915853</v>
      </c>
      <c r="I13" s="842">
        <f t="shared" ref="I13" si="4">I11*(1-I12)</f>
        <v>11603.462049897395</v>
      </c>
      <c r="J13" s="842">
        <f t="shared" ref="J13" si="5">J11*(1-J12)</f>
        <v>11606.443845891577</v>
      </c>
      <c r="K13" s="842">
        <f t="shared" ref="K13" si="6">K11*(1-K12)</f>
        <v>11694.162996036348</v>
      </c>
      <c r="N13" s="838" t="s">
        <v>1038</v>
      </c>
    </row>
    <row r="14" spans="2:15" x14ac:dyDescent="0.35">
      <c r="B14" s="834" t="s">
        <v>1022</v>
      </c>
      <c r="C14" s="842">
        <f>'INCOME STATEMENT'!I19</f>
        <v>1637</v>
      </c>
      <c r="D14" s="842">
        <f>'INCOME STATEMENT'!J19</f>
        <v>1547</v>
      </c>
      <c r="E14" s="842">
        <f>'INCOME STATEMENT'!K19</f>
        <v>3229</v>
      </c>
      <c r="F14" s="842">
        <f>'INCOME STATEMENT'!L19</f>
        <v>6667</v>
      </c>
      <c r="G14" s="842">
        <f>'INCOME STATEMENT'!M19</f>
        <v>6600</v>
      </c>
      <c r="H14" s="842">
        <f>'INCOME STATEMENT'!N19</f>
        <v>8153.320637266268</v>
      </c>
      <c r="I14" s="842">
        <f>'INCOME STATEMENT'!O19</f>
        <v>8166.4558436482412</v>
      </c>
      <c r="J14" s="842">
        <f>'INCOME STATEMENT'!P19</f>
        <v>8186.6375835101062</v>
      </c>
      <c r="K14" s="842">
        <f>'INCOME STATEMENT'!Q19</f>
        <v>8187.5045071313161</v>
      </c>
      <c r="N14" s="834" t="s">
        <v>1039</v>
      </c>
      <c r="O14">
        <v>288.60000000000002</v>
      </c>
    </row>
    <row r="15" spans="2:15" ht="16" x14ac:dyDescent="0.45">
      <c r="B15" s="837" t="s">
        <v>1023</v>
      </c>
      <c r="C15" s="853">
        <f>C13+C14</f>
        <v>6581.1378999999997</v>
      </c>
      <c r="D15" s="853">
        <f t="shared" ref="D15:K15" si="7">D13+D14</f>
        <v>8885.7196999999978</v>
      </c>
      <c r="E15" s="853">
        <f t="shared" si="7"/>
        <v>10623.955099999999</v>
      </c>
      <c r="F15" s="853">
        <f t="shared" si="7"/>
        <v>17713.332699999999</v>
      </c>
      <c r="G15" s="853">
        <f t="shared" si="7"/>
        <v>19208.678986929448</v>
      </c>
      <c r="H15" s="853">
        <f t="shared" si="7"/>
        <v>17529.078355157853</v>
      </c>
      <c r="I15" s="853">
        <f t="shared" si="7"/>
        <v>19769.917893545637</v>
      </c>
      <c r="J15" s="853">
        <f t="shared" si="7"/>
        <v>19793.081429401682</v>
      </c>
      <c r="K15" s="853">
        <f t="shared" si="7"/>
        <v>19881.667503167664</v>
      </c>
      <c r="N15" s="834" t="s">
        <v>1030</v>
      </c>
      <c r="O15" s="843">
        <f>K25*O14</f>
        <v>1156997.4000000001</v>
      </c>
    </row>
    <row r="16" spans="2:15" x14ac:dyDescent="0.35">
      <c r="B16" s="834" t="s">
        <v>1024</v>
      </c>
      <c r="C16" s="842">
        <f>('BALANCES SHEET'!F6+'BALANCES SHEET'!F10+'BALANCES SHEET'!F7)-('BALANCES SHEET'!E6+'BALANCES SHEET'!E10+'BALANCES SHEET'!E7)+'INCOME STATEMENT'!I19</f>
        <v>15491</v>
      </c>
      <c r="D16" s="842">
        <f>('BALANCES SHEET'!G6+'BALANCES SHEET'!G10+'BALANCES SHEET'!G7)-('BALANCES SHEET'!F6+'BALANCES SHEET'!F10+'BALANCES SHEET'!F7)+'INCOME STATEMENT'!J19</f>
        <v>24</v>
      </c>
      <c r="E16" s="842">
        <f>('BALANCES SHEET'!H6+'BALANCES SHEET'!H10+'BALANCES SHEET'!H7)-('BALANCES SHEET'!G6+'BALANCES SHEET'!G10+'BALANCES SHEET'!G7)+'INCOME STATEMENT'!K19</f>
        <v>11087</v>
      </c>
      <c r="F16" s="842">
        <f>('BALANCES SHEET'!I6+'BALANCES SHEET'!I10+'BALANCES SHEET'!I7)-('BALANCES SHEET'!H6+'BALANCES SHEET'!H10+'BALANCES SHEET'!H7)+'INCOME STATEMENT'!L19</f>
        <v>7863.9423630567762</v>
      </c>
      <c r="G16" s="842">
        <f>('BALANCES SHEET'!J6+'BALANCES SHEET'!J10+'BALANCES SHEET'!J7)-('BALANCES SHEET'!I6+'BALANCES SHEET'!I10+'BALANCES SHEET'!I7)+'INCOME STATEMENT'!M19</f>
        <v>8371.451636943224</v>
      </c>
      <c r="H16" s="842">
        <f>('BALANCES SHEET'!K6+'BALANCES SHEET'!K10+'BALANCES SHEET'!K7)-('BALANCES SHEET'!J6+'BALANCES SHEET'!J10+'BALANCES SHEET'!J7)+'INCOME STATEMENT'!N19</f>
        <v>7649.1071142984365</v>
      </c>
      <c r="I16" s="842">
        <f>('BALANCES SHEET'!L6+'BALANCES SHEET'!L10+'BALANCES SHEET'!L7)-('BALANCES SHEET'!K6+'BALANCES SHEET'!K10+'BALANCES SHEET'!K7)+'INCOME STATEMENT'!O19</f>
        <v>7443.4535143534022</v>
      </c>
      <c r="J16" s="842">
        <f>('BALANCES SHEET'!M6+'BALANCES SHEET'!M10+'BALANCES SHEET'!M7)-('BALANCES SHEET'!L6+'BALANCES SHEET'!L10+'BALANCES SHEET'!L7)+'INCOME STATEMENT'!P19</f>
        <v>8156.8945321472129</v>
      </c>
      <c r="K16" s="842">
        <f>('BALANCES SHEET'!N6+'BALANCES SHEET'!N10+'BALANCES SHEET'!N7)-('BALANCES SHEET'!M6+'BALANCES SHEET'!M10+'BALANCES SHEET'!M7)+'INCOME STATEMENT'!Q19</f>
        <v>-37788.930589243122</v>
      </c>
      <c r="N16" s="834" t="s">
        <v>1040</v>
      </c>
      <c r="O16" s="843">
        <f>'BALANCES SHEET'!M49</f>
        <v>24715.807840025154</v>
      </c>
    </row>
    <row r="17" spans="2:15" x14ac:dyDescent="0.35">
      <c r="B17" s="834" t="s">
        <v>1025</v>
      </c>
      <c r="C17" s="842">
        <f>'BALANCES SHEET'!E64</f>
        <v>11275</v>
      </c>
      <c r="D17" s="842">
        <f>'BALANCES SHEET'!F64</f>
        <v>-5619</v>
      </c>
      <c r="E17" s="842">
        <f>'BALANCES SHEET'!G64</f>
        <v>-20947</v>
      </c>
      <c r="F17" s="842">
        <f>'BALANCES SHEET'!H64</f>
        <v>-15857</v>
      </c>
      <c r="G17" s="842">
        <f>'BALANCES SHEET'!I64</f>
        <v>-17355.705027976306</v>
      </c>
      <c r="H17" s="842">
        <f>'BALANCES SHEET'!J64</f>
        <v>-24318.568252070632</v>
      </c>
      <c r="I17" s="842">
        <f>'BALANCES SHEET'!K64</f>
        <v>-8608.0853787233937</v>
      </c>
      <c r="J17" s="842">
        <f>'BALANCES SHEET'!L64</f>
        <v>869.22276836930541</v>
      </c>
      <c r="K17" s="842">
        <f>'BALANCES SHEET'!M64</f>
        <v>-3150.9614506677317</v>
      </c>
      <c r="N17" s="836" t="s">
        <v>1041</v>
      </c>
      <c r="O17">
        <f>O15*O16</f>
        <v>28596125409.808723</v>
      </c>
    </row>
    <row r="18" spans="2:15" ht="16" x14ac:dyDescent="0.45">
      <c r="B18" s="837" t="s">
        <v>1026</v>
      </c>
      <c r="C18" s="853">
        <f>C15-C16-C17</f>
        <v>-20184.862099999998</v>
      </c>
      <c r="D18" s="853">
        <f t="shared" ref="D18:K18" si="8">D15-D16-D17</f>
        <v>14480.719699999998</v>
      </c>
      <c r="E18" s="853">
        <f t="shared" si="8"/>
        <v>20483.955099999999</v>
      </c>
      <c r="F18" s="853">
        <f t="shared" si="8"/>
        <v>25706.390336943223</v>
      </c>
      <c r="G18" s="853">
        <f t="shared" si="8"/>
        <v>28192.93237796253</v>
      </c>
      <c r="H18" s="853">
        <f t="shared" si="8"/>
        <v>34198.539492930053</v>
      </c>
      <c r="I18" s="853">
        <f t="shared" si="8"/>
        <v>20934.549757915629</v>
      </c>
      <c r="J18" s="853">
        <f t="shared" si="8"/>
        <v>10766.964128885164</v>
      </c>
      <c r="K18" s="853">
        <f t="shared" si="8"/>
        <v>60821.559543078518</v>
      </c>
      <c r="N18" s="836" t="s">
        <v>464</v>
      </c>
      <c r="O18">
        <f>'INCOME STATEMENT'!L3</f>
        <v>81248</v>
      </c>
    </row>
    <row r="19" spans="2:15" x14ac:dyDescent="0.35">
      <c r="B19" s="834"/>
      <c r="C19" s="842"/>
      <c r="D19" s="842"/>
      <c r="E19" s="842"/>
      <c r="F19" s="842"/>
      <c r="G19" s="842"/>
      <c r="H19" s="842"/>
      <c r="I19" s="842"/>
      <c r="J19" s="842"/>
      <c r="K19" s="842"/>
      <c r="N19" s="836" t="s">
        <v>1023</v>
      </c>
      <c r="O19">
        <f>ANALYTICAL!H13</f>
        <v>16893</v>
      </c>
    </row>
    <row r="20" spans="2:15" ht="16" x14ac:dyDescent="0.45">
      <c r="B20" s="837" t="s">
        <v>1027</v>
      </c>
      <c r="C20" s="853"/>
      <c r="D20" s="853"/>
      <c r="E20" s="853"/>
      <c r="F20" s="853"/>
      <c r="G20" s="854"/>
      <c r="H20" s="854">
        <f>H18*(1+$C$5)^H10</f>
        <v>34198.539492930053</v>
      </c>
      <c r="I20" s="854">
        <f t="shared" ref="I20:J20" si="9">I18*(1+$C$5)^I10</f>
        <v>22345.136492036469</v>
      </c>
      <c r="J20" s="854">
        <f t="shared" si="9"/>
        <v>12266.821339468681</v>
      </c>
      <c r="K20" s="854">
        <f>K18*(1+$C$5)^K10</f>
        <v>73963.203418080666</v>
      </c>
      <c r="N20" s="834" t="s">
        <v>945</v>
      </c>
      <c r="O20">
        <f>ANALYTICAL!H20/valuations!K25</f>
        <v>0.67427912197555484</v>
      </c>
    </row>
    <row r="21" spans="2:15" x14ac:dyDescent="0.35">
      <c r="B21" s="834"/>
      <c r="C21" s="842"/>
      <c r="D21" s="842"/>
      <c r="E21" s="842"/>
      <c r="F21" s="842"/>
      <c r="G21" s="842"/>
      <c r="H21" s="842"/>
      <c r="I21" s="842"/>
      <c r="J21" s="842"/>
      <c r="K21" s="842"/>
      <c r="N21" s="834" t="s">
        <v>1042</v>
      </c>
      <c r="O21" s="843">
        <f>'BALANCES SHEET'!H31-('BALANCES SHEET'!H55+'BALANCES SHEET'!H46)</f>
        <v>55886</v>
      </c>
    </row>
    <row r="22" spans="2:15" ht="16" x14ac:dyDescent="0.45">
      <c r="B22" s="838" t="s">
        <v>1028</v>
      </c>
      <c r="C22" s="855"/>
      <c r="D22" s="855"/>
      <c r="E22" s="855"/>
      <c r="F22" s="855"/>
      <c r="G22" s="855"/>
      <c r="H22" s="855"/>
      <c r="I22" s="855"/>
      <c r="J22" s="855"/>
      <c r="K22" s="856">
        <f>SUM(I20,J20,K20,O10)*10</f>
        <v>1085751.6124958582</v>
      </c>
      <c r="N22" s="834" t="s">
        <v>1043</v>
      </c>
      <c r="O22">
        <f>O16/K25</f>
        <v>6.1650805288164516</v>
      </c>
    </row>
    <row r="23" spans="2:15" x14ac:dyDescent="0.35">
      <c r="B23" s="834" t="s">
        <v>1029</v>
      </c>
      <c r="C23" s="842"/>
      <c r="D23" s="842"/>
      <c r="E23" s="842"/>
      <c r="F23" s="842"/>
      <c r="G23" s="842"/>
      <c r="H23" s="842"/>
      <c r="I23" s="842"/>
      <c r="J23" s="842"/>
      <c r="K23" s="842"/>
      <c r="N23" s="834"/>
    </row>
    <row r="24" spans="2:15" ht="16" x14ac:dyDescent="0.45">
      <c r="B24" s="837" t="s">
        <v>1030</v>
      </c>
      <c r="C24" s="857"/>
      <c r="D24" s="857"/>
      <c r="E24" s="857"/>
      <c r="F24" s="857"/>
      <c r="G24" s="858"/>
      <c r="H24" s="858"/>
      <c r="I24" s="858"/>
      <c r="J24" s="858"/>
      <c r="K24" s="854">
        <f>(K22-K23)</f>
        <v>1085751.6124958582</v>
      </c>
      <c r="N24" s="838" t="s">
        <v>1044</v>
      </c>
      <c r="O24">
        <f>O14/O20</f>
        <v>428.01265914097644</v>
      </c>
    </row>
    <row r="25" spans="2:15" ht="16" x14ac:dyDescent="0.45">
      <c r="B25" s="834" t="s">
        <v>1031</v>
      </c>
      <c r="C25" s="842"/>
      <c r="D25" s="842"/>
      <c r="E25" s="842"/>
      <c r="F25" s="842"/>
      <c r="G25" s="842"/>
      <c r="H25" s="842"/>
      <c r="I25" s="842"/>
      <c r="J25" s="842"/>
      <c r="K25" s="842">
        <f>NOTES!I576</f>
        <v>4009</v>
      </c>
      <c r="N25" s="838" t="s">
        <v>1045</v>
      </c>
      <c r="O25">
        <f>O14/O21</f>
        <v>5.1640840282002652E-3</v>
      </c>
    </row>
    <row r="26" spans="2:15" ht="16" x14ac:dyDescent="0.45">
      <c r="B26" s="838" t="s">
        <v>1032</v>
      </c>
      <c r="C26" s="855"/>
      <c r="D26" s="855"/>
      <c r="E26" s="855"/>
      <c r="F26" s="855"/>
      <c r="G26" s="855"/>
      <c r="H26" s="855"/>
      <c r="I26" s="855"/>
      <c r="J26" s="855"/>
      <c r="K26" s="862">
        <f>K24/K25</f>
        <v>270.82853891141389</v>
      </c>
      <c r="L26" s="859"/>
      <c r="N26" s="838" t="s">
        <v>1046</v>
      </c>
      <c r="O26">
        <f>O14/O22</f>
        <v>46.812040597206007</v>
      </c>
    </row>
    <row r="27" spans="2:15" ht="16" x14ac:dyDescent="0.45">
      <c r="B27" s="834" t="s">
        <v>1033</v>
      </c>
      <c r="C27" s="842"/>
      <c r="D27" s="842"/>
      <c r="E27" s="842"/>
      <c r="F27" s="842"/>
      <c r="G27" s="842"/>
      <c r="H27" s="842"/>
      <c r="I27" s="842"/>
      <c r="J27" s="842"/>
      <c r="K27" s="863">
        <v>288.60000000000002</v>
      </c>
      <c r="N27" s="838" t="s">
        <v>1047</v>
      </c>
      <c r="O27">
        <f>O17/O19</f>
        <v>1692779.5779203649</v>
      </c>
    </row>
  </sheetData>
  <mergeCells count="1">
    <mergeCell ref="B3:K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K34"/>
  <sheetViews>
    <sheetView workbookViewId="0">
      <selection activeCell="B3" sqref="B3"/>
    </sheetView>
  </sheetViews>
  <sheetFormatPr defaultRowHeight="14" x14ac:dyDescent="0.3"/>
  <cols>
    <col min="1" max="1" width="8.7265625" style="17"/>
    <col min="2" max="2" width="102.81640625" style="17" bestFit="1" customWidth="1"/>
    <col min="3" max="5" width="8.7265625" style="17"/>
    <col min="6" max="6" width="29.7265625" style="17" bestFit="1" customWidth="1"/>
    <col min="7" max="16384" width="8.7265625" style="17"/>
  </cols>
  <sheetData>
    <row r="3" spans="2:11" ht="30" x14ac:dyDescent="0.6">
      <c r="B3" s="7" t="s">
        <v>41</v>
      </c>
      <c r="C3" s="8"/>
      <c r="D3" s="8"/>
      <c r="E3" s="8"/>
      <c r="F3" s="1137" t="s">
        <v>213</v>
      </c>
      <c r="G3" s="1137"/>
      <c r="H3" s="1137"/>
      <c r="I3" s="1137"/>
      <c r="J3" s="1137"/>
      <c r="K3" s="1137"/>
    </row>
    <row r="4" spans="2:11" ht="14.5" thickBot="1" x14ac:dyDescent="0.35"/>
    <row r="5" spans="2:11" x14ac:dyDescent="0.3">
      <c r="B5" s="6" t="s">
        <v>9</v>
      </c>
      <c r="C5" s="522"/>
      <c r="D5" s="523">
        <f>ANALYTICAL!E7/ANALYTICAL!D7</f>
        <v>0.86322545651780869</v>
      </c>
      <c r="F5" s="2" t="s">
        <v>176</v>
      </c>
      <c r="H5" s="319"/>
    </row>
    <row r="6" spans="2:11" x14ac:dyDescent="0.3">
      <c r="B6" s="4" t="s">
        <v>10</v>
      </c>
      <c r="D6" s="524">
        <f>'INCOME STATEMENT'!K4/('BALANCES SHEET'!G15+'BALANCES SHEET'!G28)</f>
        <v>0.48362068965517241</v>
      </c>
      <c r="H6" s="319"/>
    </row>
    <row r="7" spans="2:11" x14ac:dyDescent="0.3">
      <c r="B7" s="3"/>
      <c r="D7" s="524">
        <f>SUM(D5:D6)</f>
        <v>1.346846146172981</v>
      </c>
      <c r="H7" s="319"/>
    </row>
    <row r="8" spans="2:11" x14ac:dyDescent="0.3">
      <c r="B8" s="3"/>
      <c r="D8" s="23"/>
      <c r="H8" s="319"/>
    </row>
    <row r="9" spans="2:11" x14ac:dyDescent="0.3">
      <c r="B9" s="3" t="s">
        <v>30</v>
      </c>
      <c r="D9" s="524">
        <f>'INCOME STATEMENT'!K7/'INCOME STATEMENT'!K3</f>
        <v>-0.28883002378236239</v>
      </c>
      <c r="H9" s="319"/>
    </row>
    <row r="10" spans="2:11" x14ac:dyDescent="0.3">
      <c r="B10" s="3" t="s">
        <v>31</v>
      </c>
      <c r="D10" s="524">
        <f>'INCOME STATEMENT'!K8/'INCOME STATEMENT'!K3</f>
        <v>0.32583769987818789</v>
      </c>
      <c r="H10" s="319"/>
    </row>
    <row r="11" spans="2:11" x14ac:dyDescent="0.3">
      <c r="B11" s="3" t="s">
        <v>32</v>
      </c>
      <c r="D11" s="524">
        <f>'INCOME STATEMENT'!K9/'INCOME STATEMENT'!K3</f>
        <v>9.6444246795181654E-2</v>
      </c>
      <c r="H11" s="319"/>
    </row>
    <row r="12" spans="2:11" x14ac:dyDescent="0.3">
      <c r="B12" s="3" t="s">
        <v>33</v>
      </c>
      <c r="D12" s="524">
        <f>'INCOME STATEMENT'!K10/'INCOME STATEMENT'!K3</f>
        <v>1.9857305825712022E-2</v>
      </c>
      <c r="H12" s="319"/>
    </row>
    <row r="13" spans="2:11" x14ac:dyDescent="0.3">
      <c r="B13" s="3" t="s">
        <v>34</v>
      </c>
      <c r="D13" s="524">
        <f>'INCOME STATEMENT'!K11/'INCOME STATEMENT'!K3</f>
        <v>0.26961078133761285</v>
      </c>
      <c r="H13" s="319"/>
    </row>
    <row r="14" spans="2:11" x14ac:dyDescent="0.3">
      <c r="B14" s="3" t="s">
        <v>35</v>
      </c>
      <c r="D14" s="524">
        <f>'INCOME STATEMENT'!K12/'INCOME STATEMENT'!K3</f>
        <v>5.5260155842146989E-2</v>
      </c>
      <c r="H14" s="319"/>
    </row>
    <row r="15" spans="2:11" x14ac:dyDescent="0.3">
      <c r="B15" s="3" t="s">
        <v>36</v>
      </c>
      <c r="D15" s="524">
        <f>'INCOME STATEMENT'!K13/'INCOME STATEMENT'!K3</f>
        <v>5.1045070477000715E-2</v>
      </c>
      <c r="H15" s="319"/>
    </row>
    <row r="16" spans="2:11" x14ac:dyDescent="0.3">
      <c r="B16" s="3" t="s">
        <v>37</v>
      </c>
      <c r="D16" s="524">
        <f>'INCOME STATEMENT'!K14/'INCOME STATEMENT'!K3</f>
        <v>2.3743691873392758E-2</v>
      </c>
      <c r="H16" s="319"/>
    </row>
    <row r="17" spans="2:8" x14ac:dyDescent="0.3">
      <c r="B17" s="3" t="s">
        <v>1</v>
      </c>
      <c r="D17" s="524">
        <f>'INCOME STATEMENT'!K15/'INCOME STATEMENT'!K3</f>
        <v>0</v>
      </c>
      <c r="H17" s="319"/>
    </row>
    <row r="18" spans="2:8" x14ac:dyDescent="0.3">
      <c r="B18" s="3" t="s">
        <v>2</v>
      </c>
      <c r="D18" s="524">
        <f>'INCOME STATEMENT'!K16/'INCOME STATEMENT'!K3</f>
        <v>0</v>
      </c>
      <c r="H18" s="319"/>
    </row>
    <row r="19" spans="2:8" x14ac:dyDescent="0.3">
      <c r="B19" s="3" t="s">
        <v>3</v>
      </c>
      <c r="D19" s="524">
        <f>'INCOME STATEMENT'!K17/'INCOME STATEMENT'!K3</f>
        <v>7.7070322318683659E-2</v>
      </c>
      <c r="H19" s="319"/>
    </row>
    <row r="20" spans="2:8" x14ac:dyDescent="0.3">
      <c r="B20" s="4" t="s">
        <v>4</v>
      </c>
      <c r="D20" s="524">
        <f>'INCOME STATEMENT'!K18/'INCOME STATEMENT'!K3</f>
        <v>0.13975521568475802</v>
      </c>
      <c r="H20" s="319"/>
    </row>
    <row r="21" spans="2:8" x14ac:dyDescent="0.3">
      <c r="B21" s="4" t="s">
        <v>11</v>
      </c>
      <c r="D21" s="525" t="s">
        <v>796</v>
      </c>
      <c r="H21" s="319"/>
    </row>
    <row r="22" spans="2:8" x14ac:dyDescent="0.3">
      <c r="B22" s="3" t="s">
        <v>5</v>
      </c>
      <c r="D22" s="524">
        <f>'INCOME STATEMENT'!K19/'INCOME STATEMENT'!K3</f>
        <v>6.243353506448307E-2</v>
      </c>
      <c r="H22" s="319"/>
    </row>
    <row r="23" spans="2:8" x14ac:dyDescent="0.3">
      <c r="B23" s="3" t="s">
        <v>733</v>
      </c>
      <c r="D23" s="524">
        <f>SUM(D9:D22)</f>
        <v>0.83222800131479713</v>
      </c>
      <c r="H23" s="319"/>
    </row>
    <row r="24" spans="2:8" x14ac:dyDescent="0.3">
      <c r="B24" s="12" t="s">
        <v>38</v>
      </c>
      <c r="D24" s="526">
        <f>D7-D23</f>
        <v>0.51461814485818391</v>
      </c>
      <c r="H24" s="319"/>
    </row>
    <row r="25" spans="2:8" x14ac:dyDescent="0.3">
      <c r="B25" s="3"/>
      <c r="D25" s="524"/>
      <c r="H25" s="319"/>
    </row>
    <row r="26" spans="2:8" x14ac:dyDescent="0.3">
      <c r="B26" s="13" t="s">
        <v>21</v>
      </c>
      <c r="D26" s="524">
        <f>'INCOME STATEMENT'!K25/'INCOME STATEMENT'!K3</f>
        <v>5.9359229683481896E-3</v>
      </c>
      <c r="H26" s="319"/>
    </row>
    <row r="27" spans="2:8" x14ac:dyDescent="0.3">
      <c r="B27" s="5" t="s">
        <v>22</v>
      </c>
      <c r="D27" s="524">
        <f>'INCOME STATEMENT'!K30/'INCOME STATEMENT'!K26</f>
        <v>0.61992504684572147</v>
      </c>
      <c r="H27" s="319"/>
    </row>
    <row r="28" spans="2:8" x14ac:dyDescent="0.3">
      <c r="B28" s="3"/>
      <c r="D28" s="524"/>
      <c r="H28" s="319"/>
    </row>
    <row r="29" spans="2:8" x14ac:dyDescent="0.3">
      <c r="B29" s="3"/>
      <c r="D29" s="524"/>
      <c r="H29" s="319"/>
    </row>
    <row r="30" spans="2:8" x14ac:dyDescent="0.3">
      <c r="B30" s="3"/>
      <c r="D30" s="524"/>
      <c r="H30" s="319"/>
    </row>
    <row r="31" spans="2:8" x14ac:dyDescent="0.3">
      <c r="B31" s="3"/>
      <c r="D31" s="23"/>
    </row>
    <row r="32" spans="2:8" x14ac:dyDescent="0.3">
      <c r="B32" s="3"/>
      <c r="D32" s="23"/>
    </row>
    <row r="33" spans="2:4" x14ac:dyDescent="0.3">
      <c r="B33" s="3"/>
      <c r="D33" s="23"/>
    </row>
    <row r="34" spans="2:4" ht="14.5" thickBot="1" x14ac:dyDescent="0.35">
      <c r="B34" s="24"/>
      <c r="C34" s="122"/>
      <c r="D34" s="26"/>
    </row>
  </sheetData>
  <mergeCells count="1">
    <mergeCell ref="F3:K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F51FB-8EBB-4709-8B94-F451754C2DC4}">
  <dimension ref="C2:AG125"/>
  <sheetViews>
    <sheetView zoomScale="85" zoomScaleNormal="85" workbookViewId="0">
      <selection activeCell="D53" sqref="D53:D67"/>
    </sheetView>
  </sheetViews>
  <sheetFormatPr defaultRowHeight="14" x14ac:dyDescent="0.3"/>
  <cols>
    <col min="1" max="3" width="8.7265625" style="17"/>
    <col min="4" max="4" width="9.7265625" style="17" bestFit="1" customWidth="1"/>
    <col min="5" max="20" width="8.7265625" style="17"/>
    <col min="21" max="21" width="18.36328125" style="17" bestFit="1" customWidth="1"/>
    <col min="22" max="22" width="11.08984375" style="17" bestFit="1" customWidth="1"/>
    <col min="23" max="23" width="11.36328125" style="17" bestFit="1" customWidth="1"/>
    <col min="24" max="24" width="7.81640625" style="17" bestFit="1" customWidth="1"/>
    <col min="25" max="26" width="8.7265625" style="17"/>
    <col min="27" max="27" width="17" style="17" bestFit="1" customWidth="1"/>
    <col min="28" max="28" width="14.81640625" style="17" bestFit="1" customWidth="1"/>
    <col min="29" max="16384" width="8.7265625" style="17"/>
  </cols>
  <sheetData>
    <row r="2" spans="3:25" x14ac:dyDescent="0.3">
      <c r="C2" s="1140" t="s">
        <v>1049</v>
      </c>
      <c r="D2" s="1009"/>
      <c r="E2" s="1009"/>
      <c r="F2" s="1009"/>
      <c r="G2" s="1009"/>
      <c r="H2" s="27"/>
      <c r="I2" s="1103" t="s">
        <v>1054</v>
      </c>
      <c r="J2" s="1103"/>
      <c r="K2" s="1103"/>
      <c r="L2" s="1103"/>
      <c r="M2" s="1103"/>
      <c r="O2" s="1103" t="s">
        <v>1055</v>
      </c>
      <c r="P2" s="1103"/>
      <c r="Q2" s="1103"/>
      <c r="R2" s="1103"/>
      <c r="S2" s="1103"/>
    </row>
    <row r="3" spans="3:25" x14ac:dyDescent="0.3">
      <c r="C3" s="19"/>
      <c r="D3" s="861" t="s">
        <v>1050</v>
      </c>
      <c r="E3" s="19" t="s">
        <v>1051</v>
      </c>
      <c r="F3" s="19" t="s">
        <v>1052</v>
      </c>
      <c r="G3" s="19" t="s">
        <v>1053</v>
      </c>
      <c r="I3" s="19"/>
      <c r="J3" s="861" t="s">
        <v>1050</v>
      </c>
      <c r="K3" s="19" t="s">
        <v>1051</v>
      </c>
      <c r="L3" s="19" t="s">
        <v>1052</v>
      </c>
      <c r="M3" s="19" t="s">
        <v>1053</v>
      </c>
      <c r="O3" s="19"/>
      <c r="P3" s="861" t="s">
        <v>1050</v>
      </c>
      <c r="Q3" s="19" t="s">
        <v>1051</v>
      </c>
      <c r="R3" s="19" t="s">
        <v>1052</v>
      </c>
      <c r="S3" s="19" t="s">
        <v>1053</v>
      </c>
    </row>
    <row r="4" spans="3:25" x14ac:dyDescent="0.3">
      <c r="C4" s="19" t="s">
        <v>1048</v>
      </c>
      <c r="D4" s="19"/>
      <c r="E4" s="19"/>
      <c r="F4" s="19"/>
      <c r="G4" s="19"/>
      <c r="I4" s="19" t="s">
        <v>1048</v>
      </c>
      <c r="J4" s="19"/>
      <c r="K4" s="19"/>
      <c r="L4" s="19"/>
      <c r="M4" s="19"/>
      <c r="O4" s="19" t="s">
        <v>1048</v>
      </c>
      <c r="P4" s="19"/>
      <c r="Q4" s="19"/>
      <c r="R4" s="19"/>
      <c r="S4" s="19"/>
    </row>
    <row r="5" spans="3:25" x14ac:dyDescent="0.3">
      <c r="C5" s="864">
        <v>40544</v>
      </c>
      <c r="D5" s="19">
        <v>149.4</v>
      </c>
      <c r="E5" s="19">
        <v>471.6</v>
      </c>
      <c r="F5" s="19">
        <v>245.8</v>
      </c>
      <c r="G5" s="19">
        <v>18327.759765999999</v>
      </c>
      <c r="I5" s="864">
        <v>40544</v>
      </c>
      <c r="J5" s="19"/>
      <c r="K5" s="19"/>
      <c r="L5" s="19"/>
      <c r="M5" s="19"/>
      <c r="O5" s="864">
        <v>40544</v>
      </c>
      <c r="P5" s="19"/>
      <c r="Q5" s="19"/>
      <c r="R5" s="19"/>
      <c r="S5" s="19"/>
    </row>
    <row r="6" spans="3:25" x14ac:dyDescent="0.3">
      <c r="C6" s="864">
        <v>40575</v>
      </c>
      <c r="D6" s="19">
        <v>116.2</v>
      </c>
      <c r="E6" s="19">
        <v>331.9</v>
      </c>
      <c r="F6" s="19">
        <v>218.25</v>
      </c>
      <c r="G6" s="19">
        <v>17823.400390999999</v>
      </c>
      <c r="I6" s="864">
        <v>40575</v>
      </c>
      <c r="J6" s="508">
        <f>(D6-D5)/D5</f>
        <v>-0.22222222222222224</v>
      </c>
      <c r="K6" s="508">
        <f t="shared" ref="K6:M21" si="0">(E6-E5)/E5</f>
        <v>-0.29622561492790511</v>
      </c>
      <c r="L6" s="508">
        <f t="shared" si="0"/>
        <v>-0.1120829943043125</v>
      </c>
      <c r="M6" s="508">
        <f t="shared" si="0"/>
        <v>-2.7518877453623213E-2</v>
      </c>
      <c r="O6" s="864">
        <v>40575</v>
      </c>
      <c r="P6" s="508">
        <f>1+J6</f>
        <v>0.77777777777777779</v>
      </c>
      <c r="Q6" s="508">
        <f t="shared" ref="Q6:S6" si="1">1+K6</f>
        <v>0.70377438507209489</v>
      </c>
      <c r="R6" s="508">
        <f t="shared" si="1"/>
        <v>0.88791700569568754</v>
      </c>
      <c r="S6" s="508">
        <f t="shared" si="1"/>
        <v>0.97248112254637675</v>
      </c>
      <c r="U6" s="867" t="s">
        <v>49</v>
      </c>
      <c r="V6" s="861" t="s">
        <v>1050</v>
      </c>
      <c r="W6" s="19" t="s">
        <v>1051</v>
      </c>
      <c r="X6" s="19" t="s">
        <v>1052</v>
      </c>
      <c r="Y6" s="19" t="s">
        <v>1053</v>
      </c>
    </row>
    <row r="7" spans="3:25" x14ac:dyDescent="0.3">
      <c r="C7" s="864">
        <v>40603</v>
      </c>
      <c r="D7" s="19">
        <v>125</v>
      </c>
      <c r="E7" s="19">
        <v>290.60000000000002</v>
      </c>
      <c r="F7" s="19">
        <v>251.8</v>
      </c>
      <c r="G7" s="19">
        <v>19445.220702999999</v>
      </c>
      <c r="I7" s="864">
        <v>40603</v>
      </c>
      <c r="J7" s="508">
        <f t="shared" ref="J7:J70" si="2">(D7-D6)/D6</f>
        <v>7.5731497418244378E-2</v>
      </c>
      <c r="K7" s="508">
        <f t="shared" si="0"/>
        <v>-0.12443507080445905</v>
      </c>
      <c r="L7" s="508">
        <f t="shared" si="0"/>
        <v>0.15372279495990843</v>
      </c>
      <c r="M7" s="508">
        <f t="shared" si="0"/>
        <v>9.0993877510541971E-2</v>
      </c>
      <c r="O7" s="864">
        <v>40603</v>
      </c>
      <c r="P7" s="508">
        <f t="shared" ref="P7:P70" si="3">(1+J7)</f>
        <v>1.0757314974182444</v>
      </c>
      <c r="Q7" s="508">
        <f t="shared" ref="Q7:Q70" si="4">(1+K7)</f>
        <v>0.87556492919554096</v>
      </c>
      <c r="R7" s="508">
        <f t="shared" ref="R7:R70" si="5">(1+L7)</f>
        <v>1.1537227949599085</v>
      </c>
      <c r="S7" s="508">
        <f t="shared" ref="S7:S70" si="6">(1+M7)</f>
        <v>1.0909938775105419</v>
      </c>
      <c r="U7" s="868" t="s">
        <v>1056</v>
      </c>
      <c r="V7" s="869">
        <f>AVERAGE(J6:J125)</f>
        <v>1.2973820291390438E-2</v>
      </c>
      <c r="W7" s="869">
        <f t="shared" ref="W7:Y7" si="7">AVERAGE(K6:K125)</f>
        <v>8.7924961460301883E-3</v>
      </c>
      <c r="X7" s="869">
        <f t="shared" si="7"/>
        <v>1.1549175876752086E-2</v>
      </c>
      <c r="Y7" s="869">
        <f t="shared" si="7"/>
        <v>9.4107941938430511E-3</v>
      </c>
    </row>
    <row r="8" spans="3:25" x14ac:dyDescent="0.3">
      <c r="C8" s="864">
        <v>40634</v>
      </c>
      <c r="D8" s="19">
        <v>145.6</v>
      </c>
      <c r="E8" s="19">
        <v>336.8</v>
      </c>
      <c r="F8" s="19">
        <v>253.05</v>
      </c>
      <c r="G8" s="19">
        <v>19135.960938</v>
      </c>
      <c r="I8" s="864">
        <v>40634</v>
      </c>
      <c r="J8" s="508">
        <f t="shared" si="2"/>
        <v>0.16479999999999995</v>
      </c>
      <c r="K8" s="508">
        <f t="shared" si="0"/>
        <v>0.15898141775636609</v>
      </c>
      <c r="L8" s="508">
        <f t="shared" si="0"/>
        <v>4.9642573471008738E-3</v>
      </c>
      <c r="M8" s="508">
        <f t="shared" si="0"/>
        <v>-1.590415299078022E-2</v>
      </c>
      <c r="O8" s="864">
        <v>40634</v>
      </c>
      <c r="P8" s="508">
        <f t="shared" si="3"/>
        <v>1.1648000000000001</v>
      </c>
      <c r="Q8" s="508">
        <f t="shared" si="4"/>
        <v>1.1589814177563662</v>
      </c>
      <c r="R8" s="508">
        <f t="shared" si="5"/>
        <v>1.0049642573471009</v>
      </c>
      <c r="S8" s="508">
        <f t="shared" si="6"/>
        <v>0.98409584700921982</v>
      </c>
      <c r="U8" s="868" t="s">
        <v>1057</v>
      </c>
      <c r="V8" s="870">
        <f>V7*12</f>
        <v>0.15568584349668527</v>
      </c>
      <c r="W8" s="870">
        <f t="shared" ref="W8:Y8" si="8">W7*12</f>
        <v>0.10550995375236226</v>
      </c>
      <c r="X8" s="870">
        <f t="shared" si="8"/>
        <v>0.13859011052102505</v>
      </c>
      <c r="Y8" s="870">
        <f t="shared" si="8"/>
        <v>0.11292953032611661</v>
      </c>
    </row>
    <row r="9" spans="3:25" x14ac:dyDescent="0.3">
      <c r="C9" s="864">
        <v>40664</v>
      </c>
      <c r="D9" s="19">
        <v>148.80000000000001</v>
      </c>
      <c r="E9" s="19">
        <v>316.35000000000002</v>
      </c>
      <c r="F9" s="19">
        <v>225</v>
      </c>
      <c r="G9" s="19">
        <v>18503.279297000001</v>
      </c>
      <c r="I9" s="864">
        <v>40664</v>
      </c>
      <c r="J9" s="508">
        <f t="shared" si="2"/>
        <v>2.1978021978022098E-2</v>
      </c>
      <c r="K9" s="508">
        <f t="shared" si="0"/>
        <v>-6.0718527315914456E-2</v>
      </c>
      <c r="L9" s="508">
        <f t="shared" si="0"/>
        <v>-0.11084765856550093</v>
      </c>
      <c r="M9" s="508">
        <f t="shared" si="0"/>
        <v>-3.3062444214318309E-2</v>
      </c>
      <c r="O9" s="864">
        <v>40664</v>
      </c>
      <c r="P9" s="508">
        <f t="shared" si="3"/>
        <v>1.0219780219780221</v>
      </c>
      <c r="Q9" s="508">
        <f t="shared" si="4"/>
        <v>0.93928147268408557</v>
      </c>
      <c r="R9" s="508">
        <f t="shared" si="5"/>
        <v>0.88915234143449906</v>
      </c>
      <c r="S9" s="508">
        <f t="shared" si="6"/>
        <v>0.96693755578568164</v>
      </c>
      <c r="U9" s="868" t="s">
        <v>1058</v>
      </c>
      <c r="V9" s="871">
        <f>MEDIAN(J6:J125)</f>
        <v>1.7406671790682948E-2</v>
      </c>
      <c r="W9" s="871">
        <f t="shared" ref="W9:Y9" si="9">MEDIAN(K6:K125)</f>
        <v>5.6359027447414898E-3</v>
      </c>
      <c r="X9" s="871">
        <f t="shared" si="9"/>
        <v>1.2681683447679134E-2</v>
      </c>
      <c r="Y9" s="871">
        <f t="shared" si="9"/>
        <v>8.8306493867831987E-3</v>
      </c>
    </row>
    <row r="10" spans="3:25" x14ac:dyDescent="0.3">
      <c r="C10" s="864">
        <v>40695</v>
      </c>
      <c r="D10" s="19">
        <v>120.45</v>
      </c>
      <c r="E10" s="19">
        <v>303.75</v>
      </c>
      <c r="F10" s="19">
        <v>240.2</v>
      </c>
      <c r="G10" s="19">
        <v>18845.869140999999</v>
      </c>
      <c r="I10" s="864">
        <v>40695</v>
      </c>
      <c r="J10" s="508">
        <f t="shared" si="2"/>
        <v>-0.19052419354838715</v>
      </c>
      <c r="K10" s="508">
        <f t="shared" si="0"/>
        <v>-3.9829302987197793E-2</v>
      </c>
      <c r="L10" s="508">
        <f t="shared" si="0"/>
        <v>6.7555555555555508E-2</v>
      </c>
      <c r="M10" s="508">
        <f t="shared" si="0"/>
        <v>1.8515087974462101E-2</v>
      </c>
      <c r="O10" s="864">
        <v>40695</v>
      </c>
      <c r="P10" s="508">
        <f t="shared" si="3"/>
        <v>0.80947580645161288</v>
      </c>
      <c r="Q10" s="508">
        <f t="shared" si="4"/>
        <v>0.96017069701280222</v>
      </c>
      <c r="R10" s="508">
        <f t="shared" si="5"/>
        <v>1.0675555555555556</v>
      </c>
      <c r="S10" s="508">
        <f t="shared" si="6"/>
        <v>1.018515087974462</v>
      </c>
      <c r="U10" s="868" t="s">
        <v>1059</v>
      </c>
      <c r="V10" s="870">
        <f t="shared" ref="V10:Y10" si="10">V9*12</f>
        <v>0.20888006148819538</v>
      </c>
      <c r="W10" s="870">
        <f t="shared" si="10"/>
        <v>6.7630832936897881E-2</v>
      </c>
      <c r="X10" s="870">
        <f t="shared" si="10"/>
        <v>0.1521802013721496</v>
      </c>
      <c r="Y10" s="870">
        <f t="shared" si="10"/>
        <v>0.10596779264139838</v>
      </c>
    </row>
    <row r="11" spans="3:25" x14ac:dyDescent="0.3">
      <c r="C11" s="864">
        <v>40725</v>
      </c>
      <c r="D11" s="19">
        <v>131.25</v>
      </c>
      <c r="E11" s="19">
        <v>291.5</v>
      </c>
      <c r="F11" s="19">
        <v>235.9</v>
      </c>
      <c r="G11" s="19">
        <v>18197.199218999998</v>
      </c>
      <c r="I11" s="864">
        <v>40725</v>
      </c>
      <c r="J11" s="508">
        <f t="shared" si="2"/>
        <v>8.9663760896637579E-2</v>
      </c>
      <c r="K11" s="508">
        <f t="shared" si="0"/>
        <v>-4.0329218106995884E-2</v>
      </c>
      <c r="L11" s="508">
        <f t="shared" si="0"/>
        <v>-1.7901748542880864E-2</v>
      </c>
      <c r="M11" s="508">
        <f t="shared" si="0"/>
        <v>-3.4419740323294062E-2</v>
      </c>
      <c r="O11" s="864">
        <v>40725</v>
      </c>
      <c r="P11" s="508">
        <f t="shared" si="3"/>
        <v>1.0896637608966375</v>
      </c>
      <c r="Q11" s="508">
        <f t="shared" si="4"/>
        <v>0.95967078189300414</v>
      </c>
      <c r="R11" s="508">
        <f t="shared" si="5"/>
        <v>0.98209825145711915</v>
      </c>
      <c r="S11" s="508">
        <f t="shared" si="6"/>
        <v>0.96558025967670591</v>
      </c>
      <c r="U11" s="872" t="s">
        <v>1060</v>
      </c>
      <c r="V11" s="65"/>
      <c r="W11" s="65"/>
      <c r="X11" s="65"/>
      <c r="Y11" s="65"/>
    </row>
    <row r="12" spans="3:25" x14ac:dyDescent="0.3">
      <c r="C12" s="864">
        <v>40756</v>
      </c>
      <c r="D12" s="19">
        <v>98.5</v>
      </c>
      <c r="E12" s="19">
        <v>251.95</v>
      </c>
      <c r="F12" s="19">
        <v>225</v>
      </c>
      <c r="G12" s="19">
        <v>16676.75</v>
      </c>
      <c r="I12" s="864">
        <v>40756</v>
      </c>
      <c r="J12" s="508">
        <f t="shared" si="2"/>
        <v>-0.24952380952380954</v>
      </c>
      <c r="K12" s="508">
        <f t="shared" si="0"/>
        <v>-0.13567753001715269</v>
      </c>
      <c r="L12" s="508">
        <f t="shared" si="0"/>
        <v>-4.6206019499788066E-2</v>
      </c>
      <c r="M12" s="508">
        <f t="shared" si="0"/>
        <v>-8.355402392981838E-2</v>
      </c>
      <c r="O12" s="864">
        <v>40756</v>
      </c>
      <c r="P12" s="508">
        <f t="shared" si="3"/>
        <v>0.75047619047619052</v>
      </c>
      <c r="Q12" s="508">
        <f t="shared" si="4"/>
        <v>0.86432246998284734</v>
      </c>
      <c r="R12" s="508">
        <f t="shared" si="5"/>
        <v>0.95379398050021191</v>
      </c>
      <c r="S12" s="508">
        <f t="shared" si="6"/>
        <v>0.91644597607018163</v>
      </c>
      <c r="U12" s="872" t="s">
        <v>1061</v>
      </c>
      <c r="V12" s="873">
        <f>EFFECT(V13*12,12)</f>
        <v>6.4278420803974612E-2</v>
      </c>
      <c r="W12" s="873">
        <f>(1+W13)^12-1</f>
        <v>-2.4871462485913987E-2</v>
      </c>
      <c r="X12" s="873">
        <f>EFFECT(X13*12,12)</f>
        <v>8.5914168147678271E-2</v>
      </c>
      <c r="Y12" s="873">
        <f>EFFECT(Y13*12,12)</f>
        <v>0.10235315068558148</v>
      </c>
    </row>
    <row r="13" spans="3:25" x14ac:dyDescent="0.3">
      <c r="C13" s="864">
        <v>40787</v>
      </c>
      <c r="D13" s="19">
        <v>91.65</v>
      </c>
      <c r="E13" s="19">
        <v>309.75</v>
      </c>
      <c r="F13" s="19">
        <v>229.45</v>
      </c>
      <c r="G13" s="19">
        <v>16453.759765999999</v>
      </c>
      <c r="I13" s="864">
        <v>40787</v>
      </c>
      <c r="J13" s="508">
        <f t="shared" si="2"/>
        <v>-6.9543147208121769E-2</v>
      </c>
      <c r="K13" s="508">
        <f t="shared" si="0"/>
        <v>0.22941059734074226</v>
      </c>
      <c r="L13" s="508">
        <f t="shared" si="0"/>
        <v>1.9777777777777727E-2</v>
      </c>
      <c r="M13" s="508">
        <f t="shared" si="0"/>
        <v>-1.3371324388744856E-2</v>
      </c>
      <c r="O13" s="864">
        <v>40787</v>
      </c>
      <c r="P13" s="508">
        <f t="shared" si="3"/>
        <v>0.93045685279187818</v>
      </c>
      <c r="Q13" s="508">
        <f t="shared" si="4"/>
        <v>1.2294105973407423</v>
      </c>
      <c r="R13" s="508">
        <f t="shared" si="5"/>
        <v>1.0197777777777777</v>
      </c>
      <c r="S13" s="508">
        <f t="shared" si="6"/>
        <v>0.98662867561125511</v>
      </c>
      <c r="U13" s="868" t="s">
        <v>1062</v>
      </c>
      <c r="V13" s="874">
        <f>GEOMEAN(P6:P125)-1</f>
        <v>5.2049179638540277E-3</v>
      </c>
      <c r="W13" s="874">
        <f t="shared" ref="W13:Y13" si="11">GEOMEAN(Q6:Q125)-1</f>
        <v>-2.0966309361669655E-3</v>
      </c>
      <c r="X13" s="874">
        <f t="shared" si="11"/>
        <v>6.8921576439180399E-3</v>
      </c>
      <c r="Y13" s="874">
        <f t="shared" si="11"/>
        <v>8.1536550197502944E-3</v>
      </c>
    </row>
    <row r="14" spans="3:25" x14ac:dyDescent="0.3">
      <c r="C14" s="864">
        <v>40817</v>
      </c>
      <c r="D14" s="19">
        <v>99.15</v>
      </c>
      <c r="E14" s="19">
        <v>361.1</v>
      </c>
      <c r="F14" s="19">
        <v>233.4</v>
      </c>
      <c r="G14" s="19">
        <v>17705.009765999999</v>
      </c>
      <c r="I14" s="864">
        <v>40817</v>
      </c>
      <c r="J14" s="508">
        <f t="shared" si="2"/>
        <v>8.1833060556464804E-2</v>
      </c>
      <c r="K14" s="508">
        <f t="shared" si="0"/>
        <v>0.16577885391444722</v>
      </c>
      <c r="L14" s="508">
        <f t="shared" si="0"/>
        <v>1.7215079538025788E-2</v>
      </c>
      <c r="M14" s="508">
        <f t="shared" si="0"/>
        <v>7.6046448823543625E-2</v>
      </c>
      <c r="O14" s="864">
        <v>40817</v>
      </c>
      <c r="P14" s="508">
        <f t="shared" si="3"/>
        <v>1.0818330605564648</v>
      </c>
      <c r="Q14" s="508">
        <f t="shared" si="4"/>
        <v>1.1657788539144471</v>
      </c>
      <c r="R14" s="508">
        <f t="shared" si="5"/>
        <v>1.0172150795380257</v>
      </c>
      <c r="S14" s="508">
        <f t="shared" si="6"/>
        <v>1.0760464488235437</v>
      </c>
      <c r="U14" s="868" t="s">
        <v>1063</v>
      </c>
      <c r="V14" s="77">
        <f>V15*12</f>
        <v>0.18512514447184075</v>
      </c>
      <c r="W14" s="77">
        <f t="shared" ref="W14:Y14" si="12">W15*12</f>
        <v>0.24909894752499015</v>
      </c>
      <c r="X14" s="77">
        <f t="shared" si="12"/>
        <v>0.11120254310652457</v>
      </c>
      <c r="Y14" s="77">
        <f t="shared" si="12"/>
        <v>2.9822629510177563E-2</v>
      </c>
    </row>
    <row r="15" spans="3:25" x14ac:dyDescent="0.3">
      <c r="C15" s="864">
        <v>40848</v>
      </c>
      <c r="D15" s="19">
        <v>80.95</v>
      </c>
      <c r="E15" s="19">
        <v>374.05</v>
      </c>
      <c r="F15" s="19">
        <v>220.1</v>
      </c>
      <c r="G15" s="19">
        <v>16123.459961</v>
      </c>
      <c r="I15" s="864">
        <v>40848</v>
      </c>
      <c r="J15" s="508">
        <f t="shared" si="2"/>
        <v>-0.18356026222894606</v>
      </c>
      <c r="K15" s="508">
        <f t="shared" si="0"/>
        <v>3.5862641927443886E-2</v>
      </c>
      <c r="L15" s="508">
        <f t="shared" si="0"/>
        <v>-5.6983718937446491E-2</v>
      </c>
      <c r="M15" s="508">
        <f t="shared" si="0"/>
        <v>-8.9327813195401021E-2</v>
      </c>
      <c r="O15" s="864">
        <v>40848</v>
      </c>
      <c r="P15" s="508">
        <f t="shared" si="3"/>
        <v>0.81643973777105394</v>
      </c>
      <c r="Q15" s="508">
        <f t="shared" si="4"/>
        <v>1.0358626419274439</v>
      </c>
      <c r="R15" s="508">
        <f t="shared" si="5"/>
        <v>0.94301628106255353</v>
      </c>
      <c r="S15" s="508">
        <f t="shared" si="6"/>
        <v>0.91067218680459894</v>
      </c>
      <c r="U15" s="868" t="s">
        <v>1064</v>
      </c>
      <c r="V15" s="870">
        <f>_xlfn.VAR.S(J6:J125)</f>
        <v>1.5427095372653396E-2</v>
      </c>
      <c r="W15" s="870">
        <f t="shared" ref="W15:Y15" si="13">_xlfn.VAR.S(K6:K125)</f>
        <v>2.0758245627082512E-2</v>
      </c>
      <c r="X15" s="870">
        <f t="shared" si="13"/>
        <v>9.2668785922103807E-3</v>
      </c>
      <c r="Y15" s="870">
        <f t="shared" si="13"/>
        <v>2.4852191258481304E-3</v>
      </c>
    </row>
    <row r="16" spans="3:25" x14ac:dyDescent="0.3">
      <c r="C16" s="864">
        <v>40878</v>
      </c>
      <c r="D16" s="19">
        <v>70.75</v>
      </c>
      <c r="E16" s="19">
        <v>302.55</v>
      </c>
      <c r="F16" s="19">
        <v>208.5</v>
      </c>
      <c r="G16" s="19">
        <v>15454.919921999999</v>
      </c>
      <c r="I16" s="864">
        <v>40878</v>
      </c>
      <c r="J16" s="508">
        <f t="shared" si="2"/>
        <v>-0.12600370599135272</v>
      </c>
      <c r="K16" s="508">
        <f t="shared" si="0"/>
        <v>-0.19115091565298756</v>
      </c>
      <c r="L16" s="508">
        <f t="shared" si="0"/>
        <v>-5.2703316674238956E-2</v>
      </c>
      <c r="M16" s="508">
        <f t="shared" si="0"/>
        <v>-4.1463807434452021E-2</v>
      </c>
      <c r="O16" s="864">
        <v>40878</v>
      </c>
      <c r="P16" s="508">
        <f t="shared" si="3"/>
        <v>0.87399629400864731</v>
      </c>
      <c r="Q16" s="508">
        <f t="shared" si="4"/>
        <v>0.80884908434701241</v>
      </c>
      <c r="R16" s="508">
        <f t="shared" si="5"/>
        <v>0.947296683325761</v>
      </c>
      <c r="S16" s="508">
        <f t="shared" si="6"/>
        <v>0.95853619256554801</v>
      </c>
      <c r="U16" s="868" t="s">
        <v>1065</v>
      </c>
      <c r="V16" s="77">
        <f>V17*SQRT(12)</f>
        <v>0.42846520854624287</v>
      </c>
      <c r="W16" s="77">
        <f t="shared" ref="W16:X16" si="14">W17*SQRT(12)</f>
        <v>0.49701420800846513</v>
      </c>
      <c r="X16" s="77">
        <f t="shared" si="14"/>
        <v>0.33207808606908035</v>
      </c>
      <c r="Y16" s="77">
        <f>Y17*SQRT(12)</f>
        <v>0.17197124061189054</v>
      </c>
    </row>
    <row r="17" spans="3:25" x14ac:dyDescent="0.3">
      <c r="C17" s="864">
        <v>40909</v>
      </c>
      <c r="D17" s="19">
        <v>75.95</v>
      </c>
      <c r="E17" s="19">
        <v>304.60000000000002</v>
      </c>
      <c r="F17" s="19">
        <v>250.6</v>
      </c>
      <c r="G17" s="19">
        <v>17193.550781000002</v>
      </c>
      <c r="I17" s="864">
        <v>40909</v>
      </c>
      <c r="J17" s="508">
        <f t="shared" si="2"/>
        <v>7.3498233215547742E-2</v>
      </c>
      <c r="K17" s="508">
        <f t="shared" si="0"/>
        <v>6.7757395471823214E-3</v>
      </c>
      <c r="L17" s="508">
        <f t="shared" si="0"/>
        <v>0.20191846522781773</v>
      </c>
      <c r="M17" s="508">
        <f t="shared" si="0"/>
        <v>0.11249691798953099</v>
      </c>
      <c r="O17" s="864">
        <v>40909</v>
      </c>
      <c r="P17" s="508">
        <f t="shared" si="3"/>
        <v>1.0734982332155478</v>
      </c>
      <c r="Q17" s="508">
        <f t="shared" si="4"/>
        <v>1.0067757395471824</v>
      </c>
      <c r="R17" s="508">
        <f t="shared" si="5"/>
        <v>1.2019184652278176</v>
      </c>
      <c r="S17" s="508">
        <f t="shared" si="6"/>
        <v>1.112496917989531</v>
      </c>
      <c r="U17" s="875" t="s">
        <v>1066</v>
      </c>
      <c r="V17" s="870">
        <f>_xlfn.STDEV.P(J6:J125)</f>
        <v>0.12368725174628124</v>
      </c>
      <c r="W17" s="870">
        <f t="shared" ref="W17:Y17" si="15">_xlfn.STDEV.P(K6:K125)</f>
        <v>0.14347564339237801</v>
      </c>
      <c r="X17" s="870">
        <f t="shared" si="15"/>
        <v>9.5862686191979629E-2</v>
      </c>
      <c r="Y17" s="870">
        <f t="shared" si="15"/>
        <v>4.9643821030074455E-2</v>
      </c>
    </row>
    <row r="18" spans="3:25" x14ac:dyDescent="0.3">
      <c r="C18" s="864">
        <v>40940</v>
      </c>
      <c r="D18" s="19">
        <v>104</v>
      </c>
      <c r="E18" s="19">
        <v>384.9</v>
      </c>
      <c r="F18" s="19">
        <v>283.89999999999998</v>
      </c>
      <c r="G18" s="19">
        <v>17752.679688</v>
      </c>
      <c r="I18" s="864">
        <v>40940</v>
      </c>
      <c r="J18" s="508">
        <f t="shared" si="2"/>
        <v>0.36932192231731398</v>
      </c>
      <c r="K18" s="508">
        <f t="shared" si="0"/>
        <v>0.26362442547603399</v>
      </c>
      <c r="L18" s="508">
        <f t="shared" si="0"/>
        <v>0.13288108539505181</v>
      </c>
      <c r="M18" s="508">
        <f t="shared" si="0"/>
        <v>3.2519687999402219E-2</v>
      </c>
      <c r="O18" s="864">
        <v>40940</v>
      </c>
      <c r="P18" s="508">
        <f t="shared" si="3"/>
        <v>1.3693219223173139</v>
      </c>
      <c r="Q18" s="508">
        <f t="shared" si="4"/>
        <v>1.263624425476034</v>
      </c>
      <c r="R18" s="508">
        <f t="shared" si="5"/>
        <v>1.1328810853950517</v>
      </c>
      <c r="S18" s="508">
        <f t="shared" si="6"/>
        <v>1.0325196879994023</v>
      </c>
    </row>
    <row r="19" spans="3:25" x14ac:dyDescent="0.3">
      <c r="C19" s="864">
        <v>40969</v>
      </c>
      <c r="D19" s="19">
        <v>99.85</v>
      </c>
      <c r="E19" s="19">
        <v>381.15</v>
      </c>
      <c r="F19" s="19">
        <v>268.55</v>
      </c>
      <c r="G19" s="19">
        <v>17404.199218999998</v>
      </c>
      <c r="I19" s="864">
        <v>40969</v>
      </c>
      <c r="J19" s="508">
        <f t="shared" si="2"/>
        <v>-3.9903846153846206E-2</v>
      </c>
      <c r="K19" s="508">
        <f t="shared" si="0"/>
        <v>-9.7427903351519889E-3</v>
      </c>
      <c r="L19" s="508">
        <f t="shared" si="0"/>
        <v>-5.4068333920394389E-2</v>
      </c>
      <c r="M19" s="508">
        <f t="shared" si="0"/>
        <v>-1.962973900979911E-2</v>
      </c>
      <c r="O19" s="864">
        <v>40969</v>
      </c>
      <c r="P19" s="508">
        <f t="shared" si="3"/>
        <v>0.96009615384615377</v>
      </c>
      <c r="Q19" s="508">
        <f t="shared" si="4"/>
        <v>0.99025720966484798</v>
      </c>
      <c r="R19" s="508">
        <f t="shared" si="5"/>
        <v>0.94593166607960566</v>
      </c>
      <c r="S19" s="508">
        <f t="shared" si="6"/>
        <v>0.98037026099020086</v>
      </c>
      <c r="U19" s="1139" t="s">
        <v>1067</v>
      </c>
      <c r="V19" s="1139"/>
      <c r="W19" s="1139"/>
      <c r="X19" s="1139"/>
      <c r="Y19" s="1139"/>
    </row>
    <row r="20" spans="3:25" x14ac:dyDescent="0.3">
      <c r="C20" s="864">
        <v>41000</v>
      </c>
      <c r="D20" s="19">
        <v>110.2</v>
      </c>
      <c r="E20" s="19">
        <v>379.95</v>
      </c>
      <c r="F20" s="19">
        <v>270.14999999999998</v>
      </c>
      <c r="G20" s="19">
        <v>17318.810547000001</v>
      </c>
      <c r="I20" s="864">
        <v>41000</v>
      </c>
      <c r="J20" s="508">
        <f t="shared" si="2"/>
        <v>0.10365548322483735</v>
      </c>
      <c r="K20" s="508">
        <f t="shared" si="0"/>
        <v>-3.1483667847303914E-3</v>
      </c>
      <c r="L20" s="508">
        <f t="shared" si="0"/>
        <v>5.9579221746414663E-3</v>
      </c>
      <c r="M20" s="508">
        <f t="shared" si="0"/>
        <v>-4.9062109049394995E-3</v>
      </c>
      <c r="O20" s="864">
        <v>41000</v>
      </c>
      <c r="P20" s="508">
        <f t="shared" si="3"/>
        <v>1.1036554832248373</v>
      </c>
      <c r="Q20" s="508">
        <f t="shared" si="4"/>
        <v>0.99685163321526959</v>
      </c>
      <c r="R20" s="508">
        <f t="shared" si="5"/>
        <v>1.0059579221746415</v>
      </c>
      <c r="S20" s="508">
        <f t="shared" si="6"/>
        <v>0.99509378909506052</v>
      </c>
      <c r="U20" s="867" t="s">
        <v>49</v>
      </c>
      <c r="V20" s="861" t="s">
        <v>1050</v>
      </c>
      <c r="W20" s="19" t="s">
        <v>1051</v>
      </c>
      <c r="X20" s="19" t="s">
        <v>1052</v>
      </c>
      <c r="Y20" s="19" t="s">
        <v>1053</v>
      </c>
    </row>
    <row r="21" spans="3:25" x14ac:dyDescent="0.3">
      <c r="C21" s="864">
        <v>41030</v>
      </c>
      <c r="D21" s="19">
        <v>115.35</v>
      </c>
      <c r="E21" s="19">
        <v>374.5</v>
      </c>
      <c r="F21" s="19">
        <v>257.25</v>
      </c>
      <c r="G21" s="19">
        <v>16218.530273</v>
      </c>
      <c r="I21" s="864">
        <v>41030</v>
      </c>
      <c r="J21" s="508">
        <f t="shared" si="2"/>
        <v>4.6733212341197747E-2</v>
      </c>
      <c r="K21" s="508">
        <f t="shared" si="0"/>
        <v>-1.4343992630609261E-2</v>
      </c>
      <c r="L21" s="508">
        <f t="shared" si="0"/>
        <v>-4.7751249305941067E-2</v>
      </c>
      <c r="M21" s="508">
        <f t="shared" si="0"/>
        <v>-6.3530937705799512E-2</v>
      </c>
      <c r="O21" s="864">
        <v>41030</v>
      </c>
      <c r="P21" s="508">
        <f t="shared" si="3"/>
        <v>1.0467332123411976</v>
      </c>
      <c r="Q21" s="508">
        <f t="shared" si="4"/>
        <v>0.98565600736939074</v>
      </c>
      <c r="R21" s="508">
        <f t="shared" si="5"/>
        <v>0.9522487506940589</v>
      </c>
      <c r="S21" s="508">
        <f t="shared" si="6"/>
        <v>0.93646906229420046</v>
      </c>
      <c r="U21" s="861" t="s">
        <v>1050</v>
      </c>
      <c r="V21" s="876">
        <f>CORREL($J$6:$J$125,J6:J125)</f>
        <v>1</v>
      </c>
      <c r="W21" s="876">
        <f>CORREL($J$6:$J$125,K6:K125)</f>
        <v>0.57020906213874734</v>
      </c>
      <c r="X21" s="876">
        <f t="shared" ref="X21:Y21" si="16">CORREL($J$6:$J$125,L6:L125)</f>
        <v>0.60251816870284047</v>
      </c>
      <c r="Y21" s="876">
        <f t="shared" si="16"/>
        <v>0.60521014314313926</v>
      </c>
    </row>
    <row r="22" spans="3:25" x14ac:dyDescent="0.3">
      <c r="C22" s="864">
        <v>41061</v>
      </c>
      <c r="D22" s="19">
        <v>117</v>
      </c>
      <c r="E22" s="19">
        <v>352.35</v>
      </c>
      <c r="F22" s="19">
        <v>242.75</v>
      </c>
      <c r="G22" s="19">
        <v>17429.980468999998</v>
      </c>
      <c r="I22" s="864">
        <v>41061</v>
      </c>
      <c r="J22" s="508">
        <f t="shared" si="2"/>
        <v>1.4304291287386266E-2</v>
      </c>
      <c r="K22" s="508">
        <f t="shared" ref="K22:K85" si="17">(E22-E21)/E21</f>
        <v>-5.9145527369826374E-2</v>
      </c>
      <c r="L22" s="508">
        <f t="shared" ref="L22:M85" si="18">(F22-F21)/F21</f>
        <v>-5.6365403304178816E-2</v>
      </c>
      <c r="M22" s="508">
        <f t="shared" si="18"/>
        <v>7.4695436368656332E-2</v>
      </c>
      <c r="O22" s="864">
        <v>41061</v>
      </c>
      <c r="P22" s="508">
        <f t="shared" si="3"/>
        <v>1.0143042912873863</v>
      </c>
      <c r="Q22" s="508">
        <f t="shared" si="4"/>
        <v>0.94085447263017363</v>
      </c>
      <c r="R22" s="508">
        <f t="shared" si="5"/>
        <v>0.94363459669582117</v>
      </c>
      <c r="S22" s="508">
        <f t="shared" si="6"/>
        <v>1.0746954363686563</v>
      </c>
      <c r="U22" s="19" t="s">
        <v>1051</v>
      </c>
      <c r="V22" s="876">
        <f t="shared" ref="V22:V24" si="19">CORREL($J$6:$J$125,J7:J126)</f>
        <v>-1.383018187688481E-2</v>
      </c>
      <c r="W22" s="876">
        <f t="shared" ref="W22:Y22" si="20">CORREL($J$6:$J$125,K6:K125)</f>
        <v>0.57020906213874734</v>
      </c>
      <c r="X22" s="876">
        <f t="shared" si="20"/>
        <v>0.60251816870284047</v>
      </c>
      <c r="Y22" s="876">
        <f t="shared" si="20"/>
        <v>0.60521014314313926</v>
      </c>
    </row>
    <row r="23" spans="3:25" x14ac:dyDescent="0.3">
      <c r="C23" s="864">
        <v>41091</v>
      </c>
      <c r="D23" s="19">
        <v>111.85</v>
      </c>
      <c r="E23" s="19">
        <v>354.85</v>
      </c>
      <c r="F23" s="19">
        <v>230.55</v>
      </c>
      <c r="G23" s="19">
        <v>17236.179688</v>
      </c>
      <c r="I23" s="864">
        <v>41091</v>
      </c>
      <c r="J23" s="508">
        <f t="shared" si="2"/>
        <v>-4.4017094017094069E-2</v>
      </c>
      <c r="K23" s="508">
        <f t="shared" si="17"/>
        <v>7.0952178231871712E-3</v>
      </c>
      <c r="L23" s="508">
        <f t="shared" si="18"/>
        <v>-5.025746652935114E-2</v>
      </c>
      <c r="M23" s="508">
        <f t="shared" si="18"/>
        <v>-1.1118818024190071E-2</v>
      </c>
      <c r="O23" s="864">
        <v>41091</v>
      </c>
      <c r="P23" s="508">
        <f t="shared" si="3"/>
        <v>0.95598290598290592</v>
      </c>
      <c r="Q23" s="508">
        <f t="shared" si="4"/>
        <v>1.0070952178231871</v>
      </c>
      <c r="R23" s="508">
        <f t="shared" si="5"/>
        <v>0.94974253347064885</v>
      </c>
      <c r="S23" s="508">
        <f t="shared" si="6"/>
        <v>0.98888118197580988</v>
      </c>
      <c r="U23" s="19" t="s">
        <v>1052</v>
      </c>
      <c r="V23" s="876">
        <f t="shared" si="19"/>
        <v>2.9274267188833792E-2</v>
      </c>
      <c r="W23" s="876">
        <f t="shared" ref="W23:Y23" si="21">CORREL($J$6:$J$125,K6:K125)</f>
        <v>0.57020906213874734</v>
      </c>
      <c r="X23" s="876">
        <f t="shared" si="21"/>
        <v>0.60251816870284047</v>
      </c>
      <c r="Y23" s="876">
        <f t="shared" si="21"/>
        <v>0.60521014314313926</v>
      </c>
    </row>
    <row r="24" spans="3:25" x14ac:dyDescent="0.3">
      <c r="C24" s="864">
        <v>41122</v>
      </c>
      <c r="D24" s="19">
        <v>104.8</v>
      </c>
      <c r="E24" s="19">
        <v>317.85000000000002</v>
      </c>
      <c r="F24" s="19">
        <v>228.25</v>
      </c>
      <c r="G24" s="19">
        <v>17380.75</v>
      </c>
      <c r="I24" s="864">
        <v>41122</v>
      </c>
      <c r="J24" s="508">
        <f t="shared" si="2"/>
        <v>-6.3030844881537748E-2</v>
      </c>
      <c r="K24" s="508">
        <f t="shared" si="17"/>
        <v>-0.10426940960969423</v>
      </c>
      <c r="L24" s="508">
        <f t="shared" si="18"/>
        <v>-9.9761440034700118E-3</v>
      </c>
      <c r="M24" s="508">
        <f t="shared" si="18"/>
        <v>8.387607614734437E-3</v>
      </c>
      <c r="O24" s="864">
        <v>41122</v>
      </c>
      <c r="P24" s="508">
        <f t="shared" si="3"/>
        <v>0.93696915511846224</v>
      </c>
      <c r="Q24" s="508">
        <f t="shared" si="4"/>
        <v>0.89573059039030578</v>
      </c>
      <c r="R24" s="508">
        <f t="shared" si="5"/>
        <v>0.99002385599652998</v>
      </c>
      <c r="S24" s="508">
        <f t="shared" si="6"/>
        <v>1.0083876076147344</v>
      </c>
      <c r="U24" s="19" t="s">
        <v>1053</v>
      </c>
      <c r="V24" s="876">
        <f t="shared" si="19"/>
        <v>-8.7547771592692003E-2</v>
      </c>
      <c r="W24" s="876">
        <f t="shared" ref="W24:Y24" si="22">CORREL($J$6:$J$125,K6:K125)</f>
        <v>0.57020906213874734</v>
      </c>
      <c r="X24" s="876">
        <f t="shared" si="22"/>
        <v>0.60251816870284047</v>
      </c>
      <c r="Y24" s="876">
        <f t="shared" si="22"/>
        <v>0.60521014314313926</v>
      </c>
    </row>
    <row r="25" spans="3:25" x14ac:dyDescent="0.3">
      <c r="C25" s="864">
        <v>41153</v>
      </c>
      <c r="D25" s="19">
        <v>135.65</v>
      </c>
      <c r="E25" s="19">
        <v>318.39999999999998</v>
      </c>
      <c r="F25" s="19">
        <v>265</v>
      </c>
      <c r="G25" s="19">
        <v>18762.740234000001</v>
      </c>
      <c r="I25" s="864">
        <v>41153</v>
      </c>
      <c r="J25" s="508">
        <f t="shared" si="2"/>
        <v>0.29437022900763365</v>
      </c>
      <c r="K25" s="508">
        <f t="shared" si="17"/>
        <v>1.7303759635046547E-3</v>
      </c>
      <c r="L25" s="508">
        <f t="shared" si="18"/>
        <v>0.16100766703176342</v>
      </c>
      <c r="M25" s="508">
        <f t="shared" si="18"/>
        <v>7.951269272039474E-2</v>
      </c>
      <c r="O25" s="864">
        <v>41153</v>
      </c>
      <c r="P25" s="508">
        <f t="shared" si="3"/>
        <v>1.2943702290076335</v>
      </c>
      <c r="Q25" s="508">
        <f t="shared" si="4"/>
        <v>1.0017303759635046</v>
      </c>
      <c r="R25" s="508">
        <f t="shared" si="5"/>
        <v>1.1610076670317635</v>
      </c>
      <c r="S25" s="508">
        <f t="shared" si="6"/>
        <v>1.0795126927203946</v>
      </c>
    </row>
    <row r="26" spans="3:25" x14ac:dyDescent="0.3">
      <c r="C26" s="864">
        <v>41183</v>
      </c>
      <c r="D26" s="19">
        <v>153.80000000000001</v>
      </c>
      <c r="E26" s="19">
        <v>317.89999999999998</v>
      </c>
      <c r="F26" s="19">
        <v>273.2</v>
      </c>
      <c r="G26" s="19">
        <v>18505.380859000001</v>
      </c>
      <c r="I26" s="864">
        <v>41183</v>
      </c>
      <c r="J26" s="508">
        <f t="shared" si="2"/>
        <v>0.13380022115739038</v>
      </c>
      <c r="K26" s="508">
        <f t="shared" si="17"/>
        <v>-1.5703517587939699E-3</v>
      </c>
      <c r="L26" s="508">
        <f t="shared" si="18"/>
        <v>3.0943396226415051E-2</v>
      </c>
      <c r="M26" s="508">
        <f t="shared" si="18"/>
        <v>-1.3716513248615921E-2</v>
      </c>
      <c r="O26" s="864">
        <v>41183</v>
      </c>
      <c r="P26" s="508">
        <f t="shared" si="3"/>
        <v>1.1338002211573903</v>
      </c>
      <c r="Q26" s="508">
        <f t="shared" si="4"/>
        <v>0.99842964824120606</v>
      </c>
      <c r="R26" s="508">
        <f t="shared" si="5"/>
        <v>1.030943396226415</v>
      </c>
      <c r="S26" s="508">
        <f t="shared" si="6"/>
        <v>0.98628348675138411</v>
      </c>
      <c r="U26" s="1139" t="s">
        <v>1070</v>
      </c>
      <c r="V26" s="1139"/>
      <c r="W26" s="1139"/>
      <c r="X26" s="1139"/>
      <c r="Y26" s="1139"/>
    </row>
    <row r="27" spans="3:25" x14ac:dyDescent="0.3">
      <c r="C27" s="864">
        <v>41214</v>
      </c>
      <c r="D27" s="19">
        <v>165</v>
      </c>
      <c r="E27" s="19">
        <v>390.6</v>
      </c>
      <c r="F27" s="19">
        <v>286.10000000000002</v>
      </c>
      <c r="G27" s="19">
        <v>19339.900390999999</v>
      </c>
      <c r="I27" s="864">
        <v>41214</v>
      </c>
      <c r="J27" s="508">
        <f t="shared" si="2"/>
        <v>7.2821846553966105E-2</v>
      </c>
      <c r="K27" s="508">
        <f t="shared" si="17"/>
        <v>0.22868826675055065</v>
      </c>
      <c r="L27" s="508">
        <f t="shared" si="18"/>
        <v>4.721815519765752E-2</v>
      </c>
      <c r="M27" s="508">
        <f t="shared" si="18"/>
        <v>4.5096047379869733E-2</v>
      </c>
      <c r="O27" s="864">
        <v>41214</v>
      </c>
      <c r="P27" s="508">
        <f t="shared" si="3"/>
        <v>1.0728218465539661</v>
      </c>
      <c r="Q27" s="508">
        <f t="shared" si="4"/>
        <v>1.2286882667505505</v>
      </c>
      <c r="R27" s="508">
        <f t="shared" si="5"/>
        <v>1.0472181551976576</v>
      </c>
      <c r="S27" s="508">
        <f t="shared" si="6"/>
        <v>1.0450960473798698</v>
      </c>
      <c r="U27" s="867" t="s">
        <v>49</v>
      </c>
      <c r="V27" s="861" t="s">
        <v>1050</v>
      </c>
      <c r="W27" s="19" t="s">
        <v>1051</v>
      </c>
      <c r="X27" s="19" t="s">
        <v>1052</v>
      </c>
      <c r="Y27" s="19" t="s">
        <v>1053</v>
      </c>
    </row>
    <row r="28" spans="3:25" x14ac:dyDescent="0.3">
      <c r="C28" s="864">
        <v>41244</v>
      </c>
      <c r="D28" s="19">
        <v>179.15</v>
      </c>
      <c r="E28" s="19">
        <v>469.75</v>
      </c>
      <c r="F28" s="19">
        <v>290.2</v>
      </c>
      <c r="G28" s="19">
        <v>19426.710938</v>
      </c>
      <c r="I28" s="864">
        <v>41244</v>
      </c>
      <c r="J28" s="508">
        <f t="shared" si="2"/>
        <v>8.5757575757575796E-2</v>
      </c>
      <c r="K28" s="508">
        <f t="shared" si="17"/>
        <v>0.20263696876600096</v>
      </c>
      <c r="L28" s="508">
        <f t="shared" si="18"/>
        <v>1.4330653617616098E-2</v>
      </c>
      <c r="M28" s="508">
        <f t="shared" si="18"/>
        <v>4.4886760140915227E-3</v>
      </c>
      <c r="O28" s="864">
        <v>41244</v>
      </c>
      <c r="P28" s="508">
        <f t="shared" si="3"/>
        <v>1.0857575757575757</v>
      </c>
      <c r="Q28" s="508">
        <f t="shared" si="4"/>
        <v>1.202636968766001</v>
      </c>
      <c r="R28" s="508">
        <f t="shared" si="5"/>
        <v>1.0143306536176162</v>
      </c>
      <c r="S28" s="508">
        <f t="shared" si="6"/>
        <v>1.0044886760140914</v>
      </c>
      <c r="U28" s="861" t="s">
        <v>1050</v>
      </c>
      <c r="V28" s="876">
        <f>_xlfn.COVARIANCE.S($J$6:$J$125,J6:J125)*12</f>
        <v>0.18512514447184081</v>
      </c>
      <c r="W28" s="876">
        <f>_xlfn.COVARIANCE.S($K$6:$K$125,J6:J125)*12</f>
        <v>0.1224483018694856</v>
      </c>
      <c r="X28" s="876">
        <f>_xlfn.COVARIANCE.S($L$6:$L$125,J6:J125)*12</f>
        <v>8.6449047449498689E-2</v>
      </c>
      <c r="Y28" s="876">
        <f>_xlfn.COVARIANCE.S($M$6:$M$125,J6:J125)*12</f>
        <v>4.4968859167004389E-2</v>
      </c>
    </row>
    <row r="29" spans="3:25" x14ac:dyDescent="0.3">
      <c r="C29" s="864">
        <v>41275</v>
      </c>
      <c r="D29" s="19">
        <v>180.6</v>
      </c>
      <c r="E29" s="19">
        <v>483.95</v>
      </c>
      <c r="F29" s="19">
        <v>291.7</v>
      </c>
      <c r="G29" s="19">
        <v>19894.980468999998</v>
      </c>
      <c r="I29" s="864">
        <v>41275</v>
      </c>
      <c r="J29" s="508">
        <f t="shared" si="2"/>
        <v>8.0937761652246087E-3</v>
      </c>
      <c r="K29" s="508">
        <f t="shared" si="17"/>
        <v>3.0228845130388482E-2</v>
      </c>
      <c r="L29" s="508">
        <f t="shared" si="18"/>
        <v>5.1688490696071678E-3</v>
      </c>
      <c r="M29" s="508">
        <f t="shared" si="18"/>
        <v>2.4104416465271547E-2</v>
      </c>
      <c r="O29" s="864">
        <v>41275</v>
      </c>
      <c r="P29" s="508">
        <f t="shared" si="3"/>
        <v>1.0080937761652247</v>
      </c>
      <c r="Q29" s="508">
        <f t="shared" si="4"/>
        <v>1.0302288451303885</v>
      </c>
      <c r="R29" s="508">
        <f t="shared" si="5"/>
        <v>1.0051688490696071</v>
      </c>
      <c r="S29" s="508">
        <f t="shared" si="6"/>
        <v>1.0241044164652715</v>
      </c>
      <c r="U29" s="19" t="s">
        <v>1051</v>
      </c>
      <c r="V29" s="876">
        <f>_xlfn.COVARIANCE.S($J$6:$J$125,K6:K125)*12</f>
        <v>0.1224483018694856</v>
      </c>
      <c r="W29" s="876">
        <f>_xlfn.COVARIANCE.S(K7:K126,K7:K126)*12</f>
        <v>0.24166915586538287</v>
      </c>
      <c r="X29" s="876">
        <f>_xlfn.COVARIANCE.S($L$6:$L$125,K6:K125)*12</f>
        <v>7.3169083261801326E-2</v>
      </c>
      <c r="Y29" s="876">
        <f>_xlfn.COVARIANCE.S($M$6:$M$125,K6:K125)*12</f>
        <v>3.4005024604484957E-2</v>
      </c>
    </row>
    <row r="30" spans="3:25" x14ac:dyDescent="0.3">
      <c r="C30" s="864">
        <v>41306</v>
      </c>
      <c r="D30" s="19">
        <v>168.5</v>
      </c>
      <c r="E30" s="19">
        <v>469.9</v>
      </c>
      <c r="F30" s="19">
        <v>274.2</v>
      </c>
      <c r="G30" s="19">
        <v>18861.539063</v>
      </c>
      <c r="I30" s="864">
        <v>41306</v>
      </c>
      <c r="J30" s="508">
        <f t="shared" si="2"/>
        <v>-6.6998892580287905E-2</v>
      </c>
      <c r="K30" s="508">
        <f t="shared" si="17"/>
        <v>-2.9031924785618373E-2</v>
      </c>
      <c r="L30" s="508">
        <f t="shared" si="18"/>
        <v>-5.9993143640726776E-2</v>
      </c>
      <c r="M30" s="508">
        <f t="shared" si="18"/>
        <v>-5.1944831391530541E-2</v>
      </c>
      <c r="O30" s="864">
        <v>41306</v>
      </c>
      <c r="P30" s="508">
        <f t="shared" si="3"/>
        <v>0.93300110741971209</v>
      </c>
      <c r="Q30" s="508">
        <f t="shared" si="4"/>
        <v>0.97096807521438167</v>
      </c>
      <c r="R30" s="508">
        <f t="shared" si="5"/>
        <v>0.94000685635927317</v>
      </c>
      <c r="S30" s="508">
        <f t="shared" si="6"/>
        <v>0.9480551686084695</v>
      </c>
      <c r="U30" s="19" t="s">
        <v>1052</v>
      </c>
      <c r="V30" s="876">
        <f>_xlfn.COVARIANCE.S($J$6:$J$125,L6:L125)*12</f>
        <v>8.6449047449498689E-2</v>
      </c>
      <c r="W30" s="876">
        <f>_xlfn.COVARIANCE.S(K8:K127,L8:L127)*12</f>
        <v>7.2501914389651548E-2</v>
      </c>
      <c r="X30" s="876">
        <f>_xlfn.COVARIANCE.S($L$6:$L$125,L6:L125)*12</f>
        <v>0.1112025431065245</v>
      </c>
      <c r="Y30" s="876">
        <f>_xlfn.COVARIANCE.S($M$6:$M$125,L6:L125)*12</f>
        <v>3.421249723710805E-2</v>
      </c>
    </row>
    <row r="31" spans="3:25" x14ac:dyDescent="0.3">
      <c r="C31" s="864">
        <v>41334</v>
      </c>
      <c r="D31" s="19">
        <v>162.69999999999999</v>
      </c>
      <c r="E31" s="19">
        <v>403.45</v>
      </c>
      <c r="F31" s="19">
        <v>257.05</v>
      </c>
      <c r="G31" s="19">
        <v>18835.769531000002</v>
      </c>
      <c r="I31" s="864">
        <v>41334</v>
      </c>
      <c r="J31" s="508">
        <f t="shared" si="2"/>
        <v>-3.4421364985163273E-2</v>
      </c>
      <c r="K31" s="508">
        <f t="shared" si="17"/>
        <v>-0.14141306660991698</v>
      </c>
      <c r="L31" s="508">
        <f t="shared" si="18"/>
        <v>-6.2545587162654917E-2</v>
      </c>
      <c r="M31" s="508">
        <f t="shared" si="18"/>
        <v>-1.3662475747034659E-3</v>
      </c>
      <c r="O31" s="864">
        <v>41334</v>
      </c>
      <c r="P31" s="508">
        <f t="shared" si="3"/>
        <v>0.96557863501483676</v>
      </c>
      <c r="Q31" s="508">
        <f t="shared" si="4"/>
        <v>0.85858693339008307</v>
      </c>
      <c r="R31" s="508">
        <f t="shared" si="5"/>
        <v>0.9374544128373451</v>
      </c>
      <c r="S31" s="508">
        <f t="shared" si="6"/>
        <v>0.99863375242529651</v>
      </c>
      <c r="U31" s="19" t="s">
        <v>1053</v>
      </c>
      <c r="V31" s="876">
        <f>_xlfn.COVARIANCE.S($J$6:$J$125,M6:M125)*12</f>
        <v>4.4968859167004389E-2</v>
      </c>
      <c r="W31" s="876">
        <f>_xlfn.COVARIANCE.S(K9:K128,M9:M128)*12</f>
        <v>3.5241830418002773E-2</v>
      </c>
      <c r="X31" s="876">
        <f>_xlfn.COVARIANCE.S($L$6:$L$125,M6:M125)*12</f>
        <v>3.421249723710805E-2</v>
      </c>
      <c r="Y31" s="876">
        <f>_xlfn.COVARIANCE.S($M$6:$M$125,M6:M125)*12</f>
        <v>2.9822629510177581E-2</v>
      </c>
    </row>
    <row r="32" spans="3:25" x14ac:dyDescent="0.3">
      <c r="C32" s="864">
        <v>41365</v>
      </c>
      <c r="D32" s="19">
        <v>167.95</v>
      </c>
      <c r="E32" s="19">
        <v>417.4</v>
      </c>
      <c r="F32" s="19">
        <v>245.7</v>
      </c>
      <c r="G32" s="19">
        <v>19504.179688</v>
      </c>
      <c r="I32" s="864">
        <v>41365</v>
      </c>
      <c r="J32" s="508">
        <f t="shared" si="2"/>
        <v>3.2267977873386602E-2</v>
      </c>
      <c r="K32" s="508">
        <f t="shared" si="17"/>
        <v>3.4576775312925988E-2</v>
      </c>
      <c r="L32" s="508">
        <f t="shared" si="18"/>
        <v>-4.4154833689943676E-2</v>
      </c>
      <c r="M32" s="508">
        <f t="shared" si="18"/>
        <v>3.5486214454892633E-2</v>
      </c>
      <c r="O32" s="864">
        <v>41365</v>
      </c>
      <c r="P32" s="508">
        <f t="shared" si="3"/>
        <v>1.0322679778733865</v>
      </c>
      <c r="Q32" s="508">
        <f t="shared" si="4"/>
        <v>1.034576775312926</v>
      </c>
      <c r="R32" s="508">
        <f t="shared" si="5"/>
        <v>0.95584516631005634</v>
      </c>
      <c r="S32" s="508">
        <f t="shared" si="6"/>
        <v>1.0354862144548926</v>
      </c>
    </row>
    <row r="33" spans="3:26" x14ac:dyDescent="0.3">
      <c r="C33" s="864">
        <v>41395</v>
      </c>
      <c r="D33" s="19">
        <v>165.9</v>
      </c>
      <c r="E33" s="19">
        <v>403.9</v>
      </c>
      <c r="F33" s="19">
        <v>233.2</v>
      </c>
      <c r="G33" s="19">
        <v>19760.300781000002</v>
      </c>
      <c r="I33" s="864">
        <v>41395</v>
      </c>
      <c r="J33" s="508">
        <f t="shared" si="2"/>
        <v>-1.220601369455185E-2</v>
      </c>
      <c r="K33" s="508">
        <f t="shared" si="17"/>
        <v>-3.2343076185912797E-2</v>
      </c>
      <c r="L33" s="508">
        <f t="shared" si="18"/>
        <v>-5.0875050875050877E-2</v>
      </c>
      <c r="M33" s="508">
        <f t="shared" si="18"/>
        <v>1.3131600359361987E-2</v>
      </c>
      <c r="O33" s="864">
        <v>41395</v>
      </c>
      <c r="P33" s="508">
        <f t="shared" si="3"/>
        <v>0.98779398630544812</v>
      </c>
      <c r="Q33" s="508">
        <f t="shared" si="4"/>
        <v>0.96765692381408719</v>
      </c>
      <c r="R33" s="508">
        <f t="shared" si="5"/>
        <v>0.94912494912494916</v>
      </c>
      <c r="S33" s="508">
        <f t="shared" si="6"/>
        <v>1.013131600359362</v>
      </c>
      <c r="U33" s="1138" t="s">
        <v>1074</v>
      </c>
      <c r="V33" s="1138"/>
      <c r="W33" s="1138"/>
      <c r="X33" s="1138"/>
      <c r="Y33" s="1138"/>
      <c r="Z33" s="1138"/>
    </row>
    <row r="34" spans="3:26" ht="14.5" thickBot="1" x14ac:dyDescent="0.35">
      <c r="C34" s="864">
        <v>41426</v>
      </c>
      <c r="D34" s="19">
        <v>153.6</v>
      </c>
      <c r="E34" s="19">
        <v>387.25</v>
      </c>
      <c r="F34" s="19">
        <v>197.1</v>
      </c>
      <c r="G34" s="19">
        <v>19395.810547000001</v>
      </c>
      <c r="I34" s="864">
        <v>41426</v>
      </c>
      <c r="J34" s="508">
        <f t="shared" si="2"/>
        <v>-7.41410488245932E-2</v>
      </c>
      <c r="K34" s="508">
        <f t="shared" si="17"/>
        <v>-4.1223075018568901E-2</v>
      </c>
      <c r="L34" s="508">
        <f t="shared" si="18"/>
        <v>-0.15480274442538591</v>
      </c>
      <c r="M34" s="508">
        <f t="shared" si="18"/>
        <v>-1.8445581271235849E-2</v>
      </c>
      <c r="O34" s="864">
        <v>41426</v>
      </c>
      <c r="P34" s="508">
        <f t="shared" si="3"/>
        <v>0.92585895117540684</v>
      </c>
      <c r="Q34" s="508">
        <f t="shared" si="4"/>
        <v>0.95877692498143108</v>
      </c>
      <c r="R34" s="508">
        <f t="shared" si="5"/>
        <v>0.84519725557461411</v>
      </c>
      <c r="S34" s="508">
        <f t="shared" si="6"/>
        <v>0.98155441872876414</v>
      </c>
      <c r="U34" s="877" t="s">
        <v>1075</v>
      </c>
      <c r="V34" s="861" t="s">
        <v>1050</v>
      </c>
      <c r="W34" s="19" t="s">
        <v>1051</v>
      </c>
      <c r="X34" s="19" t="s">
        <v>1052</v>
      </c>
      <c r="Y34" s="19" t="s">
        <v>1053</v>
      </c>
      <c r="Z34" s="877" t="s">
        <v>195</v>
      </c>
    </row>
    <row r="35" spans="3:26" x14ac:dyDescent="0.3">
      <c r="C35" s="864">
        <v>41456</v>
      </c>
      <c r="D35" s="19">
        <v>128.05000000000001</v>
      </c>
      <c r="E35" s="19">
        <v>369.6</v>
      </c>
      <c r="F35" s="19">
        <v>200.3</v>
      </c>
      <c r="G35" s="19">
        <v>19345.699218999998</v>
      </c>
      <c r="I35" s="864">
        <v>41456</v>
      </c>
      <c r="J35" s="508">
        <f t="shared" si="2"/>
        <v>-0.16634114583333323</v>
      </c>
      <c r="K35" s="508">
        <f t="shared" si="17"/>
        <v>-4.5577792123950876E-2</v>
      </c>
      <c r="L35" s="508">
        <f t="shared" si="18"/>
        <v>1.6235413495687554E-2</v>
      </c>
      <c r="M35" s="508">
        <f t="shared" si="18"/>
        <v>-2.5836160792854067E-3</v>
      </c>
      <c r="O35" s="864">
        <v>41456</v>
      </c>
      <c r="P35" s="508">
        <f t="shared" si="3"/>
        <v>0.83365885416666674</v>
      </c>
      <c r="Q35" s="508">
        <f t="shared" si="4"/>
        <v>0.95442220787604914</v>
      </c>
      <c r="R35" s="508">
        <f t="shared" si="5"/>
        <v>1.0162354134956875</v>
      </c>
      <c r="S35" s="508">
        <f t="shared" si="6"/>
        <v>0.99741638392071463</v>
      </c>
      <c r="U35" s="877" t="s">
        <v>1076</v>
      </c>
      <c r="V35" s="592">
        <v>0.2</v>
      </c>
      <c r="W35" s="522">
        <v>0.3</v>
      </c>
      <c r="X35" s="522">
        <v>0.15</v>
      </c>
      <c r="Y35" s="522">
        <v>0.35</v>
      </c>
      <c r="Z35" s="446">
        <f t="shared" ref="Z35:Z38" si="23">SUM(V35:Y35)</f>
        <v>1</v>
      </c>
    </row>
    <row r="36" spans="3:26" x14ac:dyDescent="0.3">
      <c r="C36" s="864">
        <v>41487</v>
      </c>
      <c r="D36" s="19">
        <v>114.5</v>
      </c>
      <c r="E36" s="19">
        <v>314.75</v>
      </c>
      <c r="F36" s="19">
        <v>165.55</v>
      </c>
      <c r="G36" s="19">
        <v>18619.720702999999</v>
      </c>
      <c r="I36" s="864">
        <v>41487</v>
      </c>
      <c r="J36" s="508">
        <f t="shared" si="2"/>
        <v>-0.1058180398281922</v>
      </c>
      <c r="K36" s="508">
        <f t="shared" si="17"/>
        <v>-0.1484036796536797</v>
      </c>
      <c r="L36" s="508">
        <f t="shared" si="18"/>
        <v>-0.17348976535197203</v>
      </c>
      <c r="M36" s="508">
        <f t="shared" si="18"/>
        <v>-3.7526610322101653E-2</v>
      </c>
      <c r="O36" s="864">
        <v>41487</v>
      </c>
      <c r="P36" s="508">
        <f t="shared" si="3"/>
        <v>0.89418196017180784</v>
      </c>
      <c r="Q36" s="508">
        <f t="shared" si="4"/>
        <v>0.85159632034632027</v>
      </c>
      <c r="R36" s="508">
        <f t="shared" si="5"/>
        <v>0.82651023464802797</v>
      </c>
      <c r="S36" s="508">
        <f t="shared" si="6"/>
        <v>0.96247338967789831</v>
      </c>
      <c r="U36" s="877" t="s">
        <v>1077</v>
      </c>
      <c r="V36" s="99">
        <v>0.15</v>
      </c>
      <c r="W36" s="17">
        <v>0.25</v>
      </c>
      <c r="X36" s="17">
        <v>0.35</v>
      </c>
      <c r="Y36" s="17">
        <v>0.25</v>
      </c>
      <c r="Z36" s="220">
        <f t="shared" si="23"/>
        <v>1</v>
      </c>
    </row>
    <row r="37" spans="3:26" x14ac:dyDescent="0.3">
      <c r="C37" s="864">
        <v>41518</v>
      </c>
      <c r="D37" s="19">
        <v>117.35</v>
      </c>
      <c r="E37" s="19">
        <v>293.60000000000002</v>
      </c>
      <c r="F37" s="19">
        <v>169.5</v>
      </c>
      <c r="G37" s="19">
        <v>19379.769531000002</v>
      </c>
      <c r="I37" s="864">
        <v>41518</v>
      </c>
      <c r="J37" s="508">
        <f t="shared" si="2"/>
        <v>2.4890829694323095E-2</v>
      </c>
      <c r="K37" s="508">
        <f t="shared" si="17"/>
        <v>-6.7196187450357353E-2</v>
      </c>
      <c r="L37" s="508">
        <f t="shared" si="18"/>
        <v>2.3859861069163324E-2</v>
      </c>
      <c r="M37" s="508">
        <f t="shared" si="18"/>
        <v>4.0819561159021252E-2</v>
      </c>
      <c r="O37" s="864">
        <v>41518</v>
      </c>
      <c r="P37" s="508">
        <f t="shared" si="3"/>
        <v>1.0248908296943231</v>
      </c>
      <c r="Q37" s="508">
        <f t="shared" si="4"/>
        <v>0.93280381254964262</v>
      </c>
      <c r="R37" s="508">
        <f t="shared" si="5"/>
        <v>1.0238598610691634</v>
      </c>
      <c r="S37" s="508">
        <f t="shared" si="6"/>
        <v>1.0408195611590212</v>
      </c>
      <c r="U37" s="877" t="s">
        <v>1078</v>
      </c>
      <c r="V37" s="99">
        <v>0.18</v>
      </c>
      <c r="W37" s="17">
        <v>0.17</v>
      </c>
      <c r="X37" s="17">
        <v>0.47</v>
      </c>
      <c r="Y37" s="17">
        <v>0.18</v>
      </c>
      <c r="Z37" s="220">
        <f t="shared" si="23"/>
        <v>1</v>
      </c>
    </row>
    <row r="38" spans="3:26" ht="14.5" thickBot="1" x14ac:dyDescent="0.35">
      <c r="C38" s="864">
        <v>41548</v>
      </c>
      <c r="D38" s="19">
        <v>143.6</v>
      </c>
      <c r="E38" s="19">
        <v>343.95</v>
      </c>
      <c r="F38" s="19">
        <v>188.4</v>
      </c>
      <c r="G38" s="19">
        <v>21164.519531000002</v>
      </c>
      <c r="I38" s="864">
        <v>41548</v>
      </c>
      <c r="J38" s="508">
        <f t="shared" si="2"/>
        <v>0.22368981678738817</v>
      </c>
      <c r="K38" s="508">
        <f t="shared" si="17"/>
        <v>0.17149182561307888</v>
      </c>
      <c r="L38" s="508">
        <f t="shared" si="18"/>
        <v>0.1115044247787611</v>
      </c>
      <c r="M38" s="508">
        <f t="shared" si="18"/>
        <v>9.2093458446195792E-2</v>
      </c>
      <c r="O38" s="864">
        <v>41548</v>
      </c>
      <c r="P38" s="508">
        <f t="shared" si="3"/>
        <v>1.2236898167873882</v>
      </c>
      <c r="Q38" s="508">
        <f t="shared" si="4"/>
        <v>1.1714918256130789</v>
      </c>
      <c r="R38" s="508">
        <f t="shared" si="5"/>
        <v>1.1115044247787611</v>
      </c>
      <c r="S38" s="508">
        <f t="shared" si="6"/>
        <v>1.0920934584461959</v>
      </c>
      <c r="U38" s="877" t="s">
        <v>1079</v>
      </c>
      <c r="V38" s="121">
        <v>0.45</v>
      </c>
      <c r="W38" s="122">
        <v>0.25</v>
      </c>
      <c r="X38" s="122">
        <v>0.15</v>
      </c>
      <c r="Y38" s="122">
        <v>0.15</v>
      </c>
      <c r="Z38" s="123">
        <f t="shared" si="23"/>
        <v>1</v>
      </c>
    </row>
    <row r="39" spans="3:26" x14ac:dyDescent="0.3">
      <c r="C39" s="864">
        <v>41579</v>
      </c>
      <c r="D39" s="19">
        <v>146.35</v>
      </c>
      <c r="E39" s="19">
        <v>342</v>
      </c>
      <c r="F39" s="19">
        <v>193.85</v>
      </c>
      <c r="G39" s="19">
        <v>20791.929688</v>
      </c>
      <c r="I39" s="864">
        <v>41579</v>
      </c>
      <c r="J39" s="508">
        <f t="shared" si="2"/>
        <v>1.9150417827298052E-2</v>
      </c>
      <c r="K39" s="508">
        <f t="shared" si="17"/>
        <v>-5.6694286960313669E-3</v>
      </c>
      <c r="L39" s="508">
        <f t="shared" si="18"/>
        <v>2.8927813163481891E-2</v>
      </c>
      <c r="M39" s="508">
        <f t="shared" si="18"/>
        <v>-1.7604455534852251E-2</v>
      </c>
      <c r="O39" s="864">
        <v>41579</v>
      </c>
      <c r="P39" s="508">
        <f t="shared" si="3"/>
        <v>1.0191504178272981</v>
      </c>
      <c r="Q39" s="508">
        <f t="shared" si="4"/>
        <v>0.99433057130396862</v>
      </c>
      <c r="R39" s="508">
        <f t="shared" si="5"/>
        <v>1.0289278131634818</v>
      </c>
      <c r="S39" s="508">
        <f t="shared" si="6"/>
        <v>0.98239554446514776</v>
      </c>
    </row>
    <row r="40" spans="3:26" x14ac:dyDescent="0.3">
      <c r="C40" s="864">
        <v>41609</v>
      </c>
      <c r="D40" s="19">
        <v>162.30000000000001</v>
      </c>
      <c r="E40" s="19">
        <v>302.10000000000002</v>
      </c>
      <c r="F40" s="19">
        <v>233.4</v>
      </c>
      <c r="G40" s="19">
        <v>21170.679688</v>
      </c>
      <c r="I40" s="864">
        <v>41609</v>
      </c>
      <c r="J40" s="508">
        <f t="shared" si="2"/>
        <v>0.10898530919029735</v>
      </c>
      <c r="K40" s="508">
        <f t="shared" si="17"/>
        <v>-0.1166666666666666</v>
      </c>
      <c r="L40" s="508">
        <f t="shared" si="18"/>
        <v>0.20402372968790308</v>
      </c>
      <c r="M40" s="508">
        <f t="shared" si="18"/>
        <v>1.8216202424856911E-2</v>
      </c>
      <c r="O40" s="864">
        <v>41609</v>
      </c>
      <c r="P40" s="508">
        <f t="shared" si="3"/>
        <v>1.1089853091902973</v>
      </c>
      <c r="Q40" s="508">
        <f t="shared" si="4"/>
        <v>0.88333333333333341</v>
      </c>
      <c r="R40" s="508">
        <f t="shared" si="5"/>
        <v>1.2040237296879031</v>
      </c>
      <c r="S40" s="508">
        <f t="shared" si="6"/>
        <v>1.0182162024248569</v>
      </c>
    </row>
    <row r="41" spans="3:26" x14ac:dyDescent="0.3">
      <c r="C41" s="864">
        <v>41640</v>
      </c>
      <c r="D41" s="19">
        <v>139.65</v>
      </c>
      <c r="E41" s="19">
        <v>266.89999999999998</v>
      </c>
      <c r="F41" s="19">
        <v>204.35</v>
      </c>
      <c r="G41" s="19">
        <v>20513.849609000001</v>
      </c>
      <c r="I41" s="864">
        <v>41640</v>
      </c>
      <c r="J41" s="508">
        <f t="shared" si="2"/>
        <v>-0.13955637707948246</v>
      </c>
      <c r="K41" s="508">
        <f t="shared" si="17"/>
        <v>-0.11651770936775917</v>
      </c>
      <c r="L41" s="508">
        <f t="shared" si="18"/>
        <v>-0.12446443873179096</v>
      </c>
      <c r="M41" s="508">
        <f t="shared" si="18"/>
        <v>-3.1025460149600434E-2</v>
      </c>
      <c r="O41" s="864">
        <v>41640</v>
      </c>
      <c r="P41" s="508">
        <f t="shared" si="3"/>
        <v>0.86044362292051757</v>
      </c>
      <c r="Q41" s="508">
        <f t="shared" si="4"/>
        <v>0.88348229063224082</v>
      </c>
      <c r="R41" s="508">
        <f t="shared" si="5"/>
        <v>0.87553556126820908</v>
      </c>
      <c r="S41" s="508">
        <f t="shared" si="6"/>
        <v>0.96897453985039961</v>
      </c>
      <c r="U41" s="1138" t="s">
        <v>1080</v>
      </c>
      <c r="V41" s="1138"/>
      <c r="W41" s="1138"/>
      <c r="X41" s="1138"/>
    </row>
    <row r="42" spans="3:26" ht="14.5" thickBot="1" x14ac:dyDescent="0.35">
      <c r="C42" s="864">
        <v>41671</v>
      </c>
      <c r="D42" s="19">
        <v>132.1</v>
      </c>
      <c r="E42" s="19">
        <v>268.10000000000002</v>
      </c>
      <c r="F42" s="19">
        <v>189.75</v>
      </c>
      <c r="G42" s="19">
        <v>21120.119140999999</v>
      </c>
      <c r="I42" s="864">
        <v>41671</v>
      </c>
      <c r="J42" s="508">
        <f t="shared" si="2"/>
        <v>-5.4063730755460157E-2</v>
      </c>
      <c r="K42" s="508">
        <f t="shared" si="17"/>
        <v>4.4960659423006581E-3</v>
      </c>
      <c r="L42" s="508">
        <f t="shared" si="18"/>
        <v>-7.1446048446293098E-2</v>
      </c>
      <c r="M42" s="508">
        <f t="shared" si="18"/>
        <v>2.9554156999084705E-2</v>
      </c>
      <c r="O42" s="864">
        <v>41671</v>
      </c>
      <c r="P42" s="508">
        <f t="shared" si="3"/>
        <v>0.94593626924453988</v>
      </c>
      <c r="Q42" s="508">
        <f t="shared" si="4"/>
        <v>1.0044960659423006</v>
      </c>
      <c r="R42" s="508">
        <f t="shared" si="5"/>
        <v>0.9285539515537069</v>
      </c>
      <c r="S42" s="508">
        <f t="shared" si="6"/>
        <v>1.0295541569990847</v>
      </c>
      <c r="U42" s="877" t="s">
        <v>1075</v>
      </c>
      <c r="V42" s="877" t="s">
        <v>1081</v>
      </c>
      <c r="W42" s="877" t="s">
        <v>1082</v>
      </c>
      <c r="X42" s="877" t="s">
        <v>1083</v>
      </c>
    </row>
    <row r="43" spans="3:26" ht="14.5" thickBot="1" x14ac:dyDescent="0.35">
      <c r="C43" s="864">
        <v>41699</v>
      </c>
      <c r="D43" s="19">
        <v>172.25</v>
      </c>
      <c r="E43" s="19">
        <v>270.75</v>
      </c>
      <c r="F43" s="19">
        <v>216.7</v>
      </c>
      <c r="G43" s="19">
        <v>22386.269531000002</v>
      </c>
      <c r="I43" s="864">
        <v>41699</v>
      </c>
      <c r="J43" s="508">
        <f t="shared" si="2"/>
        <v>0.30393641180923547</v>
      </c>
      <c r="K43" s="508">
        <f t="shared" si="17"/>
        <v>9.8843715031703729E-3</v>
      </c>
      <c r="L43" s="508">
        <f t="shared" si="18"/>
        <v>0.14202898550724632</v>
      </c>
      <c r="M43" s="508">
        <f t="shared" si="18"/>
        <v>5.994996437032659E-2</v>
      </c>
      <c r="O43" s="864">
        <v>41699</v>
      </c>
      <c r="P43" s="508">
        <f t="shared" si="3"/>
        <v>1.3039364118092354</v>
      </c>
      <c r="Q43" s="508">
        <f t="shared" si="4"/>
        <v>1.0098843715031705</v>
      </c>
      <c r="R43" s="508">
        <f t="shared" si="5"/>
        <v>1.1420289855072463</v>
      </c>
      <c r="S43" s="508">
        <f t="shared" si="6"/>
        <v>1.0599499643703265</v>
      </c>
      <c r="U43" s="877" t="s">
        <v>1076</v>
      </c>
      <c r="V43" s="878">
        <f>(V35*$V$8)+(W35*$W$8)+(X35*$X$8)+(Y35*$Y$8)</f>
        <v>0.12310400701734028</v>
      </c>
      <c r="W43" s="879">
        <f>(V35*V35*$V$28)+(V35*W35*$W$28)+(V35*X35*$X$28)+(W35*V35*$V$28)+(W35*W35*$W$28)+(W35*X35*$X$28)+(X35*V35*$V$28)+(X35*W35*$W$28)+(X35*X35*$X$28)</f>
        <v>5.6372469772215127E-2</v>
      </c>
      <c r="X43" s="880">
        <f>SQRT(W43)</f>
        <v>0.23742887308037144</v>
      </c>
    </row>
    <row r="44" spans="3:26" ht="14.5" thickBot="1" x14ac:dyDescent="0.35">
      <c r="C44" s="864">
        <v>41730</v>
      </c>
      <c r="D44" s="19">
        <v>167.9</v>
      </c>
      <c r="E44" s="19">
        <v>307.64999999999998</v>
      </c>
      <c r="F44" s="19">
        <v>207.35</v>
      </c>
      <c r="G44" s="19">
        <v>22417.800781000002</v>
      </c>
      <c r="I44" s="864">
        <v>41730</v>
      </c>
      <c r="J44" s="508">
        <f t="shared" si="2"/>
        <v>-2.5253991291727108E-2</v>
      </c>
      <c r="K44" s="508">
        <f t="shared" si="17"/>
        <v>0.13628808864265921</v>
      </c>
      <c r="L44" s="508">
        <f t="shared" si="18"/>
        <v>-4.3147208121827388E-2</v>
      </c>
      <c r="M44" s="508">
        <f t="shared" si="18"/>
        <v>1.4085084590059205E-3</v>
      </c>
      <c r="O44" s="864">
        <v>41730</v>
      </c>
      <c r="P44" s="508">
        <f t="shared" si="3"/>
        <v>0.97474600870827288</v>
      </c>
      <c r="Q44" s="508">
        <f t="shared" si="4"/>
        <v>1.1362880886426592</v>
      </c>
      <c r="R44" s="508">
        <f t="shared" si="5"/>
        <v>0.95685279187817263</v>
      </c>
      <c r="S44" s="508">
        <f t="shared" si="6"/>
        <v>1.0014085084590059</v>
      </c>
      <c r="U44" s="877" t="s">
        <v>1077</v>
      </c>
      <c r="V44" s="878">
        <f t="shared" ref="V44:V46" si="24">(V36*$V$8)+(W36*$W$8)+(X36*$X$8)+(Y36*$Y$8)</f>
        <v>0.12646928622648126</v>
      </c>
      <c r="W44" s="879">
        <f t="shared" ref="W44:W46" si="25">(V36*V36*$V$28)+(V36*W36*$W$28)+(V36*X36*$X$28)+(W36*V36*$V$28)+(W36*W36*$W$28)+(W36*X36*$X$28)+(X36*V36*$V$28)+(X36*W36*$W$28)+(X36*X36*$X$28)</f>
        <v>6.6478510309104052E-2</v>
      </c>
      <c r="X44" s="880">
        <f t="shared" ref="X44:X46" si="26">SQRT(W44)</f>
        <v>0.25783426907434948</v>
      </c>
    </row>
    <row r="45" spans="3:26" ht="14.5" thickBot="1" x14ac:dyDescent="0.35">
      <c r="C45" s="864">
        <v>41760</v>
      </c>
      <c r="D45" s="19">
        <v>206.45</v>
      </c>
      <c r="E45" s="19">
        <v>350</v>
      </c>
      <c r="F45" s="19">
        <v>239.55</v>
      </c>
      <c r="G45" s="19">
        <v>24217.339843999998</v>
      </c>
      <c r="I45" s="864">
        <v>41760</v>
      </c>
      <c r="J45" s="508">
        <f t="shared" si="2"/>
        <v>0.22960095294818333</v>
      </c>
      <c r="K45" s="508">
        <f t="shared" si="17"/>
        <v>0.13765642775881692</v>
      </c>
      <c r="L45" s="508">
        <f t="shared" si="18"/>
        <v>0.15529298287918986</v>
      </c>
      <c r="M45" s="508">
        <f t="shared" si="18"/>
        <v>8.0272774326961602E-2</v>
      </c>
      <c r="O45" s="864">
        <v>41760</v>
      </c>
      <c r="P45" s="508">
        <f t="shared" si="3"/>
        <v>1.2296009529481833</v>
      </c>
      <c r="Q45" s="508">
        <f t="shared" si="4"/>
        <v>1.137656427758817</v>
      </c>
      <c r="R45" s="508">
        <f t="shared" si="5"/>
        <v>1.1552929828791898</v>
      </c>
      <c r="S45" s="508">
        <f t="shared" si="6"/>
        <v>1.0802727743269616</v>
      </c>
      <c r="U45" s="877" t="s">
        <v>1078</v>
      </c>
      <c r="V45" s="878">
        <f t="shared" si="24"/>
        <v>0.13142481137088768</v>
      </c>
      <c r="W45" s="879">
        <f t="shared" si="25"/>
        <v>7.7711227491686796E-2</v>
      </c>
      <c r="X45" s="880">
        <f t="shared" si="26"/>
        <v>0.27876733576889312</v>
      </c>
    </row>
    <row r="46" spans="3:26" ht="14.5" thickBot="1" x14ac:dyDescent="0.35">
      <c r="C46" s="864">
        <v>41791</v>
      </c>
      <c r="D46" s="19">
        <v>228.4</v>
      </c>
      <c r="E46" s="19">
        <v>359.6</v>
      </c>
      <c r="F46" s="19">
        <v>259.60000000000002</v>
      </c>
      <c r="G46" s="19">
        <v>25413.779297000001</v>
      </c>
      <c r="I46" s="864">
        <v>41791</v>
      </c>
      <c r="J46" s="508">
        <f t="shared" si="2"/>
        <v>0.10632114313393082</v>
      </c>
      <c r="K46" s="508">
        <f t="shared" si="17"/>
        <v>2.7428571428571493E-2</v>
      </c>
      <c r="L46" s="508">
        <f t="shared" si="18"/>
        <v>8.3698601544562767E-2</v>
      </c>
      <c r="M46" s="508">
        <f t="shared" si="18"/>
        <v>4.9404247564227344E-2</v>
      </c>
      <c r="O46" s="864">
        <v>41791</v>
      </c>
      <c r="P46" s="508">
        <f t="shared" si="3"/>
        <v>1.1063211431339308</v>
      </c>
      <c r="Q46" s="508">
        <f t="shared" si="4"/>
        <v>1.0274285714285716</v>
      </c>
      <c r="R46" s="508">
        <f t="shared" si="5"/>
        <v>1.0836986015445627</v>
      </c>
      <c r="S46" s="508">
        <f t="shared" si="6"/>
        <v>1.0494042475642273</v>
      </c>
      <c r="U46" s="877" t="s">
        <v>1079</v>
      </c>
      <c r="V46" s="487">
        <f t="shared" si="24"/>
        <v>0.13416406413867019</v>
      </c>
      <c r="W46" s="881">
        <f t="shared" si="25"/>
        <v>0.10785288545755588</v>
      </c>
      <c r="X46" s="882">
        <f t="shared" si="26"/>
        <v>0.32840963057979267</v>
      </c>
    </row>
    <row r="47" spans="3:26" x14ac:dyDescent="0.3">
      <c r="C47" s="864">
        <v>41821</v>
      </c>
      <c r="D47" s="19">
        <v>250.55</v>
      </c>
      <c r="E47" s="19">
        <v>335.25</v>
      </c>
      <c r="F47" s="19">
        <v>259.05</v>
      </c>
      <c r="G47" s="19">
        <v>25894.970702999999</v>
      </c>
      <c r="I47" s="864">
        <v>41821</v>
      </c>
      <c r="J47" s="508">
        <f t="shared" si="2"/>
        <v>9.6978984238178662E-2</v>
      </c>
      <c r="K47" s="508">
        <f t="shared" si="17"/>
        <v>-6.7714126807564015E-2</v>
      </c>
      <c r="L47" s="508">
        <f t="shared" si="18"/>
        <v>-2.118644067796654E-3</v>
      </c>
      <c r="M47" s="508">
        <f t="shared" si="18"/>
        <v>1.8934271852152306E-2</v>
      </c>
      <c r="O47" s="864">
        <v>41821</v>
      </c>
      <c r="P47" s="508">
        <f t="shared" si="3"/>
        <v>1.0969789842381787</v>
      </c>
      <c r="Q47" s="508">
        <f t="shared" si="4"/>
        <v>0.93228587319243594</v>
      </c>
      <c r="R47" s="508">
        <f t="shared" si="5"/>
        <v>0.9978813559322034</v>
      </c>
      <c r="S47" s="508">
        <f t="shared" si="6"/>
        <v>1.0189342718521524</v>
      </c>
    </row>
    <row r="48" spans="3:26" x14ac:dyDescent="0.3">
      <c r="C48" s="864">
        <v>41852</v>
      </c>
      <c r="D48" s="19">
        <v>224.7</v>
      </c>
      <c r="E48" s="19">
        <v>298.14999999999998</v>
      </c>
      <c r="F48" s="19">
        <v>235.9</v>
      </c>
      <c r="G48" s="19">
        <v>26638.109375</v>
      </c>
      <c r="I48" s="864">
        <v>41852</v>
      </c>
      <c r="J48" s="508">
        <f t="shared" si="2"/>
        <v>-0.10317301935741377</v>
      </c>
      <c r="K48" s="508">
        <f t="shared" si="17"/>
        <v>-0.1106636838180463</v>
      </c>
      <c r="L48" s="508">
        <f t="shared" si="18"/>
        <v>-8.9364987454159453E-2</v>
      </c>
      <c r="M48" s="508">
        <f t="shared" si="18"/>
        <v>2.8698185470968942E-2</v>
      </c>
      <c r="O48" s="864">
        <v>41852</v>
      </c>
      <c r="P48" s="508">
        <f t="shared" si="3"/>
        <v>0.89682698064258626</v>
      </c>
      <c r="Q48" s="508">
        <f t="shared" si="4"/>
        <v>0.88933631618195375</v>
      </c>
      <c r="R48" s="508">
        <f t="shared" si="5"/>
        <v>0.91063501254584056</v>
      </c>
      <c r="S48" s="508">
        <f t="shared" si="6"/>
        <v>1.0286981854709689</v>
      </c>
      <c r="U48" s="1138" t="s">
        <v>1086</v>
      </c>
      <c r="V48" s="1138"/>
      <c r="W48" s="1138"/>
      <c r="X48" s="1138"/>
      <c r="Y48" s="1138"/>
      <c r="Z48" s="883"/>
    </row>
    <row r="49" spans="3:33" ht="14.5" thickBot="1" x14ac:dyDescent="0.35">
      <c r="C49" s="864">
        <v>41883</v>
      </c>
      <c r="D49" s="19">
        <v>219.2</v>
      </c>
      <c r="E49" s="19">
        <v>305</v>
      </c>
      <c r="F49" s="19">
        <v>217.1</v>
      </c>
      <c r="G49" s="19">
        <v>26630.509765999999</v>
      </c>
      <c r="I49" s="864">
        <v>41883</v>
      </c>
      <c r="J49" s="508">
        <f t="shared" si="2"/>
        <v>-2.4477080551846907E-2</v>
      </c>
      <c r="K49" s="508">
        <f t="shared" si="17"/>
        <v>2.297501257756171E-2</v>
      </c>
      <c r="L49" s="508">
        <f t="shared" si="18"/>
        <v>-7.9694785926239978E-2</v>
      </c>
      <c r="M49" s="508">
        <f t="shared" si="18"/>
        <v>-2.8529085503091499E-4</v>
      </c>
      <c r="O49" s="864">
        <v>41883</v>
      </c>
      <c r="P49" s="508">
        <f t="shared" si="3"/>
        <v>0.97552291944815306</v>
      </c>
      <c r="Q49" s="508">
        <f t="shared" si="4"/>
        <v>1.0229750125775616</v>
      </c>
      <c r="R49" s="508">
        <f t="shared" si="5"/>
        <v>0.92030521407375998</v>
      </c>
      <c r="S49" s="508">
        <f t="shared" si="6"/>
        <v>0.99971470914496907</v>
      </c>
      <c r="U49" s="877"/>
      <c r="V49" s="877" t="s">
        <v>1087</v>
      </c>
      <c r="W49" s="877" t="s">
        <v>1084</v>
      </c>
      <c r="X49" s="877" t="s">
        <v>1085</v>
      </c>
      <c r="Y49" s="877" t="s">
        <v>1088</v>
      </c>
      <c r="Z49" s="877" t="s">
        <v>1089</v>
      </c>
      <c r="AB49" s="877" t="s">
        <v>1092</v>
      </c>
      <c r="AC49" s="877" t="s">
        <v>1093</v>
      </c>
      <c r="AE49" s="877" t="s">
        <v>1100</v>
      </c>
      <c r="AF49" s="877" t="s">
        <v>1101</v>
      </c>
      <c r="AG49" s="884" t="s">
        <v>1102</v>
      </c>
    </row>
    <row r="50" spans="3:33" ht="14.5" thickBot="1" x14ac:dyDescent="0.35">
      <c r="C50" s="864">
        <v>41913</v>
      </c>
      <c r="D50" s="19">
        <v>225.1</v>
      </c>
      <c r="E50" s="19">
        <v>301.10000000000002</v>
      </c>
      <c r="F50" s="19">
        <v>244.7</v>
      </c>
      <c r="G50" s="19">
        <v>27865.830077999999</v>
      </c>
      <c r="I50" s="864">
        <v>41913</v>
      </c>
      <c r="J50" s="508">
        <f t="shared" si="2"/>
        <v>2.691605839416061E-2</v>
      </c>
      <c r="K50" s="508">
        <f t="shared" si="17"/>
        <v>-1.2786885245901564E-2</v>
      </c>
      <c r="L50" s="508">
        <f t="shared" si="18"/>
        <v>0.12713035467526485</v>
      </c>
      <c r="M50" s="508">
        <f t="shared" si="18"/>
        <v>4.63874076333744E-2</v>
      </c>
      <c r="O50" s="864">
        <v>41913</v>
      </c>
      <c r="P50" s="508">
        <f t="shared" si="3"/>
        <v>1.0269160583941606</v>
      </c>
      <c r="Q50" s="508">
        <f t="shared" si="4"/>
        <v>0.98721311475409845</v>
      </c>
      <c r="R50" s="508">
        <f t="shared" si="5"/>
        <v>1.1271303546752649</v>
      </c>
      <c r="S50" s="508">
        <f t="shared" si="6"/>
        <v>1.0463874076333743</v>
      </c>
      <c r="U50" s="865" t="s">
        <v>1050</v>
      </c>
      <c r="V50" s="885">
        <f>Y28/$Y$31</f>
        <v>1.5078770687091105</v>
      </c>
      <c r="W50" s="886">
        <v>7.3499999999999996E-2</v>
      </c>
      <c r="X50" s="887">
        <v>8.72E-2</v>
      </c>
      <c r="Y50" s="880">
        <f>W50+(X50-W50)*V50</f>
        <v>9.4157915841314818E-2</v>
      </c>
      <c r="Z50" s="888">
        <f>V43-W50/X43</f>
        <v>-0.18646238668373119</v>
      </c>
      <c r="AB50" s="889">
        <v>40182</v>
      </c>
      <c r="AC50" s="905">
        <v>-193.15</v>
      </c>
      <c r="AE50" s="592">
        <v>2019</v>
      </c>
      <c r="AF50" s="907">
        <v>7.6600000000000001E-2</v>
      </c>
      <c r="AG50" s="890">
        <f>1+AF50</f>
        <v>1.0766</v>
      </c>
    </row>
    <row r="51" spans="3:33" ht="14.5" thickBot="1" x14ac:dyDescent="0.35">
      <c r="C51" s="864">
        <v>41944</v>
      </c>
      <c r="D51" s="19">
        <v>254.75</v>
      </c>
      <c r="E51" s="19">
        <v>297.85000000000002</v>
      </c>
      <c r="F51" s="19">
        <v>264.55</v>
      </c>
      <c r="G51" s="19">
        <v>28693.990234000001</v>
      </c>
      <c r="I51" s="864">
        <v>41944</v>
      </c>
      <c r="J51" s="508">
        <f t="shared" si="2"/>
        <v>0.13171923589515774</v>
      </c>
      <c r="K51" s="508">
        <f t="shared" si="17"/>
        <v>-1.0793756227167054E-2</v>
      </c>
      <c r="L51" s="508">
        <f t="shared" si="18"/>
        <v>8.1119738455251431E-2</v>
      </c>
      <c r="M51" s="508">
        <f t="shared" si="18"/>
        <v>2.9719558099718407E-2</v>
      </c>
      <c r="O51" s="864">
        <v>41944</v>
      </c>
      <c r="P51" s="508">
        <f t="shared" si="3"/>
        <v>1.1317192358951578</v>
      </c>
      <c r="Q51" s="508">
        <f t="shared" si="4"/>
        <v>0.98920624377283295</v>
      </c>
      <c r="R51" s="508">
        <f t="shared" si="5"/>
        <v>1.0811197384552513</v>
      </c>
      <c r="S51" s="508">
        <f t="shared" si="6"/>
        <v>1.0297195580997185</v>
      </c>
      <c r="U51" s="866" t="s">
        <v>1051</v>
      </c>
      <c r="V51" s="885">
        <f t="shared" ref="V51:V52" si="27">Y29/$Y$31</f>
        <v>1.1402423315113797</v>
      </c>
      <c r="W51" s="886">
        <v>7.3499999999999996E-2</v>
      </c>
      <c r="X51" s="887">
        <v>8.72E-2</v>
      </c>
      <c r="Y51" s="880">
        <f t="shared" ref="Y51:Y52" si="28">W51+(X51-W51)*V51</f>
        <v>8.9121319941705898E-2</v>
      </c>
      <c r="Z51" s="888">
        <f t="shared" ref="Z51:Z52" si="29">V44-W51/X44</f>
        <v>-0.15859755249853488</v>
      </c>
      <c r="AB51" s="889">
        <f ca="1">TODAY()</f>
        <v>44940</v>
      </c>
      <c r="AC51" s="906">
        <v>290.5</v>
      </c>
      <c r="AE51" s="99">
        <v>2018</v>
      </c>
      <c r="AF51" s="895">
        <v>4.8599999999999997E-2</v>
      </c>
      <c r="AG51" s="891">
        <f t="shared" ref="AG51:AG59" si="30">1+AF51</f>
        <v>1.0486</v>
      </c>
    </row>
    <row r="52" spans="3:33" ht="14.5" thickBot="1" x14ac:dyDescent="0.35">
      <c r="C52" s="864">
        <v>41974</v>
      </c>
      <c r="D52" s="19">
        <v>239.25</v>
      </c>
      <c r="E52" s="19">
        <v>280.05</v>
      </c>
      <c r="F52" s="19">
        <v>279.05</v>
      </c>
      <c r="G52" s="19">
        <v>27499.419922000001</v>
      </c>
      <c r="I52" s="864">
        <v>41974</v>
      </c>
      <c r="J52" s="508">
        <f t="shared" si="2"/>
        <v>-6.0843964671246323E-2</v>
      </c>
      <c r="K52" s="508">
        <f t="shared" si="17"/>
        <v>-5.9761624979016319E-2</v>
      </c>
      <c r="L52" s="508">
        <f t="shared" si="18"/>
        <v>5.4810054810054805E-2</v>
      </c>
      <c r="M52" s="508">
        <f t="shared" si="18"/>
        <v>-4.1631376544644286E-2</v>
      </c>
      <c r="O52" s="864">
        <v>41974</v>
      </c>
      <c r="P52" s="508">
        <f t="shared" si="3"/>
        <v>0.93915603532875369</v>
      </c>
      <c r="Q52" s="508">
        <f t="shared" si="4"/>
        <v>0.94023837502098373</v>
      </c>
      <c r="R52" s="508">
        <f t="shared" si="5"/>
        <v>1.0548100548100547</v>
      </c>
      <c r="S52" s="508">
        <f t="shared" si="6"/>
        <v>0.95836862345535567</v>
      </c>
      <c r="U52" s="24" t="s">
        <v>1052</v>
      </c>
      <c r="V52" s="269">
        <f t="shared" si="27"/>
        <v>1.1471992174745134</v>
      </c>
      <c r="W52" s="892">
        <v>7.3499999999999996E-2</v>
      </c>
      <c r="X52" s="893">
        <v>8.72E-2</v>
      </c>
      <c r="Y52" s="882">
        <f t="shared" si="28"/>
        <v>8.9216629279400828E-2</v>
      </c>
      <c r="Z52" s="848">
        <f t="shared" si="29"/>
        <v>-0.13223592132318163</v>
      </c>
      <c r="AB52" s="894" t="s">
        <v>1094</v>
      </c>
      <c r="AC52" s="895">
        <f ca="1">XIRR(AC50:AC51,AB50:AB51)</f>
        <v>3.1804630160331721E-2</v>
      </c>
      <c r="AE52" s="99">
        <v>2017</v>
      </c>
      <c r="AF52" s="895">
        <v>2.4899999999999999E-2</v>
      </c>
      <c r="AG52" s="891">
        <f t="shared" si="30"/>
        <v>1.0248999999999999</v>
      </c>
    </row>
    <row r="53" spans="3:33" x14ac:dyDescent="0.3">
      <c r="C53" s="864">
        <v>42005</v>
      </c>
      <c r="D53" s="19">
        <v>275.85000000000002</v>
      </c>
      <c r="E53" s="19">
        <v>247.75</v>
      </c>
      <c r="F53" s="19">
        <v>283.10000000000002</v>
      </c>
      <c r="G53" s="19">
        <v>29182.949218999998</v>
      </c>
      <c r="I53" s="864">
        <v>42005</v>
      </c>
      <c r="J53" s="508">
        <f t="shared" si="2"/>
        <v>0.15297805642633239</v>
      </c>
      <c r="K53" s="508">
        <f t="shared" si="17"/>
        <v>-0.11533654704517055</v>
      </c>
      <c r="L53" s="508">
        <f t="shared" si="18"/>
        <v>1.4513528041569652E-2</v>
      </c>
      <c r="M53" s="508">
        <f t="shared" si="18"/>
        <v>6.1220538534092692E-2</v>
      </c>
      <c r="O53" s="864">
        <v>42005</v>
      </c>
      <c r="P53" s="508">
        <f t="shared" si="3"/>
        <v>1.1529780564263323</v>
      </c>
      <c r="Q53" s="508">
        <f t="shared" si="4"/>
        <v>0.8846634529548294</v>
      </c>
      <c r="R53" s="508">
        <f t="shared" si="5"/>
        <v>1.0145135280415696</v>
      </c>
      <c r="S53" s="508">
        <f t="shared" si="6"/>
        <v>1.0612205385340927</v>
      </c>
      <c r="X53" s="539"/>
      <c r="AB53" s="883" t="s">
        <v>1095</v>
      </c>
      <c r="AC53" s="896">
        <v>5.3E-3</v>
      </c>
      <c r="AE53" s="99">
        <v>2016</v>
      </c>
      <c r="AF53" s="895">
        <v>4.9399999999999999E-2</v>
      </c>
      <c r="AG53" s="891">
        <f t="shared" si="30"/>
        <v>1.0493999999999999</v>
      </c>
    </row>
    <row r="54" spans="3:33" x14ac:dyDescent="0.3">
      <c r="C54" s="864">
        <v>42036</v>
      </c>
      <c r="D54" s="19">
        <v>285.75</v>
      </c>
      <c r="E54" s="19">
        <v>284.8</v>
      </c>
      <c r="F54" s="19">
        <v>321.89999999999998</v>
      </c>
      <c r="G54" s="19">
        <v>29220.119140999999</v>
      </c>
      <c r="I54" s="864">
        <v>42036</v>
      </c>
      <c r="J54" s="508">
        <f t="shared" si="2"/>
        <v>3.5889070146818837E-2</v>
      </c>
      <c r="K54" s="508">
        <f t="shared" si="17"/>
        <v>0.14954591321897079</v>
      </c>
      <c r="L54" s="508">
        <f t="shared" si="18"/>
        <v>0.1370540445072411</v>
      </c>
      <c r="M54" s="508">
        <f t="shared" si="18"/>
        <v>1.2736862789659695E-3</v>
      </c>
      <c r="O54" s="864">
        <v>42036</v>
      </c>
      <c r="P54" s="508">
        <f t="shared" si="3"/>
        <v>1.0358890701468189</v>
      </c>
      <c r="Q54" s="508">
        <f t="shared" si="4"/>
        <v>1.1495459132189707</v>
      </c>
      <c r="R54" s="508">
        <f t="shared" si="5"/>
        <v>1.137054044507241</v>
      </c>
      <c r="S54" s="508">
        <f t="shared" si="6"/>
        <v>1.001273686278966</v>
      </c>
      <c r="U54" s="1138" t="s">
        <v>1090</v>
      </c>
      <c r="V54" s="1138"/>
      <c r="W54" s="1138"/>
      <c r="X54" s="1138"/>
      <c r="Y54" s="1138"/>
      <c r="AB54" s="883" t="s">
        <v>1096</v>
      </c>
      <c r="AC54" s="896">
        <f ca="1">AC52+AC53</f>
        <v>3.710463016033172E-2</v>
      </c>
      <c r="AE54" s="99">
        <v>2015</v>
      </c>
      <c r="AF54" s="895">
        <v>5.8700000000000002E-2</v>
      </c>
      <c r="AG54" s="891">
        <f t="shared" si="30"/>
        <v>1.0587</v>
      </c>
    </row>
    <row r="55" spans="3:33" ht="14.5" thickBot="1" x14ac:dyDescent="0.35">
      <c r="C55" s="864">
        <v>42064</v>
      </c>
      <c r="D55" s="19">
        <v>268.5</v>
      </c>
      <c r="E55" s="19">
        <v>249.6</v>
      </c>
      <c r="F55" s="19">
        <v>283.3</v>
      </c>
      <c r="G55" s="19">
        <v>27957.490234000001</v>
      </c>
      <c r="I55" s="864">
        <v>42064</v>
      </c>
      <c r="J55" s="508">
        <f t="shared" si="2"/>
        <v>-6.0367454068241469E-2</v>
      </c>
      <c r="K55" s="508">
        <f t="shared" si="17"/>
        <v>-0.12359550561797758</v>
      </c>
      <c r="L55" s="508">
        <f t="shared" si="18"/>
        <v>-0.11991301646474051</v>
      </c>
      <c r="M55" s="508">
        <f t="shared" si="18"/>
        <v>-4.3210943148700234E-2</v>
      </c>
      <c r="O55" s="864">
        <v>42064</v>
      </c>
      <c r="P55" s="508">
        <f t="shared" si="3"/>
        <v>0.93963254593175849</v>
      </c>
      <c r="Q55" s="508">
        <f t="shared" si="4"/>
        <v>0.87640449438202239</v>
      </c>
      <c r="R55" s="508">
        <f t="shared" si="5"/>
        <v>0.88008698353525949</v>
      </c>
      <c r="S55" s="508">
        <f t="shared" si="6"/>
        <v>0.95678905685129978</v>
      </c>
      <c r="U55" s="877" t="s">
        <v>1091</v>
      </c>
      <c r="V55" s="877" t="s">
        <v>1087</v>
      </c>
      <c r="W55" s="877" t="s">
        <v>1084</v>
      </c>
      <c r="X55" s="877" t="s">
        <v>1085</v>
      </c>
      <c r="Y55" s="877" t="s">
        <v>1088</v>
      </c>
      <c r="AB55" s="883" t="s">
        <v>1097</v>
      </c>
      <c r="AC55" s="896">
        <f>AG60</f>
        <v>7.2871074085094634E-2</v>
      </c>
      <c r="AE55" s="99">
        <v>2014</v>
      </c>
      <c r="AF55" s="895">
        <v>6.3500000000000001E-2</v>
      </c>
      <c r="AG55" s="891">
        <f t="shared" si="30"/>
        <v>1.0634999999999999</v>
      </c>
    </row>
    <row r="56" spans="3:33" ht="14.5" thickBot="1" x14ac:dyDescent="0.35">
      <c r="C56" s="864">
        <v>42095</v>
      </c>
      <c r="D56" s="19">
        <v>240.35</v>
      </c>
      <c r="E56" s="19">
        <v>263.39999999999998</v>
      </c>
      <c r="F56" s="19">
        <v>270.45</v>
      </c>
      <c r="G56" s="19">
        <v>27011.310547000001</v>
      </c>
      <c r="I56" s="864">
        <v>42095</v>
      </c>
      <c r="J56" s="508">
        <f t="shared" si="2"/>
        <v>-0.1048417132216015</v>
      </c>
      <c r="K56" s="508">
        <f t="shared" si="17"/>
        <v>5.5288461538461474E-2</v>
      </c>
      <c r="L56" s="508">
        <f t="shared" si="18"/>
        <v>-4.53582774444053E-2</v>
      </c>
      <c r="M56" s="508">
        <f t="shared" si="18"/>
        <v>-3.3843513100804745E-2</v>
      </c>
      <c r="O56" s="864">
        <v>42095</v>
      </c>
      <c r="P56" s="508">
        <f t="shared" si="3"/>
        <v>0.89515828677839848</v>
      </c>
      <c r="Q56" s="508">
        <f t="shared" si="4"/>
        <v>1.0552884615384615</v>
      </c>
      <c r="R56" s="508">
        <f t="shared" si="5"/>
        <v>0.95464172255559465</v>
      </c>
      <c r="S56" s="508">
        <f t="shared" si="6"/>
        <v>0.9661564868991952</v>
      </c>
      <c r="U56" s="877" t="s">
        <v>1076</v>
      </c>
      <c r="V56" s="897">
        <f>(V35*$V$50)+(W35*$V$51)+(X35*$V$52)</f>
        <v>0.81572799581641309</v>
      </c>
      <c r="W56" s="886">
        <v>7.3499999999999996E-2</v>
      </c>
      <c r="X56" s="887">
        <v>8.72E-2</v>
      </c>
      <c r="Y56" s="898">
        <f>W56+(X56-W56)*V56</f>
        <v>8.4675473542684856E-2</v>
      </c>
      <c r="AB56" s="883" t="s">
        <v>1098</v>
      </c>
      <c r="AC56" s="896">
        <v>3.5000000000000003E-2</v>
      </c>
      <c r="AE56" s="99">
        <v>2013</v>
      </c>
      <c r="AF56" s="895">
        <v>0.1091</v>
      </c>
      <c r="AG56" s="891">
        <f t="shared" si="30"/>
        <v>1.1091</v>
      </c>
    </row>
    <row r="57" spans="3:33" ht="14.5" thickBot="1" x14ac:dyDescent="0.35">
      <c r="C57" s="864">
        <v>42125</v>
      </c>
      <c r="D57" s="19">
        <v>246.65</v>
      </c>
      <c r="E57" s="19">
        <v>274.2</v>
      </c>
      <c r="F57" s="19">
        <v>307</v>
      </c>
      <c r="G57" s="19">
        <v>27828.439452999999</v>
      </c>
      <c r="I57" s="864">
        <v>42125</v>
      </c>
      <c r="J57" s="508">
        <f t="shared" si="2"/>
        <v>2.6211774495527404E-2</v>
      </c>
      <c r="K57" s="508">
        <f t="shared" si="17"/>
        <v>4.1002277904328067E-2</v>
      </c>
      <c r="L57" s="508">
        <f t="shared" si="18"/>
        <v>0.13514512848955448</v>
      </c>
      <c r="M57" s="508">
        <f t="shared" si="18"/>
        <v>3.0251360983695481E-2</v>
      </c>
      <c r="O57" s="864">
        <v>42125</v>
      </c>
      <c r="P57" s="508">
        <f t="shared" si="3"/>
        <v>1.0262117744955275</v>
      </c>
      <c r="Q57" s="508">
        <f t="shared" si="4"/>
        <v>1.041002277904328</v>
      </c>
      <c r="R57" s="508">
        <f t="shared" si="5"/>
        <v>1.1351451284895544</v>
      </c>
      <c r="S57" s="508">
        <f t="shared" si="6"/>
        <v>1.0302513609836954</v>
      </c>
      <c r="U57" s="877" t="s">
        <v>1077</v>
      </c>
      <c r="V57" s="899">
        <f t="shared" ref="V57:V59" si="31">(V36*$V$50)+(W36*$V$51)+(X36*$V$52)</f>
        <v>0.91276186930029113</v>
      </c>
      <c r="W57" s="893">
        <v>7.3499999999999996E-2</v>
      </c>
      <c r="X57" s="893">
        <v>8.72E-2</v>
      </c>
      <c r="Y57" s="900">
        <f t="shared" ref="Y57:Y59" si="32">W57+(X57-W57)*V57</f>
        <v>8.6004837609413992E-2</v>
      </c>
      <c r="AB57" s="883" t="s">
        <v>1099</v>
      </c>
      <c r="AC57" s="901">
        <f ca="1">(1+AC54/(1+AC55)*(1+AC56)-1)</f>
        <v>3.5794880804939533E-2</v>
      </c>
      <c r="AE57" s="99">
        <v>2012</v>
      </c>
      <c r="AF57" s="895">
        <v>9.3100000000000002E-2</v>
      </c>
      <c r="AG57" s="891">
        <f t="shared" si="30"/>
        <v>1.0931</v>
      </c>
    </row>
    <row r="58" spans="3:33" ht="14.5" thickBot="1" x14ac:dyDescent="0.35">
      <c r="C58" s="864">
        <v>42156</v>
      </c>
      <c r="D58" s="19">
        <v>246.85</v>
      </c>
      <c r="E58" s="19">
        <v>265.45</v>
      </c>
      <c r="F58" s="19">
        <v>271.89999999999998</v>
      </c>
      <c r="G58" s="19">
        <v>27780.830077999999</v>
      </c>
      <c r="I58" s="864">
        <v>42156</v>
      </c>
      <c r="J58" s="508">
        <f t="shared" si="2"/>
        <v>8.1086559902691512E-4</v>
      </c>
      <c r="K58" s="508">
        <f t="shared" si="17"/>
        <v>-3.1911013858497449E-2</v>
      </c>
      <c r="L58" s="508">
        <f t="shared" si="18"/>
        <v>-0.11433224755700333</v>
      </c>
      <c r="M58" s="508">
        <f t="shared" si="18"/>
        <v>-1.7108172767074637E-3</v>
      </c>
      <c r="O58" s="864">
        <v>42156</v>
      </c>
      <c r="P58" s="508">
        <f t="shared" si="3"/>
        <v>1.0008108655990269</v>
      </c>
      <c r="Q58" s="508">
        <f t="shared" si="4"/>
        <v>0.96808898614150252</v>
      </c>
      <c r="R58" s="508">
        <f t="shared" si="5"/>
        <v>0.88566775244299667</v>
      </c>
      <c r="S58" s="508">
        <f t="shared" si="6"/>
        <v>0.99828918272329259</v>
      </c>
      <c r="U58" s="877" t="s">
        <v>1078</v>
      </c>
      <c r="V58" s="902">
        <f t="shared" si="31"/>
        <v>1.0044427009375956</v>
      </c>
      <c r="W58" s="539">
        <v>7.3499999999999996E-2</v>
      </c>
      <c r="X58" s="539">
        <v>8.72E-2</v>
      </c>
      <c r="Y58" s="903">
        <f t="shared" si="32"/>
        <v>8.7260865002845064E-2</v>
      </c>
      <c r="AE58" s="99">
        <v>2011</v>
      </c>
      <c r="AF58" s="895">
        <v>8.8599999999999998E-2</v>
      </c>
      <c r="AG58" s="891">
        <f t="shared" si="30"/>
        <v>1.0886</v>
      </c>
    </row>
    <row r="59" spans="3:33" ht="14.5" thickBot="1" x14ac:dyDescent="0.35">
      <c r="C59" s="864">
        <v>42186</v>
      </c>
      <c r="D59" s="19">
        <v>219.8</v>
      </c>
      <c r="E59" s="19">
        <v>271.7</v>
      </c>
      <c r="F59" s="19">
        <v>263.14999999999998</v>
      </c>
      <c r="G59" s="19">
        <v>28114.560547000001</v>
      </c>
      <c r="I59" s="864">
        <v>42186</v>
      </c>
      <c r="J59" s="508">
        <f t="shared" si="2"/>
        <v>-0.10958071703463636</v>
      </c>
      <c r="K59" s="508">
        <f t="shared" si="17"/>
        <v>2.3544923714447167E-2</v>
      </c>
      <c r="L59" s="508">
        <f t="shared" si="18"/>
        <v>-3.2180948878264073E-2</v>
      </c>
      <c r="M59" s="508">
        <f t="shared" si="18"/>
        <v>1.2012976864369774E-2</v>
      </c>
      <c r="O59" s="864">
        <v>42186</v>
      </c>
      <c r="P59" s="508">
        <f t="shared" si="3"/>
        <v>0.89041928296536366</v>
      </c>
      <c r="Q59" s="508">
        <f t="shared" si="4"/>
        <v>1.0235449237144472</v>
      </c>
      <c r="R59" s="508">
        <f t="shared" si="5"/>
        <v>0.96781905112173594</v>
      </c>
      <c r="S59" s="508">
        <f t="shared" si="6"/>
        <v>1.0120129768643698</v>
      </c>
      <c r="U59" s="877" t="s">
        <v>1079</v>
      </c>
      <c r="V59" s="899">
        <f t="shared" si="31"/>
        <v>1.1356851464181217</v>
      </c>
      <c r="W59" s="893">
        <v>7.3499999999999996E-2</v>
      </c>
      <c r="X59" s="893">
        <v>8.72E-2</v>
      </c>
      <c r="Y59" s="900">
        <f t="shared" si="32"/>
        <v>8.9058886505928261E-2</v>
      </c>
      <c r="AE59" s="121">
        <v>2010</v>
      </c>
      <c r="AF59" s="901">
        <v>0.11990000000000001</v>
      </c>
      <c r="AG59" s="904">
        <f t="shared" si="30"/>
        <v>1.1198999999999999</v>
      </c>
    </row>
    <row r="60" spans="3:33" x14ac:dyDescent="0.3">
      <c r="C60" s="864">
        <v>42217</v>
      </c>
      <c r="D60" s="19">
        <v>202.5</v>
      </c>
      <c r="E60" s="19">
        <v>227.55</v>
      </c>
      <c r="F60" s="19">
        <v>224.75</v>
      </c>
      <c r="G60" s="19">
        <v>26283.089843999998</v>
      </c>
      <c r="I60" s="864">
        <v>42217</v>
      </c>
      <c r="J60" s="508">
        <f t="shared" si="2"/>
        <v>-7.8707916287534166E-2</v>
      </c>
      <c r="K60" s="508">
        <f t="shared" si="17"/>
        <v>-0.16249539933750454</v>
      </c>
      <c r="L60" s="508">
        <f t="shared" si="18"/>
        <v>-0.14592437773133188</v>
      </c>
      <c r="M60" s="508">
        <f t="shared" si="18"/>
        <v>-6.5143138194825242E-2</v>
      </c>
      <c r="O60" s="864">
        <v>42217</v>
      </c>
      <c r="P60" s="508">
        <f t="shared" si="3"/>
        <v>0.92129208371246585</v>
      </c>
      <c r="Q60" s="508">
        <f t="shared" si="4"/>
        <v>0.83750460066249544</v>
      </c>
      <c r="R60" s="508">
        <f t="shared" si="5"/>
        <v>0.85407562226866807</v>
      </c>
      <c r="S60" s="508">
        <f t="shared" si="6"/>
        <v>0.9348568618051748</v>
      </c>
      <c r="AF60" s="883" t="s">
        <v>1103</v>
      </c>
      <c r="AG60" s="756">
        <f>GEOMEAN(AG50:AG59)-1</f>
        <v>7.2871074085094634E-2</v>
      </c>
    </row>
    <row r="61" spans="3:33" x14ac:dyDescent="0.3">
      <c r="C61" s="864">
        <v>42248</v>
      </c>
      <c r="D61" s="19">
        <v>214.85</v>
      </c>
      <c r="E61" s="19">
        <v>221</v>
      </c>
      <c r="F61" s="19">
        <v>272.7</v>
      </c>
      <c r="G61" s="19">
        <v>26154.830077999999</v>
      </c>
      <c r="I61" s="864">
        <v>42248</v>
      </c>
      <c r="J61" s="508">
        <f t="shared" si="2"/>
        <v>6.0987654320987628E-2</v>
      </c>
      <c r="K61" s="508">
        <f t="shared" si="17"/>
        <v>-2.8784882443419077E-2</v>
      </c>
      <c r="L61" s="508">
        <f t="shared" si="18"/>
        <v>0.2133481646273637</v>
      </c>
      <c r="M61" s="508">
        <f t="shared" si="18"/>
        <v>-4.8799348463696261E-3</v>
      </c>
      <c r="O61" s="864">
        <v>42248</v>
      </c>
      <c r="P61" s="508">
        <f t="shared" si="3"/>
        <v>1.0609876543209875</v>
      </c>
      <c r="Q61" s="508">
        <f t="shared" si="4"/>
        <v>0.97121511755658096</v>
      </c>
      <c r="R61" s="508">
        <f t="shared" si="5"/>
        <v>1.2133481646273636</v>
      </c>
      <c r="S61" s="508">
        <f t="shared" si="6"/>
        <v>0.99512006515363038</v>
      </c>
    </row>
    <row r="62" spans="3:33" x14ac:dyDescent="0.3">
      <c r="C62" s="864">
        <v>42278</v>
      </c>
      <c r="D62" s="19">
        <v>203.9</v>
      </c>
      <c r="E62" s="19">
        <v>224.1</v>
      </c>
      <c r="F62" s="19">
        <v>284.8</v>
      </c>
      <c r="G62" s="19">
        <v>26656.830077999999</v>
      </c>
      <c r="I62" s="864">
        <v>42278</v>
      </c>
      <c r="J62" s="508">
        <f t="shared" si="2"/>
        <v>-5.0965790086106535E-2</v>
      </c>
      <c r="K62" s="508">
        <f t="shared" si="17"/>
        <v>1.4027149321266943E-2</v>
      </c>
      <c r="L62" s="508">
        <f t="shared" si="18"/>
        <v>4.4371103777044459E-2</v>
      </c>
      <c r="M62" s="508">
        <f t="shared" si="18"/>
        <v>1.9193395579436577E-2</v>
      </c>
      <c r="O62" s="864">
        <v>42278</v>
      </c>
      <c r="P62" s="508">
        <f t="shared" si="3"/>
        <v>0.94903420991389342</v>
      </c>
      <c r="Q62" s="508">
        <f t="shared" si="4"/>
        <v>1.0140271493212669</v>
      </c>
      <c r="R62" s="508">
        <f t="shared" si="5"/>
        <v>1.0443711037770445</v>
      </c>
      <c r="S62" s="508">
        <f t="shared" si="6"/>
        <v>1.0191933955794366</v>
      </c>
    </row>
    <row r="63" spans="3:33" x14ac:dyDescent="0.3">
      <c r="C63" s="864">
        <v>42309</v>
      </c>
      <c r="D63" s="19">
        <v>204.25</v>
      </c>
      <c r="E63" s="19">
        <v>239.8</v>
      </c>
      <c r="F63" s="19">
        <v>259.60000000000002</v>
      </c>
      <c r="G63" s="19">
        <v>26145.669922000001</v>
      </c>
      <c r="I63" s="864">
        <v>42309</v>
      </c>
      <c r="J63" s="508">
        <f t="shared" si="2"/>
        <v>1.7165277096615709E-3</v>
      </c>
      <c r="K63" s="508">
        <f t="shared" si="17"/>
        <v>7.0058009817046046E-2</v>
      </c>
      <c r="L63" s="508">
        <f t="shared" si="18"/>
        <v>-8.8483146067415683E-2</v>
      </c>
      <c r="M63" s="508">
        <f t="shared" si="18"/>
        <v>-1.9175579185683481E-2</v>
      </c>
      <c r="O63" s="864">
        <v>42309</v>
      </c>
      <c r="P63" s="508">
        <f t="shared" si="3"/>
        <v>1.0017165277096616</v>
      </c>
      <c r="Q63" s="508">
        <f t="shared" si="4"/>
        <v>1.070058009817046</v>
      </c>
      <c r="R63" s="508">
        <f t="shared" si="5"/>
        <v>0.9115168539325843</v>
      </c>
      <c r="S63" s="508">
        <f t="shared" si="6"/>
        <v>0.98082442081431653</v>
      </c>
    </row>
    <row r="64" spans="3:33" x14ac:dyDescent="0.3">
      <c r="C64" s="864">
        <v>42339</v>
      </c>
      <c r="D64" s="19">
        <v>194.35</v>
      </c>
      <c r="E64" s="19">
        <v>234.7</v>
      </c>
      <c r="F64" s="19">
        <v>268.10000000000002</v>
      </c>
      <c r="G64" s="19">
        <v>26117.539063</v>
      </c>
      <c r="I64" s="864">
        <v>42339</v>
      </c>
      <c r="J64" s="508">
        <f t="shared" si="2"/>
        <v>-4.8470012239902112E-2</v>
      </c>
      <c r="K64" s="508">
        <f t="shared" si="17"/>
        <v>-2.1267723102585581E-2</v>
      </c>
      <c r="L64" s="508">
        <f t="shared" si="18"/>
        <v>3.2742681047765794E-2</v>
      </c>
      <c r="M64" s="508">
        <f t="shared" si="18"/>
        <v>-1.0759280249434482E-3</v>
      </c>
      <c r="O64" s="864">
        <v>42339</v>
      </c>
      <c r="P64" s="508">
        <f t="shared" si="3"/>
        <v>0.9515299877600979</v>
      </c>
      <c r="Q64" s="508">
        <f t="shared" si="4"/>
        <v>0.97873227689741438</v>
      </c>
      <c r="R64" s="508">
        <f t="shared" si="5"/>
        <v>1.0327426810477658</v>
      </c>
      <c r="S64" s="508">
        <f t="shared" si="6"/>
        <v>0.9989240719750565</v>
      </c>
    </row>
    <row r="65" spans="3:19" x14ac:dyDescent="0.3">
      <c r="C65" s="864">
        <v>42370</v>
      </c>
      <c r="D65" s="19">
        <v>186.4</v>
      </c>
      <c r="E65" s="19">
        <v>235.6</v>
      </c>
      <c r="F65" s="19">
        <v>242.7</v>
      </c>
      <c r="G65" s="19">
        <v>24870.689452999999</v>
      </c>
      <c r="I65" s="864">
        <v>42370</v>
      </c>
      <c r="J65" s="508">
        <f t="shared" si="2"/>
        <v>-4.0905582711602724E-2</v>
      </c>
      <c r="K65" s="508">
        <f t="shared" si="17"/>
        <v>3.8346825734981069E-3</v>
      </c>
      <c r="L65" s="508">
        <f t="shared" si="18"/>
        <v>-9.4740768370011302E-2</v>
      </c>
      <c r="M65" s="508">
        <f t="shared" si="18"/>
        <v>-4.7739934723267194E-2</v>
      </c>
      <c r="O65" s="864">
        <v>42370</v>
      </c>
      <c r="P65" s="508">
        <f t="shared" si="3"/>
        <v>0.95909441728839728</v>
      </c>
      <c r="Q65" s="508">
        <f t="shared" si="4"/>
        <v>1.0038346825734981</v>
      </c>
      <c r="R65" s="508">
        <f t="shared" si="5"/>
        <v>0.90525923162998867</v>
      </c>
      <c r="S65" s="508">
        <f t="shared" si="6"/>
        <v>0.95226006527673279</v>
      </c>
    </row>
    <row r="66" spans="3:19" x14ac:dyDescent="0.3">
      <c r="C66" s="864">
        <v>42401</v>
      </c>
      <c r="D66" s="19">
        <v>149</v>
      </c>
      <c r="E66" s="19">
        <v>191.75</v>
      </c>
      <c r="F66" s="19">
        <v>230.85</v>
      </c>
      <c r="G66" s="19">
        <v>23002</v>
      </c>
      <c r="I66" s="864">
        <v>42401</v>
      </c>
      <c r="J66" s="508">
        <f t="shared" si="2"/>
        <v>-0.20064377682403436</v>
      </c>
      <c r="K66" s="508">
        <f t="shared" si="17"/>
        <v>-0.18612054329371816</v>
      </c>
      <c r="L66" s="508">
        <f t="shared" si="18"/>
        <v>-4.8825710754017287E-2</v>
      </c>
      <c r="M66" s="508">
        <f t="shared" si="18"/>
        <v>-7.5136214318923533E-2</v>
      </c>
      <c r="O66" s="864">
        <v>42401</v>
      </c>
      <c r="P66" s="508">
        <f t="shared" si="3"/>
        <v>0.79935622317596566</v>
      </c>
      <c r="Q66" s="508">
        <f t="shared" si="4"/>
        <v>0.81387945670628181</v>
      </c>
      <c r="R66" s="508">
        <f t="shared" si="5"/>
        <v>0.95117428924598268</v>
      </c>
      <c r="S66" s="508">
        <f t="shared" si="6"/>
        <v>0.92486378568107641</v>
      </c>
    </row>
    <row r="67" spans="3:19" x14ac:dyDescent="0.3">
      <c r="C67" s="864">
        <v>42430</v>
      </c>
      <c r="D67" s="19">
        <v>172.35</v>
      </c>
      <c r="E67" s="19">
        <v>225.45</v>
      </c>
      <c r="F67" s="19">
        <v>241.75</v>
      </c>
      <c r="G67" s="19">
        <v>25341.859375</v>
      </c>
      <c r="I67" s="864">
        <v>42430</v>
      </c>
      <c r="J67" s="508">
        <f t="shared" si="2"/>
        <v>0.15671140939597311</v>
      </c>
      <c r="K67" s="508">
        <f t="shared" si="17"/>
        <v>0.17574967405475875</v>
      </c>
      <c r="L67" s="508">
        <f t="shared" si="18"/>
        <v>4.7216807450725602E-2</v>
      </c>
      <c r="M67" s="508">
        <f t="shared" si="18"/>
        <v>0.10172417072428484</v>
      </c>
      <c r="O67" s="864">
        <v>42430</v>
      </c>
      <c r="P67" s="508">
        <f t="shared" si="3"/>
        <v>1.1567114093959732</v>
      </c>
      <c r="Q67" s="508">
        <f t="shared" si="4"/>
        <v>1.1757496740547588</v>
      </c>
      <c r="R67" s="508">
        <f t="shared" si="5"/>
        <v>1.0472168074507255</v>
      </c>
      <c r="S67" s="508">
        <f t="shared" si="6"/>
        <v>1.1017241707242849</v>
      </c>
    </row>
    <row r="68" spans="3:19" x14ac:dyDescent="0.3">
      <c r="C68" s="864">
        <v>42461</v>
      </c>
      <c r="D68" s="19">
        <v>168.5</v>
      </c>
      <c r="E68" s="19">
        <v>215.35</v>
      </c>
      <c r="F68" s="19">
        <v>279.35000000000002</v>
      </c>
      <c r="G68" s="19">
        <v>25606.619140999999</v>
      </c>
      <c r="I68" s="864">
        <v>42461</v>
      </c>
      <c r="J68" s="508">
        <f t="shared" si="2"/>
        <v>-2.2338265158108467E-2</v>
      </c>
      <c r="K68" s="508">
        <f t="shared" si="17"/>
        <v>-4.4799290308272323E-2</v>
      </c>
      <c r="L68" s="508">
        <f t="shared" si="18"/>
        <v>0.15553257497414694</v>
      </c>
      <c r="M68" s="508">
        <f t="shared" si="18"/>
        <v>1.0447527234769024E-2</v>
      </c>
      <c r="O68" s="864">
        <v>42461</v>
      </c>
      <c r="P68" s="508">
        <f t="shared" si="3"/>
        <v>0.97766173484189156</v>
      </c>
      <c r="Q68" s="508">
        <f t="shared" si="4"/>
        <v>0.95520070969172766</v>
      </c>
      <c r="R68" s="508">
        <f t="shared" si="5"/>
        <v>1.155532574974147</v>
      </c>
      <c r="S68" s="508">
        <f t="shared" si="6"/>
        <v>1.010447527234769</v>
      </c>
    </row>
    <row r="69" spans="3:19" x14ac:dyDescent="0.3">
      <c r="C69" s="864">
        <v>42491</v>
      </c>
      <c r="D69" s="19">
        <v>185.65</v>
      </c>
      <c r="E69" s="19">
        <v>220.15</v>
      </c>
      <c r="F69" s="19">
        <v>270.2</v>
      </c>
      <c r="G69" s="19">
        <v>26667.960938</v>
      </c>
      <c r="I69" s="864">
        <v>42491</v>
      </c>
      <c r="J69" s="508">
        <f t="shared" si="2"/>
        <v>0.1017804154302671</v>
      </c>
      <c r="K69" s="508">
        <f t="shared" si="17"/>
        <v>2.2289296494079458E-2</v>
      </c>
      <c r="L69" s="508">
        <f t="shared" si="18"/>
        <v>-3.2754608913549428E-2</v>
      </c>
      <c r="M69" s="508">
        <f t="shared" si="18"/>
        <v>4.1447947156000579E-2</v>
      </c>
      <c r="O69" s="864">
        <v>42491</v>
      </c>
      <c r="P69" s="508">
        <f t="shared" si="3"/>
        <v>1.1017804154302671</v>
      </c>
      <c r="Q69" s="508">
        <f t="shared" si="4"/>
        <v>1.0222892964940795</v>
      </c>
      <c r="R69" s="508">
        <f t="shared" si="5"/>
        <v>0.96724539108645058</v>
      </c>
      <c r="S69" s="508">
        <f t="shared" si="6"/>
        <v>1.0414479471560005</v>
      </c>
    </row>
    <row r="70" spans="3:19" x14ac:dyDescent="0.3">
      <c r="C70" s="864">
        <v>42522</v>
      </c>
      <c r="D70" s="19">
        <v>184.55</v>
      </c>
      <c r="E70" s="19">
        <v>245.3</v>
      </c>
      <c r="F70" s="19">
        <v>271.95</v>
      </c>
      <c r="G70" s="19">
        <v>26999.720702999999</v>
      </c>
      <c r="I70" s="864">
        <v>42522</v>
      </c>
      <c r="J70" s="508">
        <f t="shared" si="2"/>
        <v>-5.9251279288984344E-3</v>
      </c>
      <c r="K70" s="508">
        <f t="shared" si="17"/>
        <v>0.11424029071087898</v>
      </c>
      <c r="L70" s="508">
        <f t="shared" si="18"/>
        <v>6.4766839378238347E-3</v>
      </c>
      <c r="M70" s="508">
        <f t="shared" si="18"/>
        <v>1.2440387391120862E-2</v>
      </c>
      <c r="O70" s="864">
        <v>42522</v>
      </c>
      <c r="P70" s="508">
        <f t="shared" si="3"/>
        <v>0.99407487207110157</v>
      </c>
      <c r="Q70" s="508">
        <f t="shared" si="4"/>
        <v>1.114240290710879</v>
      </c>
      <c r="R70" s="508">
        <f t="shared" si="5"/>
        <v>1.0064766839378239</v>
      </c>
      <c r="S70" s="508">
        <f t="shared" si="6"/>
        <v>1.012440387391121</v>
      </c>
    </row>
    <row r="71" spans="3:19" x14ac:dyDescent="0.3">
      <c r="C71" s="864">
        <v>42552</v>
      </c>
      <c r="D71" s="19">
        <v>184.9</v>
      </c>
      <c r="E71" s="19">
        <v>254.5</v>
      </c>
      <c r="F71" s="19">
        <v>289.64999999999998</v>
      </c>
      <c r="G71" s="19">
        <v>28051.859375</v>
      </c>
      <c r="I71" s="864">
        <v>42552</v>
      </c>
      <c r="J71" s="508">
        <f t="shared" ref="J71:J125" si="33">(D71-D70)/D70</f>
        <v>1.896505012191787E-3</v>
      </c>
      <c r="K71" s="508">
        <f t="shared" si="17"/>
        <v>3.750509580105988E-2</v>
      </c>
      <c r="L71" s="508">
        <f t="shared" si="18"/>
        <v>6.5085493656922191E-2</v>
      </c>
      <c r="M71" s="508">
        <f t="shared" si="18"/>
        <v>3.8968502066137875E-2</v>
      </c>
      <c r="O71" s="864">
        <v>42552</v>
      </c>
      <c r="P71" s="508">
        <f t="shared" ref="P71:P125" si="34">(1+J71)</f>
        <v>1.0018965050121917</v>
      </c>
      <c r="Q71" s="508">
        <f t="shared" ref="Q71:Q125" si="35">(1+K71)</f>
        <v>1.0375050958010599</v>
      </c>
      <c r="R71" s="508">
        <f t="shared" ref="R71:R125" si="36">(1+L71)</f>
        <v>1.0650854936569223</v>
      </c>
      <c r="S71" s="508">
        <f t="shared" ref="S71:S125" si="37">(1+M71)</f>
        <v>1.0389685020661379</v>
      </c>
    </row>
    <row r="72" spans="3:19" x14ac:dyDescent="0.3">
      <c r="C72" s="864">
        <v>42583</v>
      </c>
      <c r="D72" s="19">
        <v>185.7</v>
      </c>
      <c r="E72" s="19">
        <v>232.35</v>
      </c>
      <c r="F72" s="19">
        <v>303.25</v>
      </c>
      <c r="G72" s="19">
        <v>28452.169922000001</v>
      </c>
      <c r="I72" s="864">
        <v>42583</v>
      </c>
      <c r="J72" s="508">
        <f t="shared" si="33"/>
        <v>4.3266630611140233E-3</v>
      </c>
      <c r="K72" s="508">
        <f t="shared" si="17"/>
        <v>-8.7033398821218091E-2</v>
      </c>
      <c r="L72" s="508">
        <f t="shared" si="18"/>
        <v>4.6953219402727508E-2</v>
      </c>
      <c r="M72" s="508">
        <f t="shared" si="18"/>
        <v>1.4270374795788415E-2</v>
      </c>
      <c r="O72" s="864">
        <v>42583</v>
      </c>
      <c r="P72" s="508">
        <f t="shared" si="34"/>
        <v>1.0043266630611141</v>
      </c>
      <c r="Q72" s="508">
        <f t="shared" si="35"/>
        <v>0.91296660117878192</v>
      </c>
      <c r="R72" s="508">
        <f t="shared" si="36"/>
        <v>1.0469532194027276</v>
      </c>
      <c r="S72" s="508">
        <f t="shared" si="37"/>
        <v>1.0142703747957884</v>
      </c>
    </row>
    <row r="73" spans="3:19" x14ac:dyDescent="0.3">
      <c r="C73" s="864">
        <v>42614</v>
      </c>
      <c r="D73" s="19">
        <v>192.75</v>
      </c>
      <c r="E73" s="19">
        <v>249.5</v>
      </c>
      <c r="F73" s="19">
        <v>292.10000000000002</v>
      </c>
      <c r="G73" s="19">
        <v>27865.960938</v>
      </c>
      <c r="I73" s="864">
        <v>42614</v>
      </c>
      <c r="J73" s="508">
        <f t="shared" si="33"/>
        <v>3.7964458804523489E-2</v>
      </c>
      <c r="K73" s="508">
        <f t="shared" si="17"/>
        <v>7.3811060899505079E-2</v>
      </c>
      <c r="L73" s="508">
        <f t="shared" si="18"/>
        <v>-3.6768342951360188E-2</v>
      </c>
      <c r="M73" s="508">
        <f t="shared" si="18"/>
        <v>-2.0603313758038814E-2</v>
      </c>
      <c r="O73" s="864">
        <v>42614</v>
      </c>
      <c r="P73" s="508">
        <f t="shared" si="34"/>
        <v>1.0379644588045236</v>
      </c>
      <c r="Q73" s="508">
        <f t="shared" si="35"/>
        <v>1.0738110608995051</v>
      </c>
      <c r="R73" s="508">
        <f t="shared" si="36"/>
        <v>0.96323165704863978</v>
      </c>
      <c r="S73" s="508">
        <f t="shared" si="37"/>
        <v>0.97939668624196119</v>
      </c>
    </row>
    <row r="74" spans="3:19" x14ac:dyDescent="0.3">
      <c r="C74" s="864">
        <v>42644</v>
      </c>
      <c r="D74" s="19">
        <v>193</v>
      </c>
      <c r="E74" s="19">
        <v>296.39999999999998</v>
      </c>
      <c r="F74" s="19">
        <v>359.35</v>
      </c>
      <c r="G74" s="19">
        <v>27941.509765999999</v>
      </c>
      <c r="I74" s="864">
        <v>42644</v>
      </c>
      <c r="J74" s="508">
        <f t="shared" si="33"/>
        <v>1.2970168612191958E-3</v>
      </c>
      <c r="K74" s="508">
        <f t="shared" si="17"/>
        <v>0.18797595190380753</v>
      </c>
      <c r="L74" s="508">
        <f t="shared" si="18"/>
        <v>0.23022937350222525</v>
      </c>
      <c r="M74" s="508">
        <f t="shared" si="18"/>
        <v>2.7111510049156536E-3</v>
      </c>
      <c r="O74" s="864">
        <v>42644</v>
      </c>
      <c r="P74" s="508">
        <f t="shared" si="34"/>
        <v>1.0012970168612192</v>
      </c>
      <c r="Q74" s="508">
        <f t="shared" si="35"/>
        <v>1.1879759519038076</v>
      </c>
      <c r="R74" s="508">
        <f t="shared" si="36"/>
        <v>1.2302293735022252</v>
      </c>
      <c r="S74" s="508">
        <f t="shared" si="37"/>
        <v>1.0027111510049156</v>
      </c>
    </row>
    <row r="75" spans="3:19" x14ac:dyDescent="0.3">
      <c r="C75" s="864">
        <v>42675</v>
      </c>
      <c r="D75" s="19">
        <v>152.94999999999999</v>
      </c>
      <c r="E75" s="19">
        <v>194.6</v>
      </c>
      <c r="F75" s="19">
        <v>284.14999999999998</v>
      </c>
      <c r="G75" s="19">
        <v>26652.810547000001</v>
      </c>
      <c r="I75" s="864">
        <v>42675</v>
      </c>
      <c r="J75" s="508">
        <f t="shared" si="33"/>
        <v>-0.2075129533678757</v>
      </c>
      <c r="K75" s="508">
        <f t="shared" si="17"/>
        <v>-0.34345479082321184</v>
      </c>
      <c r="L75" s="508">
        <f t="shared" si="18"/>
        <v>-0.20926673159872003</v>
      </c>
      <c r="M75" s="508">
        <f t="shared" si="18"/>
        <v>-4.6121316628642703E-2</v>
      </c>
      <c r="O75" s="864">
        <v>42675</v>
      </c>
      <c r="P75" s="508">
        <f t="shared" si="34"/>
        <v>0.79248704663212433</v>
      </c>
      <c r="Q75" s="508">
        <f t="shared" si="35"/>
        <v>0.65654520917678816</v>
      </c>
      <c r="R75" s="508">
        <f t="shared" si="36"/>
        <v>0.79073326840128</v>
      </c>
      <c r="S75" s="508">
        <f t="shared" si="37"/>
        <v>0.95387868337135728</v>
      </c>
    </row>
    <row r="76" spans="3:19" x14ac:dyDescent="0.3">
      <c r="C76" s="864">
        <v>42705</v>
      </c>
      <c r="D76" s="19">
        <v>171.2</v>
      </c>
      <c r="E76" s="19">
        <v>216.15</v>
      </c>
      <c r="F76" s="19">
        <v>294.75</v>
      </c>
      <c r="G76" s="19">
        <v>26626.460938</v>
      </c>
      <c r="I76" s="864">
        <v>42705</v>
      </c>
      <c r="J76" s="508">
        <f t="shared" si="33"/>
        <v>0.11932003922850605</v>
      </c>
      <c r="K76" s="508">
        <f t="shared" si="17"/>
        <v>0.11073997944501547</v>
      </c>
      <c r="L76" s="508">
        <f t="shared" si="18"/>
        <v>3.7304240717930752E-2</v>
      </c>
      <c r="M76" s="508">
        <f t="shared" si="18"/>
        <v>-9.8862403098297835E-4</v>
      </c>
      <c r="O76" s="864">
        <v>42705</v>
      </c>
      <c r="P76" s="508">
        <f t="shared" si="34"/>
        <v>1.1193200392285061</v>
      </c>
      <c r="Q76" s="508">
        <f t="shared" si="35"/>
        <v>1.1107399794450155</v>
      </c>
      <c r="R76" s="508">
        <f t="shared" si="36"/>
        <v>1.0373042407179307</v>
      </c>
      <c r="S76" s="508">
        <f t="shared" si="37"/>
        <v>0.99901137596901701</v>
      </c>
    </row>
    <row r="77" spans="3:19" x14ac:dyDescent="0.3">
      <c r="C77" s="864">
        <v>42736</v>
      </c>
      <c r="D77" s="19">
        <v>164.75</v>
      </c>
      <c r="E77" s="19">
        <v>243.7</v>
      </c>
      <c r="F77" s="19">
        <v>311.05</v>
      </c>
      <c r="G77" s="19">
        <v>27655.960938</v>
      </c>
      <c r="I77" s="864">
        <v>42736</v>
      </c>
      <c r="J77" s="508">
        <f t="shared" si="33"/>
        <v>-3.7675233644859751E-2</v>
      </c>
      <c r="K77" s="508">
        <f t="shared" si="17"/>
        <v>0.12745778394633347</v>
      </c>
      <c r="L77" s="508">
        <f t="shared" si="18"/>
        <v>5.530110262934694E-2</v>
      </c>
      <c r="M77" s="508">
        <f t="shared" si="18"/>
        <v>3.8664545107861006E-2</v>
      </c>
      <c r="O77" s="864">
        <v>42736</v>
      </c>
      <c r="P77" s="508">
        <f t="shared" si="34"/>
        <v>0.96232476635514019</v>
      </c>
      <c r="Q77" s="508">
        <f t="shared" si="35"/>
        <v>1.1274577839463336</v>
      </c>
      <c r="R77" s="508">
        <f t="shared" si="36"/>
        <v>1.0553011026293468</v>
      </c>
      <c r="S77" s="508">
        <f t="shared" si="37"/>
        <v>1.0386645451078611</v>
      </c>
    </row>
    <row r="78" spans="3:19" x14ac:dyDescent="0.3">
      <c r="C78" s="864">
        <v>42767</v>
      </c>
      <c r="D78" s="19">
        <v>170.85</v>
      </c>
      <c r="E78" s="19">
        <v>255.7</v>
      </c>
      <c r="F78" s="19">
        <v>323.45</v>
      </c>
      <c r="G78" s="19">
        <v>28743.320313</v>
      </c>
      <c r="I78" s="864">
        <v>42767</v>
      </c>
      <c r="J78" s="508">
        <f t="shared" si="33"/>
        <v>3.7025796661608462E-2</v>
      </c>
      <c r="K78" s="508">
        <f t="shared" si="17"/>
        <v>4.9240869922035295E-2</v>
      </c>
      <c r="L78" s="508">
        <f t="shared" si="18"/>
        <v>3.9864973476932894E-2</v>
      </c>
      <c r="M78" s="508">
        <f t="shared" si="18"/>
        <v>3.9317360095990746E-2</v>
      </c>
      <c r="O78" s="864">
        <v>42767</v>
      </c>
      <c r="P78" s="508">
        <f t="shared" si="34"/>
        <v>1.0370257966616085</v>
      </c>
      <c r="Q78" s="508">
        <f t="shared" si="35"/>
        <v>1.0492408699220352</v>
      </c>
      <c r="R78" s="508">
        <f t="shared" si="36"/>
        <v>1.039864973476933</v>
      </c>
      <c r="S78" s="508">
        <f t="shared" si="37"/>
        <v>1.0393173600959908</v>
      </c>
    </row>
    <row r="79" spans="3:19" x14ac:dyDescent="0.3">
      <c r="C79" s="864">
        <v>42795</v>
      </c>
      <c r="D79" s="19">
        <v>216.6</v>
      </c>
      <c r="E79" s="19">
        <v>380.8</v>
      </c>
      <c r="F79" s="19">
        <v>367.85</v>
      </c>
      <c r="G79" s="19">
        <v>29620.5</v>
      </c>
      <c r="I79" s="864">
        <v>42795</v>
      </c>
      <c r="J79" s="508">
        <f t="shared" si="33"/>
        <v>0.26777875329236173</v>
      </c>
      <c r="K79" s="508">
        <f t="shared" si="17"/>
        <v>0.48924520922956599</v>
      </c>
      <c r="L79" s="508">
        <f t="shared" si="18"/>
        <v>0.13727005719585728</v>
      </c>
      <c r="M79" s="508">
        <f t="shared" si="18"/>
        <v>3.0517688194960198E-2</v>
      </c>
      <c r="O79" s="864">
        <v>42795</v>
      </c>
      <c r="P79" s="508">
        <f t="shared" si="34"/>
        <v>1.2677787532923617</v>
      </c>
      <c r="Q79" s="508">
        <f t="shared" si="35"/>
        <v>1.489245209229566</v>
      </c>
      <c r="R79" s="508">
        <f t="shared" si="36"/>
        <v>1.1372700571958574</v>
      </c>
      <c r="S79" s="508">
        <f t="shared" si="37"/>
        <v>1.0305176881949603</v>
      </c>
    </row>
    <row r="80" spans="3:19" x14ac:dyDescent="0.3">
      <c r="C80" s="864">
        <v>42826</v>
      </c>
      <c r="D80" s="19">
        <v>235.65</v>
      </c>
      <c r="E80" s="19">
        <v>445.3</v>
      </c>
      <c r="F80" s="19">
        <v>396.4</v>
      </c>
      <c r="G80" s="19">
        <v>29918.400390999999</v>
      </c>
      <c r="I80" s="864">
        <v>42826</v>
      </c>
      <c r="J80" s="508">
        <f t="shared" si="33"/>
        <v>8.7950138504155173E-2</v>
      </c>
      <c r="K80" s="508">
        <f t="shared" si="17"/>
        <v>0.16938025210084032</v>
      </c>
      <c r="L80" s="508">
        <f t="shared" si="18"/>
        <v>7.7613157537039429E-2</v>
      </c>
      <c r="M80" s="508">
        <f t="shared" si="18"/>
        <v>1.0057237082425997E-2</v>
      </c>
      <c r="O80" s="864">
        <v>42826</v>
      </c>
      <c r="P80" s="508">
        <f t="shared" si="34"/>
        <v>1.0879501385041552</v>
      </c>
      <c r="Q80" s="508">
        <f t="shared" si="35"/>
        <v>1.1693802521008403</v>
      </c>
      <c r="R80" s="508">
        <f t="shared" si="36"/>
        <v>1.0776131575370393</v>
      </c>
      <c r="S80" s="508">
        <f t="shared" si="37"/>
        <v>1.0100572370824259</v>
      </c>
    </row>
    <row r="81" spans="3:19" x14ac:dyDescent="0.3">
      <c r="C81" s="864">
        <v>42856</v>
      </c>
      <c r="D81" s="19">
        <v>242.1</v>
      </c>
      <c r="E81" s="19">
        <v>453.55</v>
      </c>
      <c r="F81" s="19">
        <v>376.85</v>
      </c>
      <c r="G81" s="19">
        <v>31145.800781000002</v>
      </c>
      <c r="I81" s="864">
        <v>42856</v>
      </c>
      <c r="J81" s="508">
        <f t="shared" si="33"/>
        <v>2.7371101209420701E-2</v>
      </c>
      <c r="K81" s="508">
        <f t="shared" si="17"/>
        <v>1.8526835841006062E-2</v>
      </c>
      <c r="L81" s="508">
        <f t="shared" si="18"/>
        <v>-4.9318869828455993E-2</v>
      </c>
      <c r="M81" s="508">
        <f t="shared" si="18"/>
        <v>4.1024933618082966E-2</v>
      </c>
      <c r="O81" s="864">
        <v>42856</v>
      </c>
      <c r="P81" s="508">
        <f t="shared" si="34"/>
        <v>1.0273711012094207</v>
      </c>
      <c r="Q81" s="508">
        <f t="shared" si="35"/>
        <v>1.018526835841006</v>
      </c>
      <c r="R81" s="508">
        <f t="shared" si="36"/>
        <v>0.95068113017154399</v>
      </c>
      <c r="S81" s="508">
        <f t="shared" si="37"/>
        <v>1.041024933618083</v>
      </c>
    </row>
    <row r="82" spans="3:19" x14ac:dyDescent="0.3">
      <c r="C82" s="864">
        <v>42887</v>
      </c>
      <c r="D82" s="19">
        <v>251.45</v>
      </c>
      <c r="E82" s="19">
        <v>487.25</v>
      </c>
      <c r="F82" s="19">
        <v>358.15</v>
      </c>
      <c r="G82" s="19">
        <v>30921.609375</v>
      </c>
      <c r="I82" s="864">
        <v>42887</v>
      </c>
      <c r="J82" s="508">
        <f t="shared" si="33"/>
        <v>3.8620404791408484E-2</v>
      </c>
      <c r="K82" s="508">
        <f t="shared" si="17"/>
        <v>7.4302722963289575E-2</v>
      </c>
      <c r="L82" s="508">
        <f t="shared" si="18"/>
        <v>-4.9621865463712472E-2</v>
      </c>
      <c r="M82" s="508">
        <f t="shared" si="18"/>
        <v>-7.1981262442533224E-3</v>
      </c>
      <c r="O82" s="864">
        <v>42887</v>
      </c>
      <c r="P82" s="508">
        <f t="shared" si="34"/>
        <v>1.0386204047914085</v>
      </c>
      <c r="Q82" s="508">
        <f t="shared" si="35"/>
        <v>1.0743027229632895</v>
      </c>
      <c r="R82" s="508">
        <f t="shared" si="36"/>
        <v>0.9503781345362875</v>
      </c>
      <c r="S82" s="508">
        <f t="shared" si="37"/>
        <v>0.99280187375574669</v>
      </c>
    </row>
    <row r="83" spans="3:19" x14ac:dyDescent="0.3">
      <c r="C83" s="864">
        <v>42917</v>
      </c>
      <c r="D83" s="19">
        <v>268.39999999999998</v>
      </c>
      <c r="E83" s="19">
        <v>232</v>
      </c>
      <c r="F83" s="19">
        <v>387</v>
      </c>
      <c r="G83" s="19">
        <v>32514.939452999999</v>
      </c>
      <c r="I83" s="864">
        <v>42917</v>
      </c>
      <c r="J83" s="508">
        <f t="shared" si="33"/>
        <v>6.7409027639689756E-2</v>
      </c>
      <c r="K83" s="508">
        <f t="shared" si="17"/>
        <v>-0.52385838891739356</v>
      </c>
      <c r="L83" s="508">
        <f t="shared" si="18"/>
        <v>8.0552840988412741E-2</v>
      </c>
      <c r="M83" s="508">
        <f t="shared" si="18"/>
        <v>5.152804495642456E-2</v>
      </c>
      <c r="O83" s="864">
        <v>42917</v>
      </c>
      <c r="P83" s="508">
        <f t="shared" si="34"/>
        <v>1.0674090276396897</v>
      </c>
      <c r="Q83" s="508">
        <f t="shared" si="35"/>
        <v>0.47614161108260644</v>
      </c>
      <c r="R83" s="508">
        <f t="shared" si="36"/>
        <v>1.0805528409884126</v>
      </c>
      <c r="S83" s="508">
        <f t="shared" si="37"/>
        <v>1.0515280449564246</v>
      </c>
    </row>
    <row r="84" spans="3:19" x14ac:dyDescent="0.3">
      <c r="C84" s="864">
        <v>42948</v>
      </c>
      <c r="D84" s="19">
        <v>274.25</v>
      </c>
      <c r="E84" s="19">
        <v>258.5</v>
      </c>
      <c r="F84" s="19">
        <v>379.8</v>
      </c>
      <c r="G84" s="19">
        <v>31730.490234000001</v>
      </c>
      <c r="I84" s="864">
        <v>42948</v>
      </c>
      <c r="J84" s="508">
        <f t="shared" si="33"/>
        <v>2.1795827123696064E-2</v>
      </c>
      <c r="K84" s="508">
        <f t="shared" si="17"/>
        <v>0.11422413793103449</v>
      </c>
      <c r="L84" s="508">
        <f t="shared" si="18"/>
        <v>-1.860465116279067E-2</v>
      </c>
      <c r="M84" s="508">
        <f t="shared" si="18"/>
        <v>-2.4125809003394002E-2</v>
      </c>
      <c r="O84" s="864">
        <v>42948</v>
      </c>
      <c r="P84" s="508">
        <f t="shared" si="34"/>
        <v>1.021795827123696</v>
      </c>
      <c r="Q84" s="508">
        <f t="shared" si="35"/>
        <v>1.1142241379310345</v>
      </c>
      <c r="R84" s="508">
        <f t="shared" si="36"/>
        <v>0.98139534883720936</v>
      </c>
      <c r="S84" s="508">
        <f t="shared" si="37"/>
        <v>0.97587419099660599</v>
      </c>
    </row>
    <row r="85" spans="3:19" x14ac:dyDescent="0.3">
      <c r="C85" s="864">
        <v>42979</v>
      </c>
      <c r="D85" s="19">
        <v>272.5</v>
      </c>
      <c r="E85" s="19">
        <v>313.10000000000002</v>
      </c>
      <c r="F85" s="19">
        <v>423.35</v>
      </c>
      <c r="G85" s="19">
        <v>31283.720702999999</v>
      </c>
      <c r="I85" s="864">
        <v>42979</v>
      </c>
      <c r="J85" s="508">
        <f t="shared" si="33"/>
        <v>-6.3810391978122152E-3</v>
      </c>
      <c r="K85" s="508">
        <f t="shared" si="17"/>
        <v>0.21121856866537728</v>
      </c>
      <c r="L85" s="508">
        <f t="shared" si="18"/>
        <v>0.11466561348077939</v>
      </c>
      <c r="M85" s="508">
        <f t="shared" si="18"/>
        <v>-1.408013326315637E-2</v>
      </c>
      <c r="O85" s="864">
        <v>42979</v>
      </c>
      <c r="P85" s="508">
        <f t="shared" si="34"/>
        <v>0.99361896080218781</v>
      </c>
      <c r="Q85" s="508">
        <f t="shared" si="35"/>
        <v>1.2112185686653774</v>
      </c>
      <c r="R85" s="508">
        <f t="shared" si="36"/>
        <v>1.1146656134807793</v>
      </c>
      <c r="S85" s="508">
        <f t="shared" si="37"/>
        <v>0.98591986673684362</v>
      </c>
    </row>
    <row r="86" spans="3:19" x14ac:dyDescent="0.3">
      <c r="C86" s="864">
        <v>43009</v>
      </c>
      <c r="D86" s="19">
        <v>303.95</v>
      </c>
      <c r="E86" s="19">
        <v>354</v>
      </c>
      <c r="F86" s="19">
        <v>473.3</v>
      </c>
      <c r="G86" s="19">
        <v>33213.128905999998</v>
      </c>
      <c r="I86" s="864">
        <v>43009</v>
      </c>
      <c r="J86" s="508">
        <f t="shared" si="33"/>
        <v>0.1154128440366972</v>
      </c>
      <c r="K86" s="508">
        <f t="shared" ref="K86:K125" si="38">(E86-E85)/E85</f>
        <v>0.13062919195145312</v>
      </c>
      <c r="L86" s="508">
        <f t="shared" ref="L86:M125" si="39">(F86-F85)/F85</f>
        <v>0.11798748080784217</v>
      </c>
      <c r="M86" s="508">
        <f t="shared" si="39"/>
        <v>6.1674511843310749E-2</v>
      </c>
      <c r="O86" s="864">
        <v>43009</v>
      </c>
      <c r="P86" s="508">
        <f t="shared" si="34"/>
        <v>1.1154128440366973</v>
      </c>
      <c r="Q86" s="508">
        <f t="shared" si="35"/>
        <v>1.1306291919514531</v>
      </c>
      <c r="R86" s="508">
        <f t="shared" si="36"/>
        <v>1.1179874808078423</v>
      </c>
      <c r="S86" s="508">
        <f t="shared" si="37"/>
        <v>1.0616745118433109</v>
      </c>
    </row>
    <row r="87" spans="3:19" x14ac:dyDescent="0.3">
      <c r="C87" s="864">
        <v>43040</v>
      </c>
      <c r="D87" s="19">
        <v>330.05</v>
      </c>
      <c r="E87" s="19">
        <v>409.75</v>
      </c>
      <c r="F87" s="19">
        <v>485.5</v>
      </c>
      <c r="G87" s="19">
        <v>33149.351562999997</v>
      </c>
      <c r="I87" s="864">
        <v>43040</v>
      </c>
      <c r="J87" s="508">
        <f t="shared" si="33"/>
        <v>8.5869386412238929E-2</v>
      </c>
      <c r="K87" s="508">
        <f t="shared" si="38"/>
        <v>0.1574858757062147</v>
      </c>
      <c r="L87" s="508">
        <f t="shared" si="39"/>
        <v>2.5776463131206399E-2</v>
      </c>
      <c r="M87" s="508">
        <f t="shared" si="39"/>
        <v>-1.9202449483306614E-3</v>
      </c>
      <c r="O87" s="864">
        <v>43040</v>
      </c>
      <c r="P87" s="508">
        <f t="shared" si="34"/>
        <v>1.0858693864122388</v>
      </c>
      <c r="Q87" s="508">
        <f t="shared" si="35"/>
        <v>1.1574858757062148</v>
      </c>
      <c r="R87" s="508">
        <f t="shared" si="36"/>
        <v>1.0257764631312063</v>
      </c>
      <c r="S87" s="508">
        <f t="shared" si="37"/>
        <v>0.99807975505166935</v>
      </c>
    </row>
    <row r="88" spans="3:19" x14ac:dyDescent="0.3">
      <c r="C88" s="864">
        <v>43070</v>
      </c>
      <c r="D88" s="19">
        <v>317.2</v>
      </c>
      <c r="E88" s="19">
        <v>419.75</v>
      </c>
      <c r="F88" s="19">
        <v>479.8</v>
      </c>
      <c r="G88" s="19">
        <v>34056.828125</v>
      </c>
      <c r="I88" s="864">
        <v>43070</v>
      </c>
      <c r="J88" s="508">
        <f t="shared" si="33"/>
        <v>-3.8933494925011428E-2</v>
      </c>
      <c r="K88" s="508">
        <f t="shared" si="38"/>
        <v>2.4405125076266018E-2</v>
      </c>
      <c r="L88" s="508">
        <f t="shared" si="39"/>
        <v>-1.1740473738413982E-2</v>
      </c>
      <c r="M88" s="508">
        <f t="shared" si="39"/>
        <v>2.7375394063903595E-2</v>
      </c>
      <c r="O88" s="864">
        <v>43070</v>
      </c>
      <c r="P88" s="508">
        <f t="shared" si="34"/>
        <v>0.96106650507498859</v>
      </c>
      <c r="Q88" s="508">
        <f t="shared" si="35"/>
        <v>1.024405125076266</v>
      </c>
      <c r="R88" s="508">
        <f t="shared" si="36"/>
        <v>0.98825952626158597</v>
      </c>
      <c r="S88" s="508">
        <f t="shared" si="37"/>
        <v>1.0273753940639037</v>
      </c>
    </row>
    <row r="89" spans="3:19" x14ac:dyDescent="0.3">
      <c r="C89" s="864">
        <v>43101</v>
      </c>
      <c r="D89" s="19">
        <v>322.95</v>
      </c>
      <c r="E89" s="19">
        <v>423.1</v>
      </c>
      <c r="F89" s="19">
        <v>527.70000000000005</v>
      </c>
      <c r="G89" s="19">
        <v>35965.019530999998</v>
      </c>
      <c r="I89" s="864">
        <v>43101</v>
      </c>
      <c r="J89" s="508">
        <f t="shared" si="33"/>
        <v>1.812736443883985E-2</v>
      </c>
      <c r="K89" s="508">
        <f t="shared" si="38"/>
        <v>7.9809410363312037E-3</v>
      </c>
      <c r="L89" s="508">
        <f t="shared" si="39"/>
        <v>9.9833263859941707E-2</v>
      </c>
      <c r="M89" s="508">
        <f t="shared" si="39"/>
        <v>5.6029627861887039E-2</v>
      </c>
      <c r="O89" s="864">
        <v>43101</v>
      </c>
      <c r="P89" s="508">
        <f t="shared" si="34"/>
        <v>1.0181273644388398</v>
      </c>
      <c r="Q89" s="508">
        <f t="shared" si="35"/>
        <v>1.0079809410363312</v>
      </c>
      <c r="R89" s="508">
        <f t="shared" si="36"/>
        <v>1.0998332638599417</v>
      </c>
      <c r="S89" s="508">
        <f t="shared" si="37"/>
        <v>1.056029627861887</v>
      </c>
    </row>
    <row r="90" spans="3:19" x14ac:dyDescent="0.3">
      <c r="C90" s="864">
        <v>43132</v>
      </c>
      <c r="D90" s="19">
        <v>335.8</v>
      </c>
      <c r="E90" s="19">
        <v>399.7</v>
      </c>
      <c r="F90" s="19">
        <v>517.15</v>
      </c>
      <c r="G90" s="19">
        <v>34184.039062999997</v>
      </c>
      <c r="I90" s="864">
        <v>43132</v>
      </c>
      <c r="J90" s="508">
        <f t="shared" si="33"/>
        <v>3.9789441089952075E-2</v>
      </c>
      <c r="K90" s="508">
        <f t="shared" si="38"/>
        <v>-5.5306074214133853E-2</v>
      </c>
      <c r="L90" s="508">
        <f t="shared" si="39"/>
        <v>-1.9992419935569581E-2</v>
      </c>
      <c r="M90" s="508">
        <f t="shared" si="39"/>
        <v>-4.9519797047931198E-2</v>
      </c>
      <c r="O90" s="864">
        <v>43132</v>
      </c>
      <c r="P90" s="508">
        <f t="shared" si="34"/>
        <v>1.039789441089952</v>
      </c>
      <c r="Q90" s="508">
        <f t="shared" si="35"/>
        <v>0.9446939257858662</v>
      </c>
      <c r="R90" s="508">
        <f t="shared" si="36"/>
        <v>0.98000758006443045</v>
      </c>
      <c r="S90" s="508">
        <f t="shared" si="37"/>
        <v>0.95048020295206881</v>
      </c>
    </row>
    <row r="91" spans="3:19" x14ac:dyDescent="0.3">
      <c r="C91" s="864">
        <v>43160</v>
      </c>
      <c r="D91" s="19">
        <v>288.05</v>
      </c>
      <c r="E91" s="19">
        <v>423.5</v>
      </c>
      <c r="F91" s="19">
        <v>508.45</v>
      </c>
      <c r="G91" s="19">
        <v>32968.679687999997</v>
      </c>
      <c r="I91" s="864">
        <v>43160</v>
      </c>
      <c r="J91" s="508">
        <f t="shared" si="33"/>
        <v>-0.14219773674806432</v>
      </c>
      <c r="K91" s="508">
        <f t="shared" si="38"/>
        <v>5.9544658493870431E-2</v>
      </c>
      <c r="L91" s="508">
        <f t="shared" si="39"/>
        <v>-1.6822972058396963E-2</v>
      </c>
      <c r="M91" s="508">
        <f t="shared" si="39"/>
        <v>-3.5553416398809247E-2</v>
      </c>
      <c r="O91" s="864">
        <v>43160</v>
      </c>
      <c r="P91" s="508">
        <f t="shared" si="34"/>
        <v>0.85780226325193565</v>
      </c>
      <c r="Q91" s="508">
        <f t="shared" si="35"/>
        <v>1.0595446584938704</v>
      </c>
      <c r="R91" s="508">
        <f t="shared" si="36"/>
        <v>0.983177027941603</v>
      </c>
      <c r="S91" s="508">
        <f t="shared" si="37"/>
        <v>0.96444658360119073</v>
      </c>
    </row>
    <row r="92" spans="3:19" x14ac:dyDescent="0.3">
      <c r="C92" s="864">
        <v>43191</v>
      </c>
      <c r="D92" s="19">
        <v>303.7</v>
      </c>
      <c r="E92" s="19">
        <v>428.85</v>
      </c>
      <c r="F92" s="19">
        <v>549</v>
      </c>
      <c r="G92" s="19">
        <v>35160.359375</v>
      </c>
      <c r="I92" s="864">
        <v>43191</v>
      </c>
      <c r="J92" s="508">
        <f t="shared" si="33"/>
        <v>5.4330845339350724E-2</v>
      </c>
      <c r="K92" s="508">
        <f t="shared" si="38"/>
        <v>1.2632821723730868E-2</v>
      </c>
      <c r="L92" s="508">
        <f t="shared" si="39"/>
        <v>7.9752188022421108E-2</v>
      </c>
      <c r="M92" s="508">
        <f t="shared" si="39"/>
        <v>6.6477629912420649E-2</v>
      </c>
      <c r="O92" s="864">
        <v>43191</v>
      </c>
      <c r="P92" s="508">
        <f t="shared" si="34"/>
        <v>1.0543308453393507</v>
      </c>
      <c r="Q92" s="508">
        <f t="shared" si="35"/>
        <v>1.0126328217237308</v>
      </c>
      <c r="R92" s="508">
        <f t="shared" si="36"/>
        <v>1.079752188022421</v>
      </c>
      <c r="S92" s="508">
        <f t="shared" si="37"/>
        <v>1.0664776299124206</v>
      </c>
    </row>
    <row r="93" spans="3:19" x14ac:dyDescent="0.3">
      <c r="C93" s="864">
        <v>43221</v>
      </c>
      <c r="D93" s="19">
        <v>248.1</v>
      </c>
      <c r="E93" s="19">
        <v>401.05</v>
      </c>
      <c r="F93" s="19">
        <v>506.6</v>
      </c>
      <c r="G93" s="19">
        <v>35322.378905999998</v>
      </c>
      <c r="I93" s="864">
        <v>43221</v>
      </c>
      <c r="J93" s="508">
        <f t="shared" si="33"/>
        <v>-0.18307540335857753</v>
      </c>
      <c r="K93" s="508">
        <f t="shared" si="38"/>
        <v>-6.4824530721697582E-2</v>
      </c>
      <c r="L93" s="508">
        <f t="shared" si="39"/>
        <v>-7.7231329690346046E-2</v>
      </c>
      <c r="M93" s="508">
        <f t="shared" si="39"/>
        <v>4.6080169224663424E-3</v>
      </c>
      <c r="O93" s="864">
        <v>43221</v>
      </c>
      <c r="P93" s="508">
        <f t="shared" si="34"/>
        <v>0.81692459664142247</v>
      </c>
      <c r="Q93" s="508">
        <f t="shared" si="35"/>
        <v>0.93517546927830242</v>
      </c>
      <c r="R93" s="508">
        <f t="shared" si="36"/>
        <v>0.92276867030965393</v>
      </c>
      <c r="S93" s="508">
        <f t="shared" si="37"/>
        <v>1.0046080169224663</v>
      </c>
    </row>
    <row r="94" spans="3:19" x14ac:dyDescent="0.3">
      <c r="C94" s="864">
        <v>43252</v>
      </c>
      <c r="D94" s="19">
        <v>269.45</v>
      </c>
      <c r="E94" s="19">
        <v>372.7</v>
      </c>
      <c r="F94" s="19">
        <v>477.2</v>
      </c>
      <c r="G94" s="19">
        <v>35423.480469000002</v>
      </c>
      <c r="I94" s="864">
        <v>43252</v>
      </c>
      <c r="J94" s="508">
        <f t="shared" si="33"/>
        <v>8.6054010479645282E-2</v>
      </c>
      <c r="K94" s="508">
        <f t="shared" si="38"/>
        <v>-7.0689440219424068E-2</v>
      </c>
      <c r="L94" s="508">
        <f t="shared" si="39"/>
        <v>-5.8033951835767927E-2</v>
      </c>
      <c r="M94" s="508">
        <f t="shared" si="39"/>
        <v>2.8622523774249615E-3</v>
      </c>
      <c r="O94" s="864">
        <v>43252</v>
      </c>
      <c r="P94" s="508">
        <f t="shared" si="34"/>
        <v>1.0860540104796452</v>
      </c>
      <c r="Q94" s="508">
        <f t="shared" si="35"/>
        <v>0.92931055978057597</v>
      </c>
      <c r="R94" s="508">
        <f t="shared" si="36"/>
        <v>0.94196604816423202</v>
      </c>
      <c r="S94" s="508">
        <f t="shared" si="37"/>
        <v>1.0028622523774249</v>
      </c>
    </row>
    <row r="95" spans="3:19" x14ac:dyDescent="0.3">
      <c r="C95" s="864">
        <v>43282</v>
      </c>
      <c r="D95" s="19">
        <v>250.8</v>
      </c>
      <c r="E95" s="19">
        <v>411.9</v>
      </c>
      <c r="F95" s="19">
        <v>495.8</v>
      </c>
      <c r="G95" s="19">
        <v>37606.578125</v>
      </c>
      <c r="I95" s="864">
        <v>43282</v>
      </c>
      <c r="J95" s="508">
        <f t="shared" si="33"/>
        <v>-6.9215067730562171E-2</v>
      </c>
      <c r="K95" s="508">
        <f t="shared" si="38"/>
        <v>0.10517842768983093</v>
      </c>
      <c r="L95" s="508">
        <f t="shared" si="39"/>
        <v>3.8977367979882695E-2</v>
      </c>
      <c r="M95" s="508">
        <f t="shared" si="39"/>
        <v>6.1628547706103667E-2</v>
      </c>
      <c r="O95" s="864">
        <v>43282</v>
      </c>
      <c r="P95" s="508">
        <f t="shared" si="34"/>
        <v>0.93078493226943781</v>
      </c>
      <c r="Q95" s="508">
        <f t="shared" si="35"/>
        <v>1.1051784276898309</v>
      </c>
      <c r="R95" s="508">
        <f t="shared" si="36"/>
        <v>1.0389773679798826</v>
      </c>
      <c r="S95" s="508">
        <f t="shared" si="37"/>
        <v>1.0616285477061036</v>
      </c>
    </row>
    <row r="96" spans="3:19" x14ac:dyDescent="0.3">
      <c r="C96" s="864">
        <v>43313</v>
      </c>
      <c r="D96" s="19">
        <v>236.95</v>
      </c>
      <c r="E96" s="19">
        <v>513.25</v>
      </c>
      <c r="F96" s="19">
        <v>441.9</v>
      </c>
      <c r="G96" s="19">
        <v>38645.070312999997</v>
      </c>
      <c r="I96" s="864">
        <v>43313</v>
      </c>
      <c r="J96" s="508">
        <f t="shared" si="33"/>
        <v>-5.5223285486443473E-2</v>
      </c>
      <c r="K96" s="508">
        <f t="shared" si="38"/>
        <v>0.2460548676863317</v>
      </c>
      <c r="L96" s="508">
        <f t="shared" si="39"/>
        <v>-0.10871319080274311</v>
      </c>
      <c r="M96" s="508">
        <f t="shared" si="39"/>
        <v>2.7614641899833755E-2</v>
      </c>
      <c r="O96" s="864">
        <v>43313</v>
      </c>
      <c r="P96" s="508">
        <f t="shared" si="34"/>
        <v>0.94477671451355649</v>
      </c>
      <c r="Q96" s="508">
        <f t="shared" si="35"/>
        <v>1.2460548676863317</v>
      </c>
      <c r="R96" s="508">
        <f t="shared" si="36"/>
        <v>0.89128680919725689</v>
      </c>
      <c r="S96" s="508">
        <f t="shared" si="37"/>
        <v>1.0276146418998338</v>
      </c>
    </row>
    <row r="97" spans="3:19" x14ac:dyDescent="0.3">
      <c r="C97" s="864">
        <v>43344</v>
      </c>
      <c r="D97" s="19">
        <v>209.6</v>
      </c>
      <c r="E97" s="19">
        <v>403.25</v>
      </c>
      <c r="F97" s="19">
        <v>403.75</v>
      </c>
      <c r="G97" s="19">
        <v>36227.140625</v>
      </c>
      <c r="I97" s="864">
        <v>43344</v>
      </c>
      <c r="J97" s="508">
        <f t="shared" si="33"/>
        <v>-0.1154251951888584</v>
      </c>
      <c r="K97" s="508">
        <f t="shared" si="38"/>
        <v>-0.21432050657574281</v>
      </c>
      <c r="L97" s="508">
        <f t="shared" si="39"/>
        <v>-8.6331749264539445E-2</v>
      </c>
      <c r="M97" s="508">
        <f t="shared" si="39"/>
        <v>-6.256761000604566E-2</v>
      </c>
      <c r="O97" s="864">
        <v>43344</v>
      </c>
      <c r="P97" s="508">
        <f t="shared" si="34"/>
        <v>0.88457480481114159</v>
      </c>
      <c r="Q97" s="508">
        <f t="shared" si="35"/>
        <v>0.78567949342425725</v>
      </c>
      <c r="R97" s="508">
        <f t="shared" si="36"/>
        <v>0.91366825073546054</v>
      </c>
      <c r="S97" s="508">
        <f t="shared" si="37"/>
        <v>0.93743238999395428</v>
      </c>
    </row>
    <row r="98" spans="3:19" x14ac:dyDescent="0.3">
      <c r="C98" s="864">
        <v>43374</v>
      </c>
      <c r="D98" s="19">
        <v>194.3</v>
      </c>
      <c r="E98" s="19">
        <v>324</v>
      </c>
      <c r="F98" s="19">
        <v>424.3</v>
      </c>
      <c r="G98" s="19">
        <v>34442.050780999998</v>
      </c>
      <c r="I98" s="864">
        <v>43374</v>
      </c>
      <c r="J98" s="508">
        <f t="shared" si="33"/>
        <v>-7.2996183206106791E-2</v>
      </c>
      <c r="K98" s="508">
        <f t="shared" si="38"/>
        <v>-0.19652820830750156</v>
      </c>
      <c r="L98" s="508">
        <f t="shared" si="39"/>
        <v>5.0897832817337486E-2</v>
      </c>
      <c r="M98" s="508">
        <f t="shared" si="39"/>
        <v>-4.9274930706734513E-2</v>
      </c>
      <c r="O98" s="864">
        <v>43374</v>
      </c>
      <c r="P98" s="508">
        <f t="shared" si="34"/>
        <v>0.92700381679389321</v>
      </c>
      <c r="Q98" s="508">
        <f t="shared" si="35"/>
        <v>0.80347179169249849</v>
      </c>
      <c r="R98" s="508">
        <f t="shared" si="36"/>
        <v>1.0508978328173375</v>
      </c>
      <c r="S98" s="508">
        <f t="shared" si="37"/>
        <v>0.9507250692932655</v>
      </c>
    </row>
    <row r="99" spans="3:19" x14ac:dyDescent="0.3">
      <c r="C99" s="864">
        <v>43405</v>
      </c>
      <c r="D99" s="19">
        <v>215.75</v>
      </c>
      <c r="E99" s="19">
        <v>339.9</v>
      </c>
      <c r="F99" s="19">
        <v>445</v>
      </c>
      <c r="G99" s="19">
        <v>36194.300780999998</v>
      </c>
      <c r="I99" s="864">
        <v>43405</v>
      </c>
      <c r="J99" s="508">
        <f t="shared" si="33"/>
        <v>0.1103962943901183</v>
      </c>
      <c r="K99" s="508">
        <f t="shared" si="38"/>
        <v>4.9074074074074006E-2</v>
      </c>
      <c r="L99" s="508">
        <f t="shared" si="39"/>
        <v>4.8786236153664835E-2</v>
      </c>
      <c r="M99" s="508">
        <f t="shared" si="39"/>
        <v>5.0875309694585057E-2</v>
      </c>
      <c r="O99" s="864">
        <v>43405</v>
      </c>
      <c r="P99" s="508">
        <f t="shared" si="34"/>
        <v>1.1103962943901182</v>
      </c>
      <c r="Q99" s="508">
        <f t="shared" si="35"/>
        <v>1.049074074074074</v>
      </c>
      <c r="R99" s="508">
        <f t="shared" si="36"/>
        <v>1.0487862361536648</v>
      </c>
      <c r="S99" s="508">
        <f t="shared" si="37"/>
        <v>1.0508753096945851</v>
      </c>
    </row>
    <row r="100" spans="3:19" x14ac:dyDescent="0.3">
      <c r="C100" s="864">
        <v>43435</v>
      </c>
      <c r="D100" s="19">
        <v>219.35</v>
      </c>
      <c r="E100" s="19">
        <v>346.45</v>
      </c>
      <c r="F100" s="19">
        <v>445.3</v>
      </c>
      <c r="G100" s="19">
        <v>36068.328125</v>
      </c>
      <c r="I100" s="864">
        <v>43435</v>
      </c>
      <c r="J100" s="508">
        <f t="shared" si="33"/>
        <v>1.6685979142526047E-2</v>
      </c>
      <c r="K100" s="508">
        <f t="shared" si="38"/>
        <v>1.9270373639305713E-2</v>
      </c>
      <c r="L100" s="508">
        <f t="shared" si="39"/>
        <v>6.7415730337081208E-4</v>
      </c>
      <c r="M100" s="508">
        <f t="shared" si="39"/>
        <v>-3.4804555767555196E-3</v>
      </c>
      <c r="O100" s="864">
        <v>43435</v>
      </c>
      <c r="P100" s="508">
        <f t="shared" si="34"/>
        <v>1.016685979142526</v>
      </c>
      <c r="Q100" s="508">
        <f t="shared" si="35"/>
        <v>1.0192703736393056</v>
      </c>
      <c r="R100" s="508">
        <f t="shared" si="36"/>
        <v>1.0006741573033708</v>
      </c>
      <c r="S100" s="508">
        <f t="shared" si="37"/>
        <v>0.99651954442324453</v>
      </c>
    </row>
    <row r="101" spans="3:19" x14ac:dyDescent="0.3">
      <c r="C101" s="864">
        <v>43466</v>
      </c>
      <c r="D101" s="19">
        <v>200.5</v>
      </c>
      <c r="E101" s="19">
        <v>343.2</v>
      </c>
      <c r="F101" s="19">
        <v>442.75</v>
      </c>
      <c r="G101" s="19">
        <v>36256.691405999998</v>
      </c>
      <c r="I101" s="864">
        <v>43466</v>
      </c>
      <c r="J101" s="508">
        <f t="shared" si="33"/>
        <v>-8.5935719170275787E-2</v>
      </c>
      <c r="K101" s="508">
        <f t="shared" si="38"/>
        <v>-9.3808630393996256E-3</v>
      </c>
      <c r="L101" s="508">
        <f t="shared" si="39"/>
        <v>-5.7264765326746269E-3</v>
      </c>
      <c r="M101" s="508">
        <f t="shared" si="39"/>
        <v>5.2224012254518132E-3</v>
      </c>
      <c r="O101" s="864">
        <v>43466</v>
      </c>
      <c r="P101" s="508">
        <f t="shared" si="34"/>
        <v>0.91406428082972424</v>
      </c>
      <c r="Q101" s="508">
        <f t="shared" si="35"/>
        <v>0.99061913696060033</v>
      </c>
      <c r="R101" s="508">
        <f t="shared" si="36"/>
        <v>0.99427352346732534</v>
      </c>
      <c r="S101" s="508">
        <f t="shared" si="37"/>
        <v>1.0052224012254518</v>
      </c>
    </row>
    <row r="102" spans="3:19" x14ac:dyDescent="0.3">
      <c r="C102" s="864">
        <v>43497</v>
      </c>
      <c r="D102" s="19">
        <v>205.55</v>
      </c>
      <c r="E102" s="19">
        <v>346.9</v>
      </c>
      <c r="F102" s="19">
        <v>497.15</v>
      </c>
      <c r="G102" s="19">
        <v>35867.441405999998</v>
      </c>
      <c r="I102" s="864">
        <v>43497</v>
      </c>
      <c r="J102" s="508">
        <f t="shared" si="33"/>
        <v>2.5187032418952676E-2</v>
      </c>
      <c r="K102" s="508">
        <f t="shared" si="38"/>
        <v>1.0780885780885749E-2</v>
      </c>
      <c r="L102" s="508">
        <f t="shared" si="39"/>
        <v>0.12286843591191413</v>
      </c>
      <c r="M102" s="508">
        <f t="shared" si="39"/>
        <v>-1.0735949280126104E-2</v>
      </c>
      <c r="O102" s="864">
        <v>43497</v>
      </c>
      <c r="P102" s="508">
        <f t="shared" si="34"/>
        <v>1.0251870324189527</v>
      </c>
      <c r="Q102" s="508">
        <f t="shared" si="35"/>
        <v>1.0107808857808858</v>
      </c>
      <c r="R102" s="508">
        <f t="shared" si="36"/>
        <v>1.1228684359119141</v>
      </c>
      <c r="S102" s="508">
        <f t="shared" si="37"/>
        <v>0.98926405071987389</v>
      </c>
    </row>
    <row r="103" spans="3:19" x14ac:dyDescent="0.3">
      <c r="C103" s="864">
        <v>43525</v>
      </c>
      <c r="D103" s="19">
        <v>251.55</v>
      </c>
      <c r="E103" s="19">
        <v>460.65</v>
      </c>
      <c r="F103" s="19">
        <v>527.29999999999995</v>
      </c>
      <c r="G103" s="19">
        <v>38672.910155999998</v>
      </c>
      <c r="I103" s="864">
        <v>43525</v>
      </c>
      <c r="J103" s="508">
        <f t="shared" si="33"/>
        <v>0.22378983215762588</v>
      </c>
      <c r="K103" s="508">
        <f t="shared" si="38"/>
        <v>0.32790429518593256</v>
      </c>
      <c r="L103" s="508">
        <f t="shared" si="39"/>
        <v>6.0645680378155445E-2</v>
      </c>
      <c r="M103" s="508">
        <f t="shared" si="39"/>
        <v>7.821769939605154E-2</v>
      </c>
      <c r="O103" s="864">
        <v>43525</v>
      </c>
      <c r="P103" s="508">
        <f t="shared" si="34"/>
        <v>1.2237898321576259</v>
      </c>
      <c r="Q103" s="508">
        <f t="shared" si="35"/>
        <v>1.3279042951859326</v>
      </c>
      <c r="R103" s="508">
        <f t="shared" si="36"/>
        <v>1.0606456803781554</v>
      </c>
      <c r="S103" s="508">
        <f t="shared" si="37"/>
        <v>1.0782176993960515</v>
      </c>
    </row>
    <row r="104" spans="3:19" x14ac:dyDescent="0.3">
      <c r="C104" s="864">
        <v>43556</v>
      </c>
      <c r="D104" s="19">
        <v>259.14999999999998</v>
      </c>
      <c r="E104" s="19">
        <v>457.35</v>
      </c>
      <c r="F104" s="19">
        <v>510</v>
      </c>
      <c r="G104" s="19">
        <v>39031.550780999998</v>
      </c>
      <c r="I104" s="864">
        <v>43556</v>
      </c>
      <c r="J104" s="508">
        <f t="shared" si="33"/>
        <v>3.0212681375471936E-2</v>
      </c>
      <c r="K104" s="508">
        <f t="shared" si="38"/>
        <v>-7.1637902963203187E-3</v>
      </c>
      <c r="L104" s="508">
        <f t="shared" si="39"/>
        <v>-3.2808647828560508E-2</v>
      </c>
      <c r="M104" s="508">
        <f t="shared" si="39"/>
        <v>9.273691158831962E-3</v>
      </c>
      <c r="O104" s="864">
        <v>43556</v>
      </c>
      <c r="P104" s="508">
        <f t="shared" si="34"/>
        <v>1.030212681375472</v>
      </c>
      <c r="Q104" s="508">
        <f t="shared" si="35"/>
        <v>0.9928362097036797</v>
      </c>
      <c r="R104" s="508">
        <f t="shared" si="36"/>
        <v>0.96719135217143948</v>
      </c>
      <c r="S104" s="508">
        <f t="shared" si="37"/>
        <v>1.009273691158832</v>
      </c>
    </row>
    <row r="105" spans="3:19" x14ac:dyDescent="0.3">
      <c r="C105" s="864">
        <v>43586</v>
      </c>
      <c r="D105" s="19">
        <v>288.35000000000002</v>
      </c>
      <c r="E105" s="19">
        <v>494.7</v>
      </c>
      <c r="F105" s="19">
        <v>563.29999999999995</v>
      </c>
      <c r="G105" s="19">
        <v>39714.199219000002</v>
      </c>
      <c r="I105" s="864">
        <v>43586</v>
      </c>
      <c r="J105" s="508">
        <f t="shared" si="33"/>
        <v>0.11267605633802835</v>
      </c>
      <c r="K105" s="508">
        <f t="shared" si="38"/>
        <v>8.1666120039357082E-2</v>
      </c>
      <c r="L105" s="508">
        <f t="shared" si="39"/>
        <v>0.10450980392156854</v>
      </c>
      <c r="M105" s="508">
        <f t="shared" si="39"/>
        <v>1.7489657068207171E-2</v>
      </c>
      <c r="O105" s="864">
        <v>43586</v>
      </c>
      <c r="P105" s="508">
        <f t="shared" si="34"/>
        <v>1.1126760563380285</v>
      </c>
      <c r="Q105" s="508">
        <f t="shared" si="35"/>
        <v>1.0816661200393571</v>
      </c>
      <c r="R105" s="508">
        <f t="shared" si="36"/>
        <v>1.1045098039215686</v>
      </c>
      <c r="S105" s="508">
        <f t="shared" si="37"/>
        <v>1.0174896570682073</v>
      </c>
    </row>
    <row r="106" spans="3:19" x14ac:dyDescent="0.3">
      <c r="C106" s="864">
        <v>43617</v>
      </c>
      <c r="D106" s="19">
        <v>272.05</v>
      </c>
      <c r="E106" s="19">
        <v>434.3</v>
      </c>
      <c r="F106" s="19">
        <v>607.75</v>
      </c>
      <c r="G106" s="19">
        <v>39394.640625</v>
      </c>
      <c r="I106" s="864">
        <v>43617</v>
      </c>
      <c r="J106" s="508">
        <f t="shared" si="33"/>
        <v>-5.6528524362753636E-2</v>
      </c>
      <c r="K106" s="508">
        <f t="shared" si="38"/>
        <v>-0.12209419850414388</v>
      </c>
      <c r="L106" s="508">
        <f t="shared" si="39"/>
        <v>7.890999467424116E-2</v>
      </c>
      <c r="M106" s="508">
        <f t="shared" si="39"/>
        <v>-8.0464569419574049E-3</v>
      </c>
      <c r="O106" s="864">
        <v>43617</v>
      </c>
      <c r="P106" s="508">
        <f t="shared" si="34"/>
        <v>0.94347147563724632</v>
      </c>
      <c r="Q106" s="508">
        <f t="shared" si="35"/>
        <v>0.87790580149585606</v>
      </c>
      <c r="R106" s="508">
        <f t="shared" si="36"/>
        <v>1.0789099946742411</v>
      </c>
      <c r="S106" s="508">
        <f t="shared" si="37"/>
        <v>0.99195354305804262</v>
      </c>
    </row>
    <row r="107" spans="3:19" x14ac:dyDescent="0.3">
      <c r="C107" s="864">
        <v>43647</v>
      </c>
      <c r="D107" s="19">
        <v>255.35</v>
      </c>
      <c r="E107" s="19">
        <v>391.25</v>
      </c>
      <c r="F107" s="19">
        <v>549.5</v>
      </c>
      <c r="G107" s="19">
        <v>37481.121094000002</v>
      </c>
      <c r="I107" s="864">
        <v>43647</v>
      </c>
      <c r="J107" s="508">
        <f t="shared" si="33"/>
        <v>-6.1385774673773263E-2</v>
      </c>
      <c r="K107" s="508">
        <f t="shared" si="38"/>
        <v>-9.9125028781947983E-2</v>
      </c>
      <c r="L107" s="508">
        <f t="shared" si="39"/>
        <v>-9.5845331139448792E-2</v>
      </c>
      <c r="M107" s="508">
        <f t="shared" si="39"/>
        <v>-4.8573092700982042E-2</v>
      </c>
      <c r="O107" s="864">
        <v>43647</v>
      </c>
      <c r="P107" s="508">
        <f t="shared" si="34"/>
        <v>0.93861422532622674</v>
      </c>
      <c r="Q107" s="508">
        <f t="shared" si="35"/>
        <v>0.90087497121805205</v>
      </c>
      <c r="R107" s="508">
        <f t="shared" si="36"/>
        <v>0.90415466886055118</v>
      </c>
      <c r="S107" s="508">
        <f t="shared" si="37"/>
        <v>0.95142690729901791</v>
      </c>
    </row>
    <row r="108" spans="3:19" x14ac:dyDescent="0.3">
      <c r="C108" s="864">
        <v>43678</v>
      </c>
      <c r="D108" s="19">
        <v>295.10000000000002</v>
      </c>
      <c r="E108" s="19">
        <v>466.45</v>
      </c>
      <c r="F108" s="19">
        <v>568.35</v>
      </c>
      <c r="G108" s="19">
        <v>37332.789062999997</v>
      </c>
      <c r="I108" s="864">
        <v>43678</v>
      </c>
      <c r="J108" s="508">
        <f t="shared" si="33"/>
        <v>0.15566869003328776</v>
      </c>
      <c r="K108" s="508">
        <f t="shared" si="38"/>
        <v>0.19220447284345046</v>
      </c>
      <c r="L108" s="508">
        <f t="shared" si="39"/>
        <v>3.4303912647861735E-2</v>
      </c>
      <c r="M108" s="508">
        <f t="shared" si="39"/>
        <v>-3.9575131871855997E-3</v>
      </c>
      <c r="O108" s="864">
        <v>43678</v>
      </c>
      <c r="P108" s="508">
        <f t="shared" si="34"/>
        <v>1.1556686900332878</v>
      </c>
      <c r="Q108" s="508">
        <f t="shared" si="35"/>
        <v>1.1922044728434504</v>
      </c>
      <c r="R108" s="508">
        <f t="shared" si="36"/>
        <v>1.0343039126478617</v>
      </c>
      <c r="S108" s="508">
        <f t="shared" si="37"/>
        <v>0.99604248681281438</v>
      </c>
    </row>
    <row r="109" spans="3:19" x14ac:dyDescent="0.3">
      <c r="C109" s="864">
        <v>43709</v>
      </c>
      <c r="D109" s="19">
        <v>288.60000000000002</v>
      </c>
      <c r="E109" s="19">
        <v>405.65</v>
      </c>
      <c r="F109" s="19">
        <v>507.35</v>
      </c>
      <c r="G109" s="19">
        <v>38667.328125</v>
      </c>
      <c r="I109" s="864">
        <v>43709</v>
      </c>
      <c r="J109" s="508">
        <f t="shared" si="33"/>
        <v>-2.2026431718061672E-2</v>
      </c>
      <c r="K109" s="508">
        <f t="shared" si="38"/>
        <v>-0.13034623217922608</v>
      </c>
      <c r="L109" s="508">
        <f t="shared" si="39"/>
        <v>-0.10732823084367027</v>
      </c>
      <c r="M109" s="508">
        <f t="shared" si="39"/>
        <v>3.5747103163064946E-2</v>
      </c>
      <c r="O109" s="864">
        <v>43709</v>
      </c>
      <c r="P109" s="508">
        <f t="shared" si="34"/>
        <v>0.97797356828193838</v>
      </c>
      <c r="Q109" s="508">
        <f t="shared" si="35"/>
        <v>0.86965376782077386</v>
      </c>
      <c r="R109" s="508">
        <f t="shared" si="36"/>
        <v>0.89267176915632973</v>
      </c>
      <c r="S109" s="508">
        <f t="shared" si="37"/>
        <v>1.035747103163065</v>
      </c>
    </row>
    <row r="110" spans="3:19" x14ac:dyDescent="0.3">
      <c r="C110" s="864">
        <v>43739</v>
      </c>
      <c r="D110" s="19">
        <v>302.2</v>
      </c>
      <c r="E110" s="19">
        <v>414.75</v>
      </c>
      <c r="F110" s="19">
        <v>506.4</v>
      </c>
      <c r="G110" s="19">
        <v>40129.050780999998</v>
      </c>
      <c r="I110" s="864">
        <v>43739</v>
      </c>
      <c r="J110" s="508">
        <f t="shared" si="33"/>
        <v>4.7124047124047004E-2</v>
      </c>
      <c r="K110" s="508">
        <f t="shared" si="38"/>
        <v>2.243313201035381E-2</v>
      </c>
      <c r="L110" s="508">
        <f t="shared" si="39"/>
        <v>-1.8724746230413826E-3</v>
      </c>
      <c r="M110" s="508">
        <f t="shared" si="39"/>
        <v>3.7802525462185606E-2</v>
      </c>
      <c r="O110" s="864">
        <v>43739</v>
      </c>
      <c r="P110" s="508">
        <f t="shared" si="34"/>
        <v>1.0471240471240471</v>
      </c>
      <c r="Q110" s="508">
        <f t="shared" si="35"/>
        <v>1.0224331320103539</v>
      </c>
      <c r="R110" s="508">
        <f t="shared" si="36"/>
        <v>0.99812752537695859</v>
      </c>
      <c r="S110" s="508">
        <f t="shared" si="37"/>
        <v>1.0378025254621857</v>
      </c>
    </row>
    <row r="111" spans="3:19" x14ac:dyDescent="0.3">
      <c r="C111" s="864">
        <v>43770</v>
      </c>
      <c r="D111" s="19">
        <v>303.64999999999998</v>
      </c>
      <c r="E111" s="19">
        <v>393.45</v>
      </c>
      <c r="F111" s="19">
        <v>517.35</v>
      </c>
      <c r="G111" s="19">
        <v>40793.808594000002</v>
      </c>
      <c r="I111" s="864">
        <v>43770</v>
      </c>
      <c r="J111" s="508">
        <f t="shared" si="33"/>
        <v>4.7981469225677987E-3</v>
      </c>
      <c r="K111" s="508">
        <f t="shared" si="38"/>
        <v>-5.1356238698010877E-2</v>
      </c>
      <c r="L111" s="508">
        <f t="shared" si="39"/>
        <v>2.1623222748815257E-2</v>
      </c>
      <c r="M111" s="508">
        <f t="shared" si="39"/>
        <v>1.6565500555391865E-2</v>
      </c>
      <c r="O111" s="864">
        <v>43770</v>
      </c>
      <c r="P111" s="508">
        <f t="shared" si="34"/>
        <v>1.0047981469225677</v>
      </c>
      <c r="Q111" s="508">
        <f t="shared" si="35"/>
        <v>0.94864376130198913</v>
      </c>
      <c r="R111" s="508">
        <f t="shared" si="36"/>
        <v>1.0216232227488153</v>
      </c>
      <c r="S111" s="508">
        <f t="shared" si="37"/>
        <v>1.016565500555392</v>
      </c>
    </row>
    <row r="112" spans="3:19" x14ac:dyDescent="0.3">
      <c r="C112" s="864">
        <v>43800</v>
      </c>
      <c r="D112" s="19">
        <v>337.85</v>
      </c>
      <c r="E112" s="19">
        <v>415.4</v>
      </c>
      <c r="F112" s="19">
        <v>530.95000000000005</v>
      </c>
      <c r="G112" s="19">
        <v>41253.738280999998</v>
      </c>
      <c r="I112" s="864">
        <v>43800</v>
      </c>
      <c r="J112" s="508">
        <f t="shared" si="33"/>
        <v>0.11262967232010554</v>
      </c>
      <c r="K112" s="508">
        <f t="shared" si="38"/>
        <v>5.5788537298258965E-2</v>
      </c>
      <c r="L112" s="508">
        <f t="shared" si="39"/>
        <v>2.6287812892625925E-2</v>
      </c>
      <c r="M112" s="508">
        <f t="shared" si="39"/>
        <v>1.1274497352709625E-2</v>
      </c>
      <c r="O112" s="864">
        <v>43800</v>
      </c>
      <c r="P112" s="508">
        <f t="shared" si="34"/>
        <v>1.1126296723201055</v>
      </c>
      <c r="Q112" s="508">
        <f t="shared" si="35"/>
        <v>1.0557885372982589</v>
      </c>
      <c r="R112" s="508">
        <f t="shared" si="36"/>
        <v>1.0262878128926258</v>
      </c>
      <c r="S112" s="508">
        <f t="shared" si="37"/>
        <v>1.0112744973527097</v>
      </c>
    </row>
    <row r="113" spans="3:19" x14ac:dyDescent="0.3">
      <c r="C113" s="864">
        <v>43831</v>
      </c>
      <c r="D113" s="19">
        <v>383.25</v>
      </c>
      <c r="E113" s="19">
        <v>396.3</v>
      </c>
      <c r="F113" s="19">
        <v>546.1</v>
      </c>
      <c r="G113" s="19">
        <v>40723.488280999998</v>
      </c>
      <c r="I113" s="864">
        <v>43831</v>
      </c>
      <c r="J113" s="508">
        <f t="shared" si="33"/>
        <v>0.13437916235015532</v>
      </c>
      <c r="K113" s="508">
        <f t="shared" si="38"/>
        <v>-4.5979778526721152E-2</v>
      </c>
      <c r="L113" s="508">
        <f t="shared" si="39"/>
        <v>2.8533760241077268E-2</v>
      </c>
      <c r="M113" s="508">
        <f t="shared" si="39"/>
        <v>-1.2853380617004938E-2</v>
      </c>
      <c r="O113" s="864">
        <v>43831</v>
      </c>
      <c r="P113" s="508">
        <f t="shared" si="34"/>
        <v>1.1343791623501553</v>
      </c>
      <c r="Q113" s="508">
        <f t="shared" si="35"/>
        <v>0.95402022147327881</v>
      </c>
      <c r="R113" s="508">
        <f t="shared" si="36"/>
        <v>1.0285337602410773</v>
      </c>
      <c r="S113" s="508">
        <f t="shared" si="37"/>
        <v>0.98714661938299508</v>
      </c>
    </row>
    <row r="114" spans="3:19" x14ac:dyDescent="0.3">
      <c r="C114" s="864">
        <v>43862</v>
      </c>
      <c r="D114" s="19">
        <v>289.89999999999998</v>
      </c>
      <c r="E114" s="19">
        <v>345.75</v>
      </c>
      <c r="F114" s="19">
        <v>510</v>
      </c>
      <c r="G114" s="19">
        <v>38297.289062999997</v>
      </c>
      <c r="I114" s="864">
        <v>43862</v>
      </c>
      <c r="J114" s="508">
        <f t="shared" si="33"/>
        <v>-0.24357469015003266</v>
      </c>
      <c r="K114" s="508">
        <f t="shared" si="38"/>
        <v>-0.12755488266464801</v>
      </c>
      <c r="L114" s="508">
        <f t="shared" si="39"/>
        <v>-6.6105108954403996E-2</v>
      </c>
      <c r="M114" s="508">
        <f t="shared" si="39"/>
        <v>-5.9577391829961975E-2</v>
      </c>
      <c r="O114" s="864">
        <v>43862</v>
      </c>
      <c r="P114" s="508">
        <f t="shared" si="34"/>
        <v>0.75642530984996736</v>
      </c>
      <c r="Q114" s="508">
        <f t="shared" si="35"/>
        <v>0.87244511733535202</v>
      </c>
      <c r="R114" s="508">
        <f t="shared" si="36"/>
        <v>0.93389489104559598</v>
      </c>
      <c r="S114" s="508">
        <f t="shared" si="37"/>
        <v>0.94042260817003798</v>
      </c>
    </row>
    <row r="115" spans="3:19" x14ac:dyDescent="0.3">
      <c r="C115" s="864">
        <v>43891</v>
      </c>
      <c r="D115" s="19">
        <v>168.1</v>
      </c>
      <c r="E115" s="19">
        <v>210.25</v>
      </c>
      <c r="F115" s="19">
        <v>334.2</v>
      </c>
      <c r="G115" s="19">
        <v>29468.490234000001</v>
      </c>
      <c r="I115" s="864">
        <v>43891</v>
      </c>
      <c r="J115" s="508">
        <f t="shared" si="33"/>
        <v>-0.42014487754398067</v>
      </c>
      <c r="K115" s="508">
        <f t="shared" si="38"/>
        <v>-0.39190166305133767</v>
      </c>
      <c r="L115" s="508">
        <f t="shared" si="39"/>
        <v>-0.3447058823529412</v>
      </c>
      <c r="M115" s="508">
        <f t="shared" si="39"/>
        <v>-0.23053325822818427</v>
      </c>
      <c r="O115" s="864">
        <v>43891</v>
      </c>
      <c r="P115" s="508">
        <f t="shared" si="34"/>
        <v>0.57985512245601933</v>
      </c>
      <c r="Q115" s="508">
        <f t="shared" si="35"/>
        <v>0.60809833694866233</v>
      </c>
      <c r="R115" s="508">
        <f t="shared" si="36"/>
        <v>0.6552941176470588</v>
      </c>
      <c r="S115" s="508">
        <f t="shared" si="37"/>
        <v>0.76946674177181573</v>
      </c>
    </row>
    <row r="116" spans="3:19" x14ac:dyDescent="0.3">
      <c r="C116" s="864">
        <v>43922</v>
      </c>
      <c r="D116" s="19">
        <v>173.9</v>
      </c>
      <c r="E116" s="19">
        <v>198.05</v>
      </c>
      <c r="F116" s="19">
        <v>343.65</v>
      </c>
      <c r="G116" s="19">
        <v>33717.621094000002</v>
      </c>
      <c r="I116" s="864">
        <v>43922</v>
      </c>
      <c r="J116" s="508">
        <f t="shared" si="33"/>
        <v>3.4503271861986984E-2</v>
      </c>
      <c r="K116" s="508">
        <f t="shared" si="38"/>
        <v>-5.8026159334125985E-2</v>
      </c>
      <c r="L116" s="508">
        <f t="shared" si="39"/>
        <v>2.8276481149012534E-2</v>
      </c>
      <c r="M116" s="508">
        <f t="shared" si="39"/>
        <v>0.14419235007491021</v>
      </c>
      <c r="O116" s="864">
        <v>43922</v>
      </c>
      <c r="P116" s="508">
        <f t="shared" si="34"/>
        <v>1.0345032718619871</v>
      </c>
      <c r="Q116" s="508">
        <f t="shared" si="35"/>
        <v>0.94197384066587397</v>
      </c>
      <c r="R116" s="508">
        <f t="shared" si="36"/>
        <v>1.0282764811490126</v>
      </c>
      <c r="S116" s="508">
        <f t="shared" si="37"/>
        <v>1.1441923500749103</v>
      </c>
    </row>
    <row r="117" spans="3:19" x14ac:dyDescent="0.3">
      <c r="C117" s="864">
        <v>43952</v>
      </c>
      <c r="D117" s="19">
        <v>157.15</v>
      </c>
      <c r="E117" s="19">
        <v>158.05000000000001</v>
      </c>
      <c r="F117" s="19">
        <v>319.64999999999998</v>
      </c>
      <c r="G117" s="19">
        <v>32424.099609000001</v>
      </c>
      <c r="I117" s="864">
        <v>43952</v>
      </c>
      <c r="J117" s="508">
        <f t="shared" si="33"/>
        <v>-9.6319723979298444E-2</v>
      </c>
      <c r="K117" s="508">
        <f t="shared" si="38"/>
        <v>-0.20196919969704619</v>
      </c>
      <c r="L117" s="508">
        <f t="shared" si="39"/>
        <v>-6.9838498472282851E-2</v>
      </c>
      <c r="M117" s="508">
        <f t="shared" si="39"/>
        <v>-3.8363367373808625E-2</v>
      </c>
      <c r="O117" s="864">
        <v>43952</v>
      </c>
      <c r="P117" s="508">
        <f t="shared" si="34"/>
        <v>0.90368027602070156</v>
      </c>
      <c r="Q117" s="508">
        <f t="shared" si="35"/>
        <v>0.79803080030295381</v>
      </c>
      <c r="R117" s="508">
        <f t="shared" si="36"/>
        <v>0.93016150152771715</v>
      </c>
      <c r="S117" s="508">
        <f t="shared" si="37"/>
        <v>0.96163663262619137</v>
      </c>
    </row>
    <row r="118" spans="3:19" x14ac:dyDescent="0.3">
      <c r="C118" s="864">
        <v>43983</v>
      </c>
      <c r="D118" s="19">
        <v>209.25</v>
      </c>
      <c r="E118" s="19">
        <v>187.95</v>
      </c>
      <c r="F118" s="19">
        <v>365.1</v>
      </c>
      <c r="G118" s="19">
        <v>34915.800780999998</v>
      </c>
      <c r="I118" s="864">
        <v>43983</v>
      </c>
      <c r="J118" s="508">
        <f t="shared" si="33"/>
        <v>0.33153038498250076</v>
      </c>
      <c r="K118" s="508">
        <f t="shared" si="38"/>
        <v>0.18918063903827886</v>
      </c>
      <c r="L118" s="508">
        <f t="shared" si="39"/>
        <v>0.14218676677616157</v>
      </c>
      <c r="M118" s="508">
        <f t="shared" si="39"/>
        <v>7.684719705550043E-2</v>
      </c>
      <c r="O118" s="864">
        <v>43983</v>
      </c>
      <c r="P118" s="508">
        <f t="shared" si="34"/>
        <v>1.3315303849825009</v>
      </c>
      <c r="Q118" s="508">
        <f t="shared" si="35"/>
        <v>1.1891806390382789</v>
      </c>
      <c r="R118" s="508">
        <f t="shared" si="36"/>
        <v>1.1421867667761616</v>
      </c>
      <c r="S118" s="508">
        <f t="shared" si="37"/>
        <v>1.0768471970555005</v>
      </c>
    </row>
    <row r="119" spans="3:19" x14ac:dyDescent="0.3">
      <c r="C119" s="864">
        <v>44013</v>
      </c>
      <c r="D119" s="19">
        <v>196.7</v>
      </c>
      <c r="E119" s="19">
        <v>185.65</v>
      </c>
      <c r="F119" s="19">
        <v>349.95</v>
      </c>
      <c r="G119" s="19">
        <v>37606.890625</v>
      </c>
      <c r="I119" s="864">
        <v>44013</v>
      </c>
      <c r="J119" s="508">
        <f t="shared" si="33"/>
        <v>-5.9976105137395513E-2</v>
      </c>
      <c r="K119" s="508">
        <f t="shared" si="38"/>
        <v>-1.2237297153498181E-2</v>
      </c>
      <c r="L119" s="508">
        <f t="shared" si="39"/>
        <v>-4.149548069022195E-2</v>
      </c>
      <c r="M119" s="508">
        <f t="shared" si="39"/>
        <v>7.7073696830817134E-2</v>
      </c>
      <c r="O119" s="864">
        <v>44013</v>
      </c>
      <c r="P119" s="508">
        <f t="shared" si="34"/>
        <v>0.94002389486260451</v>
      </c>
      <c r="Q119" s="508">
        <f t="shared" si="35"/>
        <v>0.98776270284650181</v>
      </c>
      <c r="R119" s="508">
        <f t="shared" si="36"/>
        <v>0.95850451930977809</v>
      </c>
      <c r="S119" s="508">
        <f t="shared" si="37"/>
        <v>1.0770736968308172</v>
      </c>
    </row>
    <row r="120" spans="3:19" x14ac:dyDescent="0.3">
      <c r="C120" s="864">
        <v>44044</v>
      </c>
      <c r="D120" s="19">
        <v>247.45</v>
      </c>
      <c r="E120" s="19">
        <v>262.75</v>
      </c>
      <c r="F120" s="19">
        <v>389.75</v>
      </c>
      <c r="G120" s="19">
        <v>38628.289062999997</v>
      </c>
      <c r="I120" s="864">
        <v>44044</v>
      </c>
      <c r="J120" s="508">
        <f t="shared" si="33"/>
        <v>0.25800711743772242</v>
      </c>
      <c r="K120" s="508">
        <f t="shared" si="38"/>
        <v>0.41529760301642871</v>
      </c>
      <c r="L120" s="508">
        <f t="shared" si="39"/>
        <v>0.11373053293327622</v>
      </c>
      <c r="M120" s="508">
        <f t="shared" si="39"/>
        <v>2.7159874720432207E-2</v>
      </c>
      <c r="O120" s="864">
        <v>44044</v>
      </c>
      <c r="P120" s="508">
        <f t="shared" si="34"/>
        <v>1.2580071174377223</v>
      </c>
      <c r="Q120" s="508">
        <f t="shared" si="35"/>
        <v>1.4152976030164286</v>
      </c>
      <c r="R120" s="508">
        <f t="shared" si="36"/>
        <v>1.1137305329332763</v>
      </c>
      <c r="S120" s="508">
        <f t="shared" si="37"/>
        <v>1.0271598747204322</v>
      </c>
    </row>
    <row r="121" spans="3:19" x14ac:dyDescent="0.3">
      <c r="C121" s="864">
        <v>44075</v>
      </c>
      <c r="D121" s="19">
        <v>252.05</v>
      </c>
      <c r="E121" s="19">
        <v>274.25</v>
      </c>
      <c r="F121" s="19">
        <v>394.05</v>
      </c>
      <c r="G121" s="19">
        <v>38067.929687999997</v>
      </c>
      <c r="I121" s="864">
        <v>44075</v>
      </c>
      <c r="J121" s="508">
        <f t="shared" si="33"/>
        <v>1.8589614063447255E-2</v>
      </c>
      <c r="K121" s="508">
        <f t="shared" si="38"/>
        <v>4.3767840152235969E-2</v>
      </c>
      <c r="L121" s="508">
        <f t="shared" si="39"/>
        <v>1.1032713277742171E-2</v>
      </c>
      <c r="M121" s="508">
        <f t="shared" si="39"/>
        <v>-1.4506450805680098E-2</v>
      </c>
      <c r="O121" s="864">
        <v>44075</v>
      </c>
      <c r="P121" s="508">
        <f t="shared" si="34"/>
        <v>1.0185896140634472</v>
      </c>
      <c r="Q121" s="508">
        <f t="shared" si="35"/>
        <v>1.0437678401522359</v>
      </c>
      <c r="R121" s="508">
        <f t="shared" si="36"/>
        <v>1.0110327132777421</v>
      </c>
      <c r="S121" s="508">
        <f t="shared" si="37"/>
        <v>0.98549354919431986</v>
      </c>
    </row>
    <row r="122" spans="3:19" x14ac:dyDescent="0.3">
      <c r="C122" s="864">
        <v>44105</v>
      </c>
      <c r="D122" s="19">
        <v>250.35</v>
      </c>
      <c r="E122" s="19">
        <v>270.39999999999998</v>
      </c>
      <c r="F122" s="19">
        <v>442.95</v>
      </c>
      <c r="G122" s="19">
        <v>39614.070312999997</v>
      </c>
      <c r="I122" s="864">
        <v>44105</v>
      </c>
      <c r="J122" s="508">
        <f t="shared" si="33"/>
        <v>-6.7446935131918948E-3</v>
      </c>
      <c r="K122" s="508">
        <f t="shared" si="38"/>
        <v>-1.4038286235186955E-2</v>
      </c>
      <c r="L122" s="508">
        <f t="shared" si="39"/>
        <v>0.12409592691282827</v>
      </c>
      <c r="M122" s="508">
        <f t="shared" si="39"/>
        <v>4.0615306313528887E-2</v>
      </c>
      <c r="O122" s="864">
        <v>44105</v>
      </c>
      <c r="P122" s="508">
        <f t="shared" si="34"/>
        <v>0.99325530648680815</v>
      </c>
      <c r="Q122" s="508">
        <f t="shared" si="35"/>
        <v>0.98596171376481301</v>
      </c>
      <c r="R122" s="508">
        <f t="shared" si="36"/>
        <v>1.1240959269128283</v>
      </c>
      <c r="S122" s="508">
        <f t="shared" si="37"/>
        <v>1.0406153063135288</v>
      </c>
    </row>
    <row r="123" spans="3:19" x14ac:dyDescent="0.3">
      <c r="C123" s="864">
        <v>44136</v>
      </c>
      <c r="D123" s="19">
        <v>267.5</v>
      </c>
      <c r="E123" s="19">
        <v>314.5</v>
      </c>
      <c r="F123" s="19">
        <v>463.35</v>
      </c>
      <c r="G123" s="19">
        <v>44149.71875</v>
      </c>
      <c r="I123" s="864">
        <v>44136</v>
      </c>
      <c r="J123" s="508">
        <f t="shared" si="33"/>
        <v>6.8504094268024784E-2</v>
      </c>
      <c r="K123" s="508">
        <f t="shared" si="38"/>
        <v>0.16309171597633146</v>
      </c>
      <c r="L123" s="508">
        <f t="shared" si="39"/>
        <v>4.6054859464950977E-2</v>
      </c>
      <c r="M123" s="508">
        <f t="shared" si="39"/>
        <v>0.11449589504847113</v>
      </c>
      <c r="O123" s="864">
        <v>44136</v>
      </c>
      <c r="P123" s="508">
        <f t="shared" si="34"/>
        <v>1.0685040942680248</v>
      </c>
      <c r="Q123" s="508">
        <f t="shared" si="35"/>
        <v>1.1630917159763314</v>
      </c>
      <c r="R123" s="508">
        <f t="shared" si="36"/>
        <v>1.046054859464951</v>
      </c>
      <c r="S123" s="508">
        <f t="shared" si="37"/>
        <v>1.1144958950484711</v>
      </c>
    </row>
    <row r="124" spans="3:19" x14ac:dyDescent="0.3">
      <c r="C124" s="864">
        <v>44166</v>
      </c>
      <c r="D124" s="19">
        <v>266</v>
      </c>
      <c r="E124" s="19">
        <v>346.5</v>
      </c>
      <c r="F124" s="19">
        <v>583</v>
      </c>
      <c r="G124" s="19">
        <v>47751.328125</v>
      </c>
      <c r="I124" s="864">
        <v>44166</v>
      </c>
      <c r="J124" s="508">
        <f t="shared" si="33"/>
        <v>-5.6074766355140183E-3</v>
      </c>
      <c r="K124" s="508">
        <f t="shared" si="38"/>
        <v>0.10174880763116058</v>
      </c>
      <c r="L124" s="508">
        <f t="shared" si="39"/>
        <v>0.25822812129060102</v>
      </c>
      <c r="M124" s="508">
        <f t="shared" si="39"/>
        <v>8.1577175958793616E-2</v>
      </c>
      <c r="O124" s="864">
        <v>44166</v>
      </c>
      <c r="P124" s="508">
        <f t="shared" si="34"/>
        <v>0.99439252336448603</v>
      </c>
      <c r="Q124" s="508">
        <f t="shared" si="35"/>
        <v>1.1017488076311606</v>
      </c>
      <c r="R124" s="508">
        <f t="shared" si="36"/>
        <v>1.258228121290601</v>
      </c>
      <c r="S124" s="508">
        <f t="shared" si="37"/>
        <v>1.0815771759587935</v>
      </c>
    </row>
    <row r="125" spans="3:19" x14ac:dyDescent="0.3">
      <c r="C125" s="864">
        <v>44197</v>
      </c>
      <c r="D125" s="19">
        <v>278.55</v>
      </c>
      <c r="E125" s="19">
        <v>366.6</v>
      </c>
      <c r="F125" s="19">
        <v>560.45000000000005</v>
      </c>
      <c r="G125" s="19">
        <v>48564.269530999998</v>
      </c>
      <c r="I125" s="864">
        <v>44197</v>
      </c>
      <c r="J125" s="508">
        <f t="shared" si="33"/>
        <v>4.7180451127819593E-2</v>
      </c>
      <c r="K125" s="508">
        <f t="shared" si="38"/>
        <v>5.8008658008658072E-2</v>
      </c>
      <c r="L125" s="508">
        <f t="shared" si="39"/>
        <v>-3.867924528301879E-2</v>
      </c>
      <c r="M125" s="508">
        <f t="shared" si="39"/>
        <v>1.7024477389863134E-2</v>
      </c>
      <c r="O125" s="864">
        <v>44197</v>
      </c>
      <c r="P125" s="508">
        <f t="shared" si="34"/>
        <v>1.0471804511278195</v>
      </c>
      <c r="Q125" s="508">
        <f t="shared" si="35"/>
        <v>1.0580086580086581</v>
      </c>
      <c r="R125" s="508">
        <f t="shared" si="36"/>
        <v>0.9613207547169812</v>
      </c>
      <c r="S125" s="508">
        <f t="shared" si="37"/>
        <v>1.0170244773898631</v>
      </c>
    </row>
  </sheetData>
  <mergeCells count="9">
    <mergeCell ref="U54:Y54"/>
    <mergeCell ref="U41:X41"/>
    <mergeCell ref="U33:Z33"/>
    <mergeCell ref="U26:Y26"/>
    <mergeCell ref="C2:G2"/>
    <mergeCell ref="I2:M2"/>
    <mergeCell ref="O2:S2"/>
    <mergeCell ref="U19:Y19"/>
    <mergeCell ref="U48:Y48"/>
  </mergeCells>
  <pageMargins left="0.7" right="0.7" top="0.75" bottom="0.75" header="0.3" footer="0.3"/>
  <pageSetup orientation="portrait" r:id="rId1"/>
  <ignoredErrors>
    <ignoredError sqref="V9"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AY91"/>
  <sheetViews>
    <sheetView topLeftCell="E1" zoomScale="115" zoomScaleNormal="115" workbookViewId="0">
      <pane xSplit="2" ySplit="2" topLeftCell="G10" activePane="bottomRight" state="frozen"/>
      <selection activeCell="E1" sqref="E1"/>
      <selection pane="topRight" activeCell="G1" sqref="G1"/>
      <selection pane="bottomLeft" activeCell="E3" sqref="E3"/>
      <selection pane="bottomRight" activeCell="R1" sqref="R1"/>
    </sheetView>
  </sheetViews>
  <sheetFormatPr defaultColWidth="9.1796875" defaultRowHeight="14" x14ac:dyDescent="0.3"/>
  <cols>
    <col min="1" max="5" width="9.1796875" style="17"/>
    <col min="6" max="6" width="48.6328125" style="17" bestFit="1" customWidth="1"/>
    <col min="7" max="7" width="12.26953125" style="17" customWidth="1"/>
    <col min="8" max="8" width="15" style="28" customWidth="1"/>
    <col min="9" max="9" width="14.453125" style="28" bestFit="1" customWidth="1"/>
    <col min="10" max="25" width="14.1796875" style="17" customWidth="1"/>
    <col min="26" max="26" width="13.54296875" style="17" bestFit="1" customWidth="1"/>
    <col min="27" max="29" width="14.1796875" style="17" bestFit="1" customWidth="1"/>
    <col min="30" max="35" width="12.54296875" style="17" bestFit="1" customWidth="1"/>
    <col min="36" max="41" width="9.1796875" style="17"/>
    <col min="42" max="51" width="12.54296875" style="17" bestFit="1" customWidth="1"/>
    <col min="52" max="16384" width="9.1796875" style="17"/>
  </cols>
  <sheetData>
    <row r="1" spans="5:51" ht="30" customHeight="1" thickBot="1" x14ac:dyDescent="0.35">
      <c r="E1" s="1011" t="s">
        <v>41</v>
      </c>
      <c r="F1" s="1011"/>
      <c r="G1" s="1011"/>
      <c r="H1" s="1011"/>
      <c r="I1" s="1011"/>
      <c r="J1" s="1011"/>
      <c r="K1" s="1011"/>
      <c r="L1" s="1011"/>
      <c r="M1" s="1011"/>
      <c r="N1" s="1011"/>
      <c r="O1" s="1011"/>
      <c r="P1" s="1011"/>
      <c r="Q1" s="1011"/>
      <c r="R1" s="27"/>
      <c r="S1" s="1009" t="s">
        <v>894</v>
      </c>
      <c r="T1" s="1009"/>
      <c r="U1" s="1009"/>
      <c r="V1" s="1009"/>
      <c r="W1" s="1009"/>
      <c r="X1" s="1009"/>
      <c r="Y1" s="27"/>
      <c r="Z1" s="1010" t="s">
        <v>599</v>
      </c>
      <c r="AA1" s="1010"/>
      <c r="AB1" s="1010"/>
      <c r="AC1" s="1010"/>
      <c r="AD1" s="1010"/>
      <c r="AE1" s="1010"/>
      <c r="AF1" s="1010"/>
      <c r="AG1" s="1010"/>
      <c r="AH1" s="1010"/>
      <c r="AI1" s="1010"/>
    </row>
    <row r="2" spans="5:51" s="28" customFormat="1" ht="30.5" customHeight="1" thickBot="1" x14ac:dyDescent="0.35">
      <c r="F2" s="995" t="s">
        <v>29</v>
      </c>
      <c r="G2" s="995" t="s">
        <v>7</v>
      </c>
      <c r="H2" s="985" t="s">
        <v>931</v>
      </c>
      <c r="I2" s="985" t="s">
        <v>410</v>
      </c>
      <c r="J2" s="986" t="s">
        <v>152</v>
      </c>
      <c r="K2" s="985" t="s">
        <v>153</v>
      </c>
      <c r="L2" s="985" t="s">
        <v>868</v>
      </c>
      <c r="M2" s="996" t="s">
        <v>932</v>
      </c>
      <c r="N2" s="996" t="s">
        <v>933</v>
      </c>
      <c r="O2" s="996" t="s">
        <v>934</v>
      </c>
      <c r="P2" s="996" t="s">
        <v>935</v>
      </c>
      <c r="Q2" s="997" t="s">
        <v>936</v>
      </c>
      <c r="R2" s="998" t="s">
        <v>899</v>
      </c>
      <c r="S2" s="999"/>
      <c r="T2" s="1000" t="s">
        <v>895</v>
      </c>
      <c r="U2" s="1000" t="s">
        <v>896</v>
      </c>
      <c r="V2" s="1000" t="s">
        <v>897</v>
      </c>
      <c r="W2" s="1001" t="s">
        <v>898</v>
      </c>
      <c r="X2" s="34"/>
      <c r="Z2" s="29" t="s">
        <v>931</v>
      </c>
      <c r="AA2" s="29" t="s">
        <v>410</v>
      </c>
      <c r="AB2" s="30" t="s">
        <v>152</v>
      </c>
      <c r="AC2" s="29" t="s">
        <v>153</v>
      </c>
      <c r="AD2" s="31" t="s">
        <v>868</v>
      </c>
      <c r="AE2" s="32" t="s">
        <v>932</v>
      </c>
      <c r="AF2" s="32" t="s">
        <v>933</v>
      </c>
      <c r="AG2" s="32" t="s">
        <v>934</v>
      </c>
      <c r="AH2" s="32" t="s">
        <v>935</v>
      </c>
      <c r="AI2" s="33" t="s">
        <v>936</v>
      </c>
      <c r="AP2" s="35" t="s">
        <v>931</v>
      </c>
      <c r="AQ2" s="36" t="s">
        <v>410</v>
      </c>
      <c r="AR2" s="36" t="s">
        <v>152</v>
      </c>
      <c r="AS2" s="36" t="s">
        <v>153</v>
      </c>
      <c r="AT2" s="36" t="s">
        <v>868</v>
      </c>
      <c r="AU2" s="32" t="s">
        <v>932</v>
      </c>
      <c r="AV2" s="32" t="s">
        <v>933</v>
      </c>
      <c r="AW2" s="32" t="s">
        <v>934</v>
      </c>
      <c r="AX2" s="32" t="s">
        <v>935</v>
      </c>
      <c r="AY2" s="37" t="s">
        <v>936</v>
      </c>
    </row>
    <row r="3" spans="5:51" ht="14.5" x14ac:dyDescent="0.35">
      <c r="E3" s="38">
        <f>I3/H3</f>
        <v>0.86322545651780869</v>
      </c>
      <c r="F3" s="173" t="s">
        <v>9</v>
      </c>
      <c r="G3" s="987" t="str">
        <f>NOTES!C4</f>
        <v>NOTE NO. 1 REVENUE FROM OPERATION</v>
      </c>
      <c r="H3" s="988">
        <f>NOTES!E18</f>
        <v>55310</v>
      </c>
      <c r="I3" s="988">
        <f>NOTES!F18</f>
        <v>47745</v>
      </c>
      <c r="J3" s="989">
        <f>NOTES!G18</f>
        <v>54986</v>
      </c>
      <c r="K3" s="989">
        <f>NOTES!H18</f>
        <v>51719</v>
      </c>
      <c r="L3" s="990">
        <f>NOTES!I18</f>
        <v>81248</v>
      </c>
      <c r="M3" s="991">
        <f>'Qauterly Data.'!AA11</f>
        <v>83362.113636363632</v>
      </c>
      <c r="N3" s="991">
        <f>$L$3+(L3*6.6%)</f>
        <v>86610.368000000002</v>
      </c>
      <c r="O3" s="991">
        <f t="shared" ref="O3:Q3" si="0">$L$3+(M3*6.6%)</f>
        <v>86749.8995</v>
      </c>
      <c r="P3" s="991">
        <f t="shared" si="0"/>
        <v>86964.284287999995</v>
      </c>
      <c r="Q3" s="991">
        <f t="shared" si="0"/>
        <v>86973.493367000003</v>
      </c>
      <c r="R3" s="992">
        <f>SUM(T3:W3)/4</f>
        <v>1.1316052266942265</v>
      </c>
      <c r="S3" s="993"/>
      <c r="T3" s="994">
        <f t="shared" ref="T3:W4" si="1">I3/H3</f>
        <v>0.86322545651780869</v>
      </c>
      <c r="U3" s="994">
        <f t="shared" si="1"/>
        <v>1.1516598596711698</v>
      </c>
      <c r="V3" s="994">
        <f t="shared" si="1"/>
        <v>0.94058487615029285</v>
      </c>
      <c r="W3" s="994">
        <f t="shared" si="1"/>
        <v>1.5709507144376342</v>
      </c>
      <c r="X3" s="41"/>
      <c r="Y3" s="46"/>
      <c r="Z3" s="19">
        <f t="shared" ref="Z3:Z34" si="2">H3*100/$H$3</f>
        <v>100</v>
      </c>
      <c r="AA3" s="19">
        <f t="shared" ref="AA3:AA34" si="3">I3*100/$I$3</f>
        <v>100</v>
      </c>
      <c r="AB3" s="19">
        <f t="shared" ref="AB3:AB34" si="4">J3*100/$J$3</f>
        <v>100</v>
      </c>
      <c r="AC3" s="19">
        <f>K3*100/$K$3</f>
        <v>100</v>
      </c>
      <c r="AD3" s="47">
        <f>L3*100/$L$3</f>
        <v>100</v>
      </c>
      <c r="AE3" s="47">
        <f t="shared" ref="AE3:AE34" si="5">N3*100/$N$3</f>
        <v>100</v>
      </c>
      <c r="AF3" s="47">
        <f t="shared" ref="AF3:AF34" si="6">N3*100/$N$3</f>
        <v>100</v>
      </c>
      <c r="AG3" s="47">
        <f>O3*100/$O$3</f>
        <v>99.999999999999986</v>
      </c>
      <c r="AH3" s="47">
        <f>P3*100/$P$3</f>
        <v>100</v>
      </c>
      <c r="AI3" s="47">
        <f t="shared" ref="AI3:AI5" si="7">Q3*100/$Q$3</f>
        <v>100</v>
      </c>
      <c r="AP3" s="3"/>
      <c r="AQ3" s="48">
        <f t="shared" ref="AQ3:AY3" si="8">I3/H3-1</f>
        <v>-0.13677454348219131</v>
      </c>
      <c r="AR3" s="48">
        <f t="shared" si="8"/>
        <v>0.15165985967116979</v>
      </c>
      <c r="AS3" s="48">
        <f t="shared" si="8"/>
        <v>-5.9415123849707152E-2</v>
      </c>
      <c r="AT3" s="48">
        <f t="shared" si="8"/>
        <v>0.57095071443763423</v>
      </c>
      <c r="AU3" s="48">
        <f t="shared" si="8"/>
        <v>2.6020500644491351E-2</v>
      </c>
      <c r="AV3" s="48">
        <f t="shared" si="8"/>
        <v>3.8965595064031966E-2</v>
      </c>
      <c r="AW3" s="48">
        <f t="shared" si="8"/>
        <v>1.6110253682330988E-3</v>
      </c>
      <c r="AX3" s="48">
        <f t="shared" si="8"/>
        <v>2.4712972491685026E-3</v>
      </c>
      <c r="AY3" s="49">
        <f t="shared" si="8"/>
        <v>1.0589495533031013E-4</v>
      </c>
    </row>
    <row r="4" spans="5:51" ht="14.5" x14ac:dyDescent="0.35">
      <c r="F4" s="50" t="s">
        <v>10</v>
      </c>
      <c r="G4" s="51" t="str">
        <f>NOTES!C44</f>
        <v>NOTE NO. 2 OTHER INCOME</v>
      </c>
      <c r="H4" s="52">
        <f>NOTES!E58</f>
        <v>2831</v>
      </c>
      <c r="I4" s="52">
        <f>NOTES!F58</f>
        <v>872</v>
      </c>
      <c r="J4" s="39">
        <f>NOTES!G58</f>
        <v>679</v>
      </c>
      <c r="K4" s="72">
        <f>NOTES!H58</f>
        <v>1122</v>
      </c>
      <c r="L4" s="72">
        <f>NOTES!I58</f>
        <v>1185</v>
      </c>
      <c r="M4" s="53">
        <f>'Qauterly Data.'!AA15</f>
        <v>1346.63978744729</v>
      </c>
      <c r="N4" s="53">
        <f>$L$4/$L$3*N3</f>
        <v>1263.21</v>
      </c>
      <c r="O4" s="53">
        <f t="shared" ref="O4:Q4" si="9">$L$4/$L$3*O3</f>
        <v>1265.2450633554058</v>
      </c>
      <c r="P4" s="53">
        <f t="shared" si="9"/>
        <v>1268.37186</v>
      </c>
      <c r="Q4" s="53">
        <f t="shared" si="9"/>
        <v>1268.5061741814568</v>
      </c>
      <c r="R4" s="43">
        <f>SUM(T4:W4)/4</f>
        <v>0.94881696741035126</v>
      </c>
      <c r="S4" s="44"/>
      <c r="T4" s="45">
        <f t="shared" si="1"/>
        <v>0.30801836806782057</v>
      </c>
      <c r="U4" s="45">
        <f t="shared" si="1"/>
        <v>0.77866972477064222</v>
      </c>
      <c r="V4" s="45">
        <f t="shared" si="1"/>
        <v>1.6524300441826214</v>
      </c>
      <c r="W4" s="45">
        <f t="shared" si="1"/>
        <v>1.0561497326203209</v>
      </c>
      <c r="X4" s="41"/>
      <c r="Y4" s="46"/>
      <c r="Z4" s="47">
        <f t="shared" si="2"/>
        <v>5.1184234315675283</v>
      </c>
      <c r="AA4" s="47">
        <f t="shared" si="3"/>
        <v>1.8263692533249556</v>
      </c>
      <c r="AB4" s="47">
        <f t="shared" si="4"/>
        <v>1.2348597824900884</v>
      </c>
      <c r="AC4" s="47">
        <f>K4*100/$K$3</f>
        <v>2.1694154952725304</v>
      </c>
      <c r="AD4" s="47">
        <f t="shared" ref="AD4:AD53" si="10">L4*100/$L$3</f>
        <v>1.458497439936983</v>
      </c>
      <c r="AE4" s="47">
        <f t="shared" si="5"/>
        <v>1.458497439936983</v>
      </c>
      <c r="AF4" s="47">
        <f t="shared" si="6"/>
        <v>1.458497439936983</v>
      </c>
      <c r="AG4" s="47">
        <f t="shared" ref="AG4:AG6" si="11">O4*100/$O$3</f>
        <v>1.4584974399369832</v>
      </c>
      <c r="AH4" s="47">
        <f t="shared" ref="AH4:AH6" si="12">P4*100/$P$3</f>
        <v>1.4584974399369832</v>
      </c>
      <c r="AI4" s="47">
        <f t="shared" si="7"/>
        <v>1.458497439936983</v>
      </c>
      <c r="AP4" s="3"/>
      <c r="AQ4" s="48">
        <f>I4/H4-1</f>
        <v>-0.69198163193217943</v>
      </c>
      <c r="AR4" s="48">
        <f>J4/I4-1</f>
        <v>-0.22133027522935778</v>
      </c>
      <c r="AS4" s="48">
        <f t="shared" ref="AS4:AS5" si="13">K4/J4-1</f>
        <v>0.6524300441826214</v>
      </c>
      <c r="AT4" s="48">
        <f t="shared" ref="AT4:AT5" si="14">L4/K4-1</f>
        <v>5.6149732620320858E-2</v>
      </c>
      <c r="AU4" s="48">
        <f t="shared" ref="AU4:AU5" si="15">M4/L4-1</f>
        <v>0.13640488392176375</v>
      </c>
      <c r="AV4" s="48">
        <f t="shared" ref="AV4:AV5" si="16">N4/M4-1</f>
        <v>-6.1954049052301285E-2</v>
      </c>
      <c r="AW4" s="48">
        <f t="shared" ref="AW4:AW5" si="17">O4/N4-1</f>
        <v>1.6110253682330988E-3</v>
      </c>
      <c r="AX4" s="48">
        <f t="shared" ref="AX4:AX5" si="18">P4/O4-1</f>
        <v>2.4712972491685026E-3</v>
      </c>
      <c r="AY4" s="49">
        <f t="shared" ref="AY4:AY5" si="19">Q4/P4-1</f>
        <v>1.0589495533031013E-4</v>
      </c>
    </row>
    <row r="5" spans="5:51" s="54" customFormat="1" x14ac:dyDescent="0.3">
      <c r="F5" s="55" t="s">
        <v>19</v>
      </c>
      <c r="G5" s="55"/>
      <c r="H5" s="56">
        <f>SUM(H3:H4)</f>
        <v>58141</v>
      </c>
      <c r="I5" s="57">
        <v>48617</v>
      </c>
      <c r="J5" s="55">
        <v>55665</v>
      </c>
      <c r="K5" s="58">
        <v>52841</v>
      </c>
      <c r="L5" s="59">
        <f>SUM(L3:L4)</f>
        <v>82433</v>
      </c>
      <c r="M5" s="60">
        <f t="shared" ref="M5:Q5" si="20">SUM(M3:M4)</f>
        <v>84708.753423810922</v>
      </c>
      <c r="N5" s="60">
        <f t="shared" si="20"/>
        <v>87873.578000000009</v>
      </c>
      <c r="O5" s="60">
        <f t="shared" si="20"/>
        <v>88015.14456335541</v>
      </c>
      <c r="P5" s="60">
        <f t="shared" si="20"/>
        <v>88232.656147999995</v>
      </c>
      <c r="Q5" s="61">
        <f t="shared" si="20"/>
        <v>88241.99954118146</v>
      </c>
      <c r="R5" s="62"/>
      <c r="S5" s="44"/>
      <c r="T5" s="41"/>
      <c r="U5" s="41"/>
      <c r="V5" s="41"/>
      <c r="W5" s="41"/>
      <c r="X5" s="41"/>
      <c r="Y5" s="46"/>
      <c r="Z5" s="47">
        <f t="shared" si="2"/>
        <v>105.11842343156754</v>
      </c>
      <c r="AA5" s="47">
        <f t="shared" si="3"/>
        <v>101.82636925332496</v>
      </c>
      <c r="AB5" s="47">
        <f t="shared" si="4"/>
        <v>101.23485978249009</v>
      </c>
      <c r="AC5" s="47">
        <f>K5*100/$K$3</f>
        <v>102.16941549527253</v>
      </c>
      <c r="AD5" s="47">
        <f t="shared" si="10"/>
        <v>101.45849743993698</v>
      </c>
      <c r="AE5" s="47">
        <f t="shared" si="5"/>
        <v>101.45849743993699</v>
      </c>
      <c r="AF5" s="47">
        <f t="shared" si="6"/>
        <v>101.45849743993699</v>
      </c>
      <c r="AG5" s="47">
        <f t="shared" si="11"/>
        <v>101.45849743993699</v>
      </c>
      <c r="AH5" s="47">
        <f t="shared" si="12"/>
        <v>101.45849743993698</v>
      </c>
      <c r="AI5" s="47">
        <f t="shared" si="7"/>
        <v>101.45849743993698</v>
      </c>
      <c r="AP5" s="5"/>
      <c r="AQ5" s="48">
        <f>I5/H5-1</f>
        <v>-0.1638086720214651</v>
      </c>
      <c r="AR5" s="48">
        <f>J5/I5-1</f>
        <v>0.14496986650760024</v>
      </c>
      <c r="AS5" s="48">
        <f t="shared" si="13"/>
        <v>-5.0732057846043288E-2</v>
      </c>
      <c r="AT5" s="48">
        <f t="shared" si="14"/>
        <v>0.56001968168656924</v>
      </c>
      <c r="AU5" s="48">
        <f t="shared" si="15"/>
        <v>2.7607310468027668E-2</v>
      </c>
      <c r="AV5" s="48">
        <f t="shared" si="16"/>
        <v>3.7361246013797311E-2</v>
      </c>
      <c r="AW5" s="48">
        <f t="shared" si="17"/>
        <v>1.6110253682330988E-3</v>
      </c>
      <c r="AX5" s="48">
        <f t="shared" si="18"/>
        <v>2.4712972491685026E-3</v>
      </c>
      <c r="AY5" s="49">
        <f t="shared" si="19"/>
        <v>1.0589495533031013E-4</v>
      </c>
    </row>
    <row r="6" spans="5:51" x14ac:dyDescent="0.3">
      <c r="F6" s="63" t="s">
        <v>0</v>
      </c>
      <c r="G6" s="39"/>
      <c r="H6" s="52"/>
      <c r="I6" s="52"/>
      <c r="J6" s="55"/>
      <c r="K6" s="39"/>
      <c r="L6" s="64"/>
      <c r="M6" s="65"/>
      <c r="N6" s="65"/>
      <c r="O6" s="65"/>
      <c r="P6" s="65"/>
      <c r="Q6" s="66"/>
      <c r="R6" s="67"/>
      <c r="S6" s="68"/>
      <c r="T6" s="65"/>
      <c r="U6" s="65"/>
      <c r="V6" s="65"/>
      <c r="W6" s="65"/>
      <c r="X6" s="65"/>
      <c r="Z6" s="19">
        <f t="shared" si="2"/>
        <v>0</v>
      </c>
      <c r="AA6" s="19">
        <f t="shared" si="3"/>
        <v>0</v>
      </c>
      <c r="AB6" s="19">
        <f t="shared" si="4"/>
        <v>0</v>
      </c>
      <c r="AC6" s="19">
        <f>K6*100/$K$3</f>
        <v>0</v>
      </c>
      <c r="AD6" s="47">
        <f t="shared" si="10"/>
        <v>0</v>
      </c>
      <c r="AE6" s="47">
        <f t="shared" si="5"/>
        <v>0</v>
      </c>
      <c r="AF6" s="47">
        <f t="shared" si="6"/>
        <v>0</v>
      </c>
      <c r="AG6" s="47">
        <f t="shared" si="11"/>
        <v>0</v>
      </c>
      <c r="AH6" s="47">
        <f t="shared" si="12"/>
        <v>0</v>
      </c>
      <c r="AI6" s="47">
        <f t="shared" ref="AI6:AI53" si="21">Q6*100/$Q$3</f>
        <v>0</v>
      </c>
      <c r="AP6" s="3"/>
      <c r="AQ6" s="48"/>
      <c r="AR6" s="48"/>
      <c r="AS6" s="48"/>
      <c r="AT6" s="48"/>
      <c r="AU6" s="48"/>
      <c r="AV6" s="48"/>
      <c r="AW6" s="48"/>
      <c r="AX6" s="48"/>
      <c r="AY6" s="49"/>
    </row>
    <row r="7" spans="5:51" ht="58" x14ac:dyDescent="0.35">
      <c r="F7" s="39" t="s">
        <v>30</v>
      </c>
      <c r="G7" s="69" t="str">
        <f>NOTES!C197</f>
        <v>NOTE NO.9 (INCREASE) / DECREASE IN INVENTORY</v>
      </c>
      <c r="H7" s="52">
        <v>0</v>
      </c>
      <c r="I7" s="52">
        <v>0</v>
      </c>
      <c r="J7" s="39">
        <f>NOTES!G207</f>
        <v>2753</v>
      </c>
      <c r="K7" s="70">
        <f>NOTES!H207</f>
        <v>-14938</v>
      </c>
      <c r="L7" s="71">
        <v>16606</v>
      </c>
      <c r="M7" s="41">
        <f>'Qauterly Data.'!AA22</f>
        <v>10156.082998209655</v>
      </c>
      <c r="N7" s="41">
        <f>$L$7/$L$3*N3</f>
        <v>17701.995999999999</v>
      </c>
      <c r="O7" s="41">
        <f t="shared" ref="O7:Q7" si="22">$L$7/$L$3*O3</f>
        <v>17730.51436462436</v>
      </c>
      <c r="P7" s="41">
        <f t="shared" si="22"/>
        <v>17774.331736</v>
      </c>
      <c r="Q7" s="41">
        <f t="shared" si="22"/>
        <v>17776.213948065208</v>
      </c>
      <c r="R7" s="43">
        <f t="shared" ref="R7:R15" si="23">SUM(T7:W7)/4</f>
        <v>-1.6344355434111313</v>
      </c>
      <c r="S7" s="138"/>
      <c r="T7" s="45">
        <v>0</v>
      </c>
      <c r="U7" s="45">
        <v>0</v>
      </c>
      <c r="V7" s="45">
        <f>K7/J7</f>
        <v>-5.4260806393025787</v>
      </c>
      <c r="W7" s="45">
        <f>L7/K7</f>
        <v>-1.1116615343419467</v>
      </c>
      <c r="X7" s="41"/>
      <c r="Y7" s="46"/>
      <c r="Z7" s="19">
        <f t="shared" si="2"/>
        <v>0</v>
      </c>
      <c r="AA7" s="19">
        <f t="shared" si="3"/>
        <v>0</v>
      </c>
      <c r="AB7" s="47">
        <f t="shared" si="4"/>
        <v>5.0067289855599606</v>
      </c>
      <c r="AC7" s="47">
        <f>K7*100/$J$3</f>
        <v>-27.166915214781945</v>
      </c>
      <c r="AD7" s="47">
        <f t="shared" si="10"/>
        <v>20.438656951555732</v>
      </c>
      <c r="AE7" s="47">
        <f t="shared" si="5"/>
        <v>20.438656951555728</v>
      </c>
      <c r="AF7" s="47">
        <f t="shared" si="6"/>
        <v>20.438656951555728</v>
      </c>
      <c r="AG7" s="47">
        <f t="shared" ref="AG7:AG53" si="24">O7*100/$O$3</f>
        <v>20.438656951555728</v>
      </c>
      <c r="AH7" s="47">
        <f t="shared" ref="AH7:AH53" si="25">P7*100/$P$3</f>
        <v>20.438656951555732</v>
      </c>
      <c r="AI7" s="47">
        <f t="shared" si="21"/>
        <v>20.438656951555728</v>
      </c>
      <c r="AP7" s="3"/>
      <c r="AQ7" s="48"/>
      <c r="AR7" s="48"/>
      <c r="AS7" s="48">
        <f t="shared" ref="AS7:AS46" si="26">K7/J7-1</f>
        <v>-6.4260806393025787</v>
      </c>
      <c r="AT7" s="48">
        <f t="shared" ref="AT7:AT46" si="27">L7/K7-1</f>
        <v>-2.1116615343419465</v>
      </c>
      <c r="AU7" s="48">
        <f t="shared" ref="AU7:AU46" si="28">M7/L7-1</f>
        <v>-0.38840882824222245</v>
      </c>
      <c r="AV7" s="48">
        <f t="shared" ref="AV7:AW14" si="29">N7/M7-1</f>
        <v>0.74299442049858788</v>
      </c>
      <c r="AW7" s="48">
        <f t="shared" si="29"/>
        <v>1.6110253682330988E-3</v>
      </c>
      <c r="AX7" s="48">
        <f t="shared" ref="AX7:AX25" si="30">P7/O7-1</f>
        <v>2.4712972491685026E-3</v>
      </c>
      <c r="AY7" s="49">
        <f t="shared" ref="AY7:AY25" si="31">Q7/P7-1</f>
        <v>1.0589495533008808E-4</v>
      </c>
    </row>
    <row r="8" spans="5:51" x14ac:dyDescent="0.3">
      <c r="F8" s="39" t="s">
        <v>31</v>
      </c>
      <c r="G8" s="39"/>
      <c r="H8" s="52">
        <v>0</v>
      </c>
      <c r="I8" s="52">
        <v>0</v>
      </c>
      <c r="J8" s="39">
        <v>16689</v>
      </c>
      <c r="K8" s="72">
        <v>16852</v>
      </c>
      <c r="L8" s="71">
        <v>17271</v>
      </c>
      <c r="M8" s="41">
        <f>'Qauterly Data.'!AA26</f>
        <v>17889.982421788489</v>
      </c>
      <c r="N8" s="41">
        <f>$L$8/$L$3*N3</f>
        <v>18410.885999999999</v>
      </c>
      <c r="O8" s="41">
        <f t="shared" ref="O8:Q8" si="32">$L$8/$L$3*O3</f>
        <v>18440.546404397646</v>
      </c>
      <c r="P8" s="41">
        <f t="shared" si="32"/>
        <v>18486.118476</v>
      </c>
      <c r="Q8" s="41">
        <f t="shared" si="32"/>
        <v>18488.076062690245</v>
      </c>
      <c r="R8" s="43">
        <f t="shared" si="23"/>
        <v>0.50865760750520717</v>
      </c>
      <c r="S8" s="138"/>
      <c r="T8" s="45">
        <v>0</v>
      </c>
      <c r="U8" s="45">
        <v>0</v>
      </c>
      <c r="V8" s="45">
        <f>K8/J8</f>
        <v>1.0097669123374677</v>
      </c>
      <c r="W8" s="45">
        <f t="shared" ref="W8:W10" si="33">L8/K8</f>
        <v>1.0248635176833609</v>
      </c>
      <c r="X8" s="41"/>
      <c r="Y8" s="46"/>
      <c r="Z8" s="19">
        <f t="shared" si="2"/>
        <v>0</v>
      </c>
      <c r="AA8" s="19">
        <f t="shared" si="3"/>
        <v>0</v>
      </c>
      <c r="AB8" s="47">
        <f t="shared" si="4"/>
        <v>30.351362164914704</v>
      </c>
      <c r="AC8" s="47">
        <f t="shared" ref="AC8:AC53" si="34">K8*100/$K$3</f>
        <v>32.583769987818791</v>
      </c>
      <c r="AD8" s="47">
        <f t="shared" si="10"/>
        <v>21.257138637258763</v>
      </c>
      <c r="AE8" s="47">
        <f t="shared" si="5"/>
        <v>21.257138637258763</v>
      </c>
      <c r="AF8" s="47">
        <f t="shared" si="6"/>
        <v>21.257138637258763</v>
      </c>
      <c r="AG8" s="47">
        <f t="shared" si="24"/>
        <v>21.257138637258763</v>
      </c>
      <c r="AH8" s="47">
        <f t="shared" si="25"/>
        <v>21.257138637258763</v>
      </c>
      <c r="AI8" s="47">
        <f t="shared" si="21"/>
        <v>21.257138637258763</v>
      </c>
      <c r="AP8" s="3"/>
      <c r="AQ8" s="48"/>
      <c r="AR8" s="48"/>
      <c r="AS8" s="48">
        <f t="shared" si="26"/>
        <v>9.7669123374677369E-3</v>
      </c>
      <c r="AT8" s="48">
        <f t="shared" si="27"/>
        <v>2.4863517683360925E-2</v>
      </c>
      <c r="AU8" s="48">
        <f t="shared" si="28"/>
        <v>3.5839408360169633E-2</v>
      </c>
      <c r="AV8" s="48">
        <f t="shared" si="29"/>
        <v>2.9117053663344716E-2</v>
      </c>
      <c r="AW8" s="48">
        <f t="shared" si="29"/>
        <v>1.6110253682330988E-3</v>
      </c>
      <c r="AX8" s="48">
        <f t="shared" si="30"/>
        <v>2.4712972491685026E-3</v>
      </c>
      <c r="AY8" s="49">
        <f t="shared" si="31"/>
        <v>1.0589495533031013E-4</v>
      </c>
    </row>
    <row r="9" spans="5:51" x14ac:dyDescent="0.3">
      <c r="F9" s="39" t="s">
        <v>32</v>
      </c>
      <c r="G9" s="39"/>
      <c r="H9" s="52">
        <v>0</v>
      </c>
      <c r="I9" s="52">
        <v>0</v>
      </c>
      <c r="J9" s="39">
        <v>6686</v>
      </c>
      <c r="K9" s="72">
        <v>4988</v>
      </c>
      <c r="L9" s="71">
        <v>3219</v>
      </c>
      <c r="M9" s="41">
        <f>'Qauterly Data.'!AA34</f>
        <v>4355.1228274400182</v>
      </c>
      <c r="N9" s="41">
        <f>$L$9/$L$3*N3</f>
        <v>3431.4540000000002</v>
      </c>
      <c r="O9" s="41">
        <f t="shared" ref="O9:Q9" si="35">$L$9/$L$3*O3</f>
        <v>3436.982159443925</v>
      </c>
      <c r="P9" s="41">
        <f t="shared" si="35"/>
        <v>3445.4759639999997</v>
      </c>
      <c r="Q9" s="41">
        <f t="shared" si="35"/>
        <v>3445.8408225232993</v>
      </c>
      <c r="R9" s="43">
        <f t="shared" si="23"/>
        <v>0.34784633284405458</v>
      </c>
      <c r="S9" s="138"/>
      <c r="T9" s="45">
        <v>0</v>
      </c>
      <c r="U9" s="45">
        <v>0</v>
      </c>
      <c r="V9" s="45">
        <f>K9/J9</f>
        <v>0.74603649416691598</v>
      </c>
      <c r="W9" s="45">
        <f t="shared" si="33"/>
        <v>0.64534883720930236</v>
      </c>
      <c r="X9" s="41"/>
      <c r="Y9" s="46"/>
      <c r="Z9" s="19">
        <f t="shared" si="2"/>
        <v>0</v>
      </c>
      <c r="AA9" s="19">
        <f t="shared" si="3"/>
        <v>0</v>
      </c>
      <c r="AB9" s="47">
        <f t="shared" si="4"/>
        <v>12.15945877132361</v>
      </c>
      <c r="AC9" s="47">
        <f t="shared" si="34"/>
        <v>9.6444246795181652</v>
      </c>
      <c r="AD9" s="47">
        <f t="shared" si="10"/>
        <v>3.9619436786136273</v>
      </c>
      <c r="AE9" s="47">
        <f t="shared" si="5"/>
        <v>3.9619436786136277</v>
      </c>
      <c r="AF9" s="47">
        <f t="shared" si="6"/>
        <v>3.9619436786136277</v>
      </c>
      <c r="AG9" s="47">
        <f t="shared" si="24"/>
        <v>3.9619436786136277</v>
      </c>
      <c r="AH9" s="47">
        <f t="shared" si="25"/>
        <v>3.9619436786136273</v>
      </c>
      <c r="AI9" s="47">
        <f t="shared" si="21"/>
        <v>3.9619436786136273</v>
      </c>
      <c r="AP9" s="3"/>
      <c r="AQ9" s="48"/>
      <c r="AR9" s="48"/>
      <c r="AS9" s="48">
        <f t="shared" si="26"/>
        <v>-0.25396350583308402</v>
      </c>
      <c r="AT9" s="48">
        <f t="shared" si="27"/>
        <v>-0.35465116279069764</v>
      </c>
      <c r="AU9" s="48">
        <f t="shared" si="28"/>
        <v>0.35294278578441074</v>
      </c>
      <c r="AV9" s="48">
        <f t="shared" si="29"/>
        <v>-0.21208789373753645</v>
      </c>
      <c r="AW9" s="48">
        <f t="shared" si="29"/>
        <v>1.6110253682330988E-3</v>
      </c>
      <c r="AX9" s="48">
        <f t="shared" si="30"/>
        <v>2.4712972491685026E-3</v>
      </c>
      <c r="AY9" s="49">
        <f t="shared" si="31"/>
        <v>1.0589495533031013E-4</v>
      </c>
    </row>
    <row r="10" spans="5:51" x14ac:dyDescent="0.3">
      <c r="F10" s="39" t="s">
        <v>33</v>
      </c>
      <c r="G10" s="39"/>
      <c r="H10" s="52">
        <v>0</v>
      </c>
      <c r="I10" s="52">
        <v>0</v>
      </c>
      <c r="J10" s="39"/>
      <c r="K10" s="72">
        <v>1027</v>
      </c>
      <c r="L10" s="71">
        <v>127</v>
      </c>
      <c r="M10" s="41">
        <f>'Qauterly Data.'!AA38</f>
        <v>820.84876162287185</v>
      </c>
      <c r="N10" s="41">
        <f>$L$10/$L$3*N3</f>
        <v>135.38200000000001</v>
      </c>
      <c r="O10" s="41">
        <f t="shared" ref="O10:Q10" si="36">$L$10/$L$3*O3</f>
        <v>135.60010383640213</v>
      </c>
      <c r="P10" s="41">
        <f t="shared" si="36"/>
        <v>135.93521199999998</v>
      </c>
      <c r="Q10" s="41">
        <f t="shared" si="36"/>
        <v>135.94960685320254</v>
      </c>
      <c r="R10" s="43">
        <f t="shared" si="23"/>
        <v>3.0915287244401169E-2</v>
      </c>
      <c r="S10" s="138"/>
      <c r="T10" s="45">
        <v>0</v>
      </c>
      <c r="U10" s="45">
        <v>0</v>
      </c>
      <c r="V10" s="45">
        <v>0</v>
      </c>
      <c r="W10" s="45">
        <f t="shared" si="33"/>
        <v>0.12366114897760468</v>
      </c>
      <c r="X10" s="41"/>
      <c r="Y10" s="46"/>
      <c r="Z10" s="19">
        <f t="shared" si="2"/>
        <v>0</v>
      </c>
      <c r="AA10" s="19">
        <f t="shared" si="3"/>
        <v>0</v>
      </c>
      <c r="AB10" s="47">
        <f t="shared" si="4"/>
        <v>0</v>
      </c>
      <c r="AC10" s="47">
        <f t="shared" si="34"/>
        <v>1.9857305825712022</v>
      </c>
      <c r="AD10" s="47">
        <f t="shared" si="10"/>
        <v>0.15631153997636865</v>
      </c>
      <c r="AE10" s="47">
        <f t="shared" si="5"/>
        <v>0.15631153997636865</v>
      </c>
      <c r="AF10" s="47">
        <f t="shared" si="6"/>
        <v>0.15631153997636865</v>
      </c>
      <c r="AG10" s="47">
        <f t="shared" si="24"/>
        <v>0.15631153997636865</v>
      </c>
      <c r="AH10" s="47">
        <f t="shared" si="25"/>
        <v>0.15631153997636862</v>
      </c>
      <c r="AI10" s="47">
        <f t="shared" si="21"/>
        <v>0.15631153997636862</v>
      </c>
      <c r="AP10" s="3"/>
      <c r="AQ10" s="48"/>
      <c r="AR10" s="48"/>
      <c r="AS10" s="48" t="e">
        <f t="shared" si="26"/>
        <v>#DIV/0!</v>
      </c>
      <c r="AT10" s="48">
        <f t="shared" si="27"/>
        <v>-0.87633885102239528</v>
      </c>
      <c r="AU10" s="48">
        <f t="shared" si="28"/>
        <v>5.4633760757706442</v>
      </c>
      <c r="AV10" s="48">
        <f t="shared" si="29"/>
        <v>-0.83507071420520762</v>
      </c>
      <c r="AW10" s="48">
        <f t="shared" si="29"/>
        <v>1.6110253682330988E-3</v>
      </c>
      <c r="AX10" s="48">
        <f t="shared" si="30"/>
        <v>2.4712972491685026E-3</v>
      </c>
      <c r="AY10" s="49">
        <f t="shared" si="31"/>
        <v>1.0589495533031013E-4</v>
      </c>
    </row>
    <row r="11" spans="5:51" x14ac:dyDescent="0.3">
      <c r="F11" s="39" t="s">
        <v>34</v>
      </c>
      <c r="G11" s="39"/>
      <c r="H11" s="52">
        <v>0</v>
      </c>
      <c r="I11" s="52">
        <v>0</v>
      </c>
      <c r="J11" s="39">
        <v>2876</v>
      </c>
      <c r="K11" s="72">
        <v>13944</v>
      </c>
      <c r="L11" s="71">
        <v>4504</v>
      </c>
      <c r="M11" s="41">
        <f>'Qauterly Data.'!AA42</f>
        <v>7594.4705193650079</v>
      </c>
      <c r="N11" s="41">
        <f>$L$11/$L$3*N3</f>
        <v>4801.2640000000001</v>
      </c>
      <c r="O11" s="41">
        <f t="shared" ref="O11:Q11" si="37">$L$11/$L$3*O3</f>
        <v>4808.9989581035843</v>
      </c>
      <c r="P11" s="41">
        <f t="shared" si="37"/>
        <v>4820.8834239999996</v>
      </c>
      <c r="Q11" s="41">
        <f t="shared" si="37"/>
        <v>4821.3939312348366</v>
      </c>
      <c r="R11" s="43">
        <f t="shared" si="23"/>
        <v>1.2928517168215881</v>
      </c>
      <c r="S11" s="138"/>
      <c r="T11" s="45">
        <v>0</v>
      </c>
      <c r="U11" s="45">
        <v>0</v>
      </c>
      <c r="V11" s="45">
        <f t="shared" ref="V11:V14" si="38">K11/J11</f>
        <v>4.848400556328234</v>
      </c>
      <c r="W11" s="45">
        <f t="shared" ref="W11:W14" si="39">L11/K11</f>
        <v>0.32300631095811821</v>
      </c>
      <c r="X11" s="41"/>
      <c r="Y11" s="46"/>
      <c r="Z11" s="19">
        <f t="shared" si="2"/>
        <v>0</v>
      </c>
      <c r="AA11" s="19">
        <f t="shared" si="3"/>
        <v>0</v>
      </c>
      <c r="AB11" s="47">
        <f t="shared" si="4"/>
        <v>5.2304222893100061</v>
      </c>
      <c r="AC11" s="47">
        <f t="shared" si="34"/>
        <v>26.961078133761287</v>
      </c>
      <c r="AD11" s="47">
        <f t="shared" si="10"/>
        <v>5.5435210712879091</v>
      </c>
      <c r="AE11" s="47">
        <f t="shared" si="5"/>
        <v>5.5435210712879091</v>
      </c>
      <c r="AF11" s="47">
        <f t="shared" si="6"/>
        <v>5.5435210712879091</v>
      </c>
      <c r="AG11" s="47">
        <f t="shared" si="24"/>
        <v>5.5435210712879091</v>
      </c>
      <c r="AH11" s="47">
        <f t="shared" si="25"/>
        <v>5.5435210712879082</v>
      </c>
      <c r="AI11" s="47">
        <f t="shared" si="21"/>
        <v>5.5435210712879082</v>
      </c>
      <c r="AP11" s="3"/>
      <c r="AQ11" s="48"/>
      <c r="AR11" s="48"/>
      <c r="AS11" s="48">
        <f t="shared" si="26"/>
        <v>3.848400556328234</v>
      </c>
      <c r="AT11" s="48">
        <f t="shared" si="27"/>
        <v>-0.67699368904188173</v>
      </c>
      <c r="AU11" s="48">
        <f t="shared" si="28"/>
        <v>0.68616130536523268</v>
      </c>
      <c r="AV11" s="48">
        <f t="shared" si="29"/>
        <v>-0.36779476755392748</v>
      </c>
      <c r="AW11" s="48">
        <f t="shared" si="29"/>
        <v>1.6110253682330988E-3</v>
      </c>
      <c r="AX11" s="48">
        <f t="shared" si="30"/>
        <v>2.4712972491685026E-3</v>
      </c>
      <c r="AY11" s="49">
        <f t="shared" si="31"/>
        <v>1.0589495533031013E-4</v>
      </c>
    </row>
    <row r="12" spans="5:51" x14ac:dyDescent="0.3">
      <c r="F12" s="39" t="s">
        <v>35</v>
      </c>
      <c r="G12" s="39"/>
      <c r="H12" s="52">
        <v>0</v>
      </c>
      <c r="I12" s="52">
        <v>0</v>
      </c>
      <c r="J12" s="39">
        <v>2745</v>
      </c>
      <c r="K12" s="72">
        <v>2858</v>
      </c>
      <c r="L12" s="71">
        <v>56</v>
      </c>
      <c r="M12" s="41">
        <f>'Qauterly Data.'!AA46</f>
        <v>1337.661517336011</v>
      </c>
      <c r="N12" s="41">
        <f>$L$13/$L$3*N3</f>
        <v>3428.2560000000003</v>
      </c>
      <c r="O12" s="41">
        <f t="shared" ref="O12:P12" si="40">$L$13/$L$3*O4</f>
        <v>50.081578915800819</v>
      </c>
      <c r="P12" s="41">
        <f t="shared" si="40"/>
        <v>50.205345384009455</v>
      </c>
      <c r="Q12" s="42">
        <f t="shared" ref="Q12" si="41">P12*$R$7</f>
        <v>-82.057400964857024</v>
      </c>
      <c r="R12" s="43">
        <f t="shared" si="23"/>
        <v>0.26518996942083134</v>
      </c>
      <c r="S12" s="138"/>
      <c r="T12" s="45">
        <v>0</v>
      </c>
      <c r="U12" s="45">
        <v>0</v>
      </c>
      <c r="V12" s="45">
        <f t="shared" si="38"/>
        <v>1.0411657559198544</v>
      </c>
      <c r="W12" s="45">
        <f t="shared" si="39"/>
        <v>1.9594121763470959E-2</v>
      </c>
      <c r="X12" s="41"/>
      <c r="Y12" s="46"/>
      <c r="Z12" s="19">
        <f t="shared" si="2"/>
        <v>0</v>
      </c>
      <c r="AA12" s="19">
        <f t="shared" si="3"/>
        <v>0</v>
      </c>
      <c r="AB12" s="47">
        <f t="shared" si="4"/>
        <v>4.9921798275924782</v>
      </c>
      <c r="AC12" s="47">
        <f t="shared" si="34"/>
        <v>5.526015584214699</v>
      </c>
      <c r="AD12" s="47">
        <f t="shared" si="10"/>
        <v>6.8924773532886965E-2</v>
      </c>
      <c r="AE12" s="47">
        <f t="shared" si="5"/>
        <v>3.9582512800315088</v>
      </c>
      <c r="AF12" s="47">
        <f t="shared" si="6"/>
        <v>3.9582512800315088</v>
      </c>
      <c r="AG12" s="47">
        <f t="shared" si="24"/>
        <v>5.7730993585532416E-2</v>
      </c>
      <c r="AH12" s="47">
        <f t="shared" si="25"/>
        <v>5.7730993585532416E-2</v>
      </c>
      <c r="AI12" s="47">
        <f t="shared" si="21"/>
        <v>-9.4347596938070932E-2</v>
      </c>
      <c r="AP12" s="3"/>
      <c r="AQ12" s="48"/>
      <c r="AR12" s="48"/>
      <c r="AS12" s="48">
        <f t="shared" si="26"/>
        <v>4.1165755919854385E-2</v>
      </c>
      <c r="AT12" s="48">
        <f t="shared" si="27"/>
        <v>-0.98040587823652903</v>
      </c>
      <c r="AU12" s="48">
        <f t="shared" si="28"/>
        <v>22.886812809571627</v>
      </c>
      <c r="AV12" s="48">
        <f t="shared" si="29"/>
        <v>1.5628725619822452</v>
      </c>
      <c r="AW12" s="48">
        <f t="shared" si="29"/>
        <v>-0.98539152883687775</v>
      </c>
      <c r="AX12" s="48">
        <f t="shared" si="30"/>
        <v>2.4712972491685026E-3</v>
      </c>
      <c r="AY12" s="49">
        <f t="shared" si="31"/>
        <v>-2.6344355434111311</v>
      </c>
    </row>
    <row r="13" spans="5:51" x14ac:dyDescent="0.3">
      <c r="F13" s="39" t="s">
        <v>36</v>
      </c>
      <c r="G13" s="39"/>
      <c r="H13" s="52">
        <v>0</v>
      </c>
      <c r="I13" s="52">
        <v>0</v>
      </c>
      <c r="J13" s="39">
        <v>1704</v>
      </c>
      <c r="K13" s="72">
        <v>2640</v>
      </c>
      <c r="L13" s="71">
        <v>3216</v>
      </c>
      <c r="M13" s="41">
        <f>'Qauterly Data.'!AA54</f>
        <v>3662.0326672576448</v>
      </c>
      <c r="N13" s="41">
        <f>$L$14/$L$3*N3</f>
        <v>2683.1219999999998</v>
      </c>
      <c r="O13" s="41">
        <f>$L$14/$L$3*O3</f>
        <v>2687.4445776080643</v>
      </c>
      <c r="P13" s="41">
        <f t="shared" ref="P13:Q13" si="42">$L$14/$L$3*P5</f>
        <v>2733.3792280981193</v>
      </c>
      <c r="Q13" s="41">
        <f t="shared" si="42"/>
        <v>2733.6686791693792</v>
      </c>
      <c r="R13" s="43">
        <f t="shared" si="23"/>
        <v>0.69186939820742643</v>
      </c>
      <c r="S13" s="138"/>
      <c r="T13" s="45">
        <v>0</v>
      </c>
      <c r="U13" s="45">
        <v>0</v>
      </c>
      <c r="V13" s="45">
        <f t="shared" si="38"/>
        <v>1.5492957746478873</v>
      </c>
      <c r="W13" s="45">
        <f t="shared" si="39"/>
        <v>1.2181818181818183</v>
      </c>
      <c r="X13" s="41"/>
      <c r="Y13" s="46"/>
      <c r="Z13" s="19">
        <f t="shared" si="2"/>
        <v>0</v>
      </c>
      <c r="AA13" s="19">
        <f t="shared" si="3"/>
        <v>0</v>
      </c>
      <c r="AB13" s="47">
        <f t="shared" si="4"/>
        <v>3.0989706470738008</v>
      </c>
      <c r="AC13" s="47">
        <f t="shared" si="34"/>
        <v>5.1045070477000714</v>
      </c>
      <c r="AD13" s="47">
        <f t="shared" si="10"/>
        <v>3.9582512800315084</v>
      </c>
      <c r="AE13" s="47">
        <f t="shared" si="5"/>
        <v>3.0979224103977945</v>
      </c>
      <c r="AF13" s="47">
        <f t="shared" si="6"/>
        <v>3.0979224103977945</v>
      </c>
      <c r="AG13" s="47">
        <f t="shared" si="24"/>
        <v>3.0979224103977945</v>
      </c>
      <c r="AH13" s="47">
        <f t="shared" si="25"/>
        <v>3.1431055294446808</v>
      </c>
      <c r="AI13" s="47">
        <f t="shared" si="21"/>
        <v>3.1431055294446799</v>
      </c>
      <c r="AP13" s="3"/>
      <c r="AQ13" s="48"/>
      <c r="AR13" s="48"/>
      <c r="AS13" s="48">
        <f t="shared" si="26"/>
        <v>0.54929577464788726</v>
      </c>
      <c r="AT13" s="48">
        <f t="shared" si="27"/>
        <v>0.21818181818181825</v>
      </c>
      <c r="AU13" s="48">
        <f t="shared" si="28"/>
        <v>0.1386917497691682</v>
      </c>
      <c r="AV13" s="48">
        <f t="shared" si="29"/>
        <v>-0.26731347210802281</v>
      </c>
      <c r="AW13" s="48">
        <f t="shared" si="29"/>
        <v>1.6110253682330988E-3</v>
      </c>
      <c r="AX13" s="48">
        <f t="shared" si="30"/>
        <v>1.7092315455650597E-2</v>
      </c>
      <c r="AY13" s="49">
        <f t="shared" si="31"/>
        <v>1.0589495533008808E-4</v>
      </c>
    </row>
    <row r="14" spans="5:51" x14ac:dyDescent="0.3">
      <c r="F14" s="39" t="s">
        <v>37</v>
      </c>
      <c r="G14" s="39"/>
      <c r="H14" s="52">
        <v>0</v>
      </c>
      <c r="I14" s="52">
        <v>0</v>
      </c>
      <c r="J14" s="39">
        <v>2298</v>
      </c>
      <c r="K14" s="72">
        <v>1228</v>
      </c>
      <c r="L14" s="71">
        <v>2517</v>
      </c>
      <c r="M14" s="41">
        <f>'Qauterly Data.'!AA50</f>
        <v>2345.5273519587336</v>
      </c>
      <c r="N14" s="41">
        <f>$L$14/$L$3*N3</f>
        <v>2683.1219999999998</v>
      </c>
      <c r="O14" s="41">
        <f t="shared" ref="O14:Q14" si="43">$L$14/$L$3*O3</f>
        <v>2687.4445776080643</v>
      </c>
      <c r="P14" s="41">
        <f t="shared" si="43"/>
        <v>2694.0860519999997</v>
      </c>
      <c r="Q14" s="41">
        <f t="shared" si="43"/>
        <v>2694.3713421221323</v>
      </c>
      <c r="R14" s="43">
        <f t="shared" si="23"/>
        <v>0.64601299671432177</v>
      </c>
      <c r="S14" s="138"/>
      <c r="T14" s="45">
        <v>0</v>
      </c>
      <c r="U14" s="45">
        <v>0</v>
      </c>
      <c r="V14" s="45">
        <f t="shared" si="38"/>
        <v>0.53437771975630988</v>
      </c>
      <c r="W14" s="45">
        <f t="shared" si="39"/>
        <v>2.0496742671009773</v>
      </c>
      <c r="X14" s="41"/>
      <c r="Y14" s="46"/>
      <c r="Z14" s="19">
        <f t="shared" si="2"/>
        <v>0</v>
      </c>
      <c r="AA14" s="19">
        <f t="shared" si="3"/>
        <v>0</v>
      </c>
      <c r="AB14" s="47">
        <f t="shared" si="4"/>
        <v>4.1792456261593864</v>
      </c>
      <c r="AC14" s="47">
        <f t="shared" si="34"/>
        <v>2.3743691873392758</v>
      </c>
      <c r="AD14" s="47">
        <f t="shared" si="10"/>
        <v>3.0979224103977945</v>
      </c>
      <c r="AE14" s="47">
        <f t="shared" si="5"/>
        <v>3.0979224103977945</v>
      </c>
      <c r="AF14" s="47">
        <f t="shared" si="6"/>
        <v>3.0979224103977945</v>
      </c>
      <c r="AG14" s="47">
        <f t="shared" si="24"/>
        <v>3.0979224103977945</v>
      </c>
      <c r="AH14" s="47">
        <f t="shared" si="25"/>
        <v>3.0979224103977945</v>
      </c>
      <c r="AI14" s="47">
        <f t="shared" si="21"/>
        <v>3.097922410397794</v>
      </c>
      <c r="AP14" s="3"/>
      <c r="AQ14" s="48"/>
      <c r="AR14" s="48"/>
      <c r="AS14" s="48">
        <f t="shared" si="26"/>
        <v>-0.46562228024369012</v>
      </c>
      <c r="AT14" s="48">
        <f t="shared" si="27"/>
        <v>1.0496742671009773</v>
      </c>
      <c r="AU14" s="48">
        <f t="shared" si="28"/>
        <v>-6.8125803750999747E-2</v>
      </c>
      <c r="AV14" s="48">
        <f t="shared" si="29"/>
        <v>0.14393123480710779</v>
      </c>
      <c r="AW14" s="48">
        <f t="shared" si="29"/>
        <v>1.6110253682330988E-3</v>
      </c>
      <c r="AX14" s="48">
        <f t="shared" si="30"/>
        <v>2.4712972491685026E-3</v>
      </c>
      <c r="AY14" s="49">
        <f t="shared" si="31"/>
        <v>1.0589495533031013E-4</v>
      </c>
    </row>
    <row r="15" spans="5:51" ht="14.5" x14ac:dyDescent="0.35">
      <c r="F15" s="39" t="s">
        <v>1</v>
      </c>
      <c r="G15" s="73" t="str">
        <f>NOTES!C60</f>
        <v>NOTE NO. 3 COST OF SALES ON PROJECTS</v>
      </c>
      <c r="H15" s="40">
        <f>NOTES!E81</f>
        <v>35131</v>
      </c>
      <c r="I15" s="52">
        <f>NOTES!F81</f>
        <v>28284</v>
      </c>
      <c r="J15" s="39"/>
      <c r="K15" s="39"/>
      <c r="L15" s="64">
        <f>NOTES!I81</f>
        <v>0</v>
      </c>
      <c r="M15" s="65">
        <v>0</v>
      </c>
      <c r="N15" s="65">
        <v>0</v>
      </c>
      <c r="O15" s="65">
        <v>0</v>
      </c>
      <c r="P15" s="65">
        <v>0</v>
      </c>
      <c r="Q15" s="66">
        <v>0</v>
      </c>
      <c r="R15" s="43" t="e">
        <f t="shared" si="23"/>
        <v>#DIV/0!</v>
      </c>
      <c r="S15" s="68"/>
      <c r="T15" s="45">
        <f>I15/H15</f>
        <v>0.80510090802994505</v>
      </c>
      <c r="U15" s="45">
        <f>J15/I15</f>
        <v>0</v>
      </c>
      <c r="V15" s="45" t="e">
        <f>K15/J15</f>
        <v>#DIV/0!</v>
      </c>
      <c r="W15" s="45" t="e">
        <f>L15/K15</f>
        <v>#DIV/0!</v>
      </c>
      <c r="X15" s="65"/>
      <c r="Z15" s="47">
        <f t="shared" si="2"/>
        <v>63.51654312059302</v>
      </c>
      <c r="AA15" s="47">
        <f t="shared" si="3"/>
        <v>59.239710964498897</v>
      </c>
      <c r="AB15" s="19">
        <f t="shared" si="4"/>
        <v>0</v>
      </c>
      <c r="AC15" s="19">
        <f t="shared" si="34"/>
        <v>0</v>
      </c>
      <c r="AD15" s="47">
        <f t="shared" si="10"/>
        <v>0</v>
      </c>
      <c r="AE15" s="47">
        <f t="shared" si="5"/>
        <v>0</v>
      </c>
      <c r="AF15" s="47">
        <f t="shared" si="6"/>
        <v>0</v>
      </c>
      <c r="AG15" s="47">
        <f t="shared" si="24"/>
        <v>0</v>
      </c>
      <c r="AH15" s="47">
        <f t="shared" si="25"/>
        <v>0</v>
      </c>
      <c r="AI15" s="47">
        <f t="shared" si="21"/>
        <v>0</v>
      </c>
      <c r="AP15" s="3"/>
      <c r="AQ15" s="48">
        <f t="shared" ref="AQ15:AR22" si="44">I15/H15-1</f>
        <v>-0.19489909197005495</v>
      </c>
      <c r="AR15" s="48">
        <f t="shared" si="44"/>
        <v>-1</v>
      </c>
      <c r="AS15" s="48" t="e">
        <f t="shared" si="26"/>
        <v>#DIV/0!</v>
      </c>
      <c r="AT15" s="48" t="e">
        <f t="shared" si="27"/>
        <v>#DIV/0!</v>
      </c>
      <c r="AU15" s="48"/>
      <c r="AV15" s="48"/>
      <c r="AW15" s="48"/>
      <c r="AX15" s="48"/>
      <c r="AY15" s="49"/>
    </row>
    <row r="16" spans="5:51" ht="14.5" x14ac:dyDescent="0.35">
      <c r="F16" s="39" t="s">
        <v>2</v>
      </c>
      <c r="G16" s="74" t="str">
        <f>NOTES!C209</f>
        <v>NOTE NO.10 PROPERTY AND FACILITIES OPERATING EXPENSES</v>
      </c>
      <c r="H16" s="40">
        <f>NOTES!E228</f>
        <v>4956</v>
      </c>
      <c r="I16" s="52">
        <f>NOTES!F228</f>
        <v>5257</v>
      </c>
      <c r="J16" s="39">
        <f>NOTES!G228</f>
        <v>0</v>
      </c>
      <c r="K16" s="39">
        <f>NOTES!H228</f>
        <v>0</v>
      </c>
      <c r="L16" s="64">
        <f>NOTES!I228</f>
        <v>0</v>
      </c>
      <c r="M16" s="75">
        <v>0</v>
      </c>
      <c r="N16" s="75">
        <v>0</v>
      </c>
      <c r="O16" s="75">
        <v>0</v>
      </c>
      <c r="P16" s="75">
        <v>0</v>
      </c>
      <c r="Q16" s="76">
        <v>0</v>
      </c>
      <c r="R16" s="67"/>
      <c r="S16" s="68"/>
      <c r="T16" s="65"/>
      <c r="U16" s="65"/>
      <c r="V16" s="65"/>
      <c r="W16" s="65"/>
      <c r="X16" s="65"/>
      <c r="Z16" s="47">
        <f t="shared" si="2"/>
        <v>8.9604049900560483</v>
      </c>
      <c r="AA16" s="47">
        <f t="shared" si="3"/>
        <v>11.010577023772123</v>
      </c>
      <c r="AB16" s="19">
        <f t="shared" si="4"/>
        <v>0</v>
      </c>
      <c r="AC16" s="19">
        <f t="shared" si="34"/>
        <v>0</v>
      </c>
      <c r="AD16" s="47">
        <f t="shared" si="10"/>
        <v>0</v>
      </c>
      <c r="AE16" s="47">
        <f t="shared" si="5"/>
        <v>0</v>
      </c>
      <c r="AF16" s="47">
        <f t="shared" si="6"/>
        <v>0</v>
      </c>
      <c r="AG16" s="47">
        <f t="shared" si="24"/>
        <v>0</v>
      </c>
      <c r="AH16" s="47">
        <f t="shared" si="25"/>
        <v>0</v>
      </c>
      <c r="AI16" s="47">
        <f t="shared" si="21"/>
        <v>0</v>
      </c>
      <c r="AP16" s="3"/>
      <c r="AQ16" s="48">
        <f t="shared" si="44"/>
        <v>6.073446327683607E-2</v>
      </c>
      <c r="AR16" s="48">
        <f t="shared" si="44"/>
        <v>-1</v>
      </c>
      <c r="AS16" s="48"/>
      <c r="AT16" s="48"/>
      <c r="AU16" s="48"/>
      <c r="AV16" s="48"/>
      <c r="AW16" s="48"/>
      <c r="AX16" s="48"/>
      <c r="AY16" s="49"/>
    </row>
    <row r="17" spans="4:51" ht="14.5" x14ac:dyDescent="0.35">
      <c r="F17" s="39" t="s">
        <v>3</v>
      </c>
      <c r="G17" s="51" t="str">
        <f>NOTES!C83</f>
        <v>NOTE NO. 4 EMPLOYEE BENEFITS EXPENSE</v>
      </c>
      <c r="H17" s="40">
        <f>NOTES!E89</f>
        <v>2030</v>
      </c>
      <c r="I17" s="52">
        <f>NOTES!F89</f>
        <v>2933</v>
      </c>
      <c r="J17" s="39">
        <f>NOTES!G89</f>
        <v>2958</v>
      </c>
      <c r="K17" s="72">
        <f>NOTES!H89</f>
        <v>3986</v>
      </c>
      <c r="L17" s="71">
        <f>NOTES!I89</f>
        <v>4601</v>
      </c>
      <c r="M17" s="41">
        <f>'Qauterly Data.'!AA58</f>
        <v>3812</v>
      </c>
      <c r="N17" s="41">
        <f>$L$17/$L$3*N3</f>
        <v>4904.6660000000002</v>
      </c>
      <c r="O17" s="41">
        <f t="shared" ref="O17:Q17" si="45">$L$17/$L$3*O3</f>
        <v>4912.5675413487106</v>
      </c>
      <c r="P17" s="41">
        <f t="shared" si="45"/>
        <v>4924.7079560000002</v>
      </c>
      <c r="Q17" s="41">
        <f t="shared" si="45"/>
        <v>4925.2294577290149</v>
      </c>
      <c r="R17" s="62"/>
      <c r="S17" s="44"/>
      <c r="T17" s="41"/>
      <c r="U17" s="41"/>
      <c r="V17" s="41"/>
      <c r="W17" s="41"/>
      <c r="X17" s="41"/>
      <c r="Y17" s="46"/>
      <c r="Z17" s="47">
        <f t="shared" si="2"/>
        <v>3.670222382932562</v>
      </c>
      <c r="AA17" s="47">
        <f t="shared" si="3"/>
        <v>6.1430516284427688</v>
      </c>
      <c r="AB17" s="47">
        <f t="shared" si="4"/>
        <v>5.3795511584767031</v>
      </c>
      <c r="AC17" s="47">
        <f t="shared" si="34"/>
        <v>7.7070322318683653</v>
      </c>
      <c r="AD17" s="47">
        <f t="shared" si="10"/>
        <v>5.6629086254430883</v>
      </c>
      <c r="AE17" s="47">
        <f t="shared" si="5"/>
        <v>5.6629086254430883</v>
      </c>
      <c r="AF17" s="47">
        <f t="shared" si="6"/>
        <v>5.6629086254430883</v>
      </c>
      <c r="AG17" s="47">
        <f t="shared" si="24"/>
        <v>5.6629086254430883</v>
      </c>
      <c r="AH17" s="47">
        <f t="shared" si="25"/>
        <v>5.6629086254430883</v>
      </c>
      <c r="AI17" s="47">
        <f t="shared" si="21"/>
        <v>5.6629086254430874</v>
      </c>
      <c r="AP17" s="3"/>
      <c r="AQ17" s="48">
        <f t="shared" si="44"/>
        <v>0.44482758620689644</v>
      </c>
      <c r="AR17" s="48">
        <f t="shared" si="44"/>
        <v>8.5236958745311675E-3</v>
      </c>
      <c r="AS17" s="48">
        <f t="shared" si="26"/>
        <v>0.34753211629479375</v>
      </c>
      <c r="AT17" s="48">
        <f t="shared" si="27"/>
        <v>0.15429001505268447</v>
      </c>
      <c r="AU17" s="48">
        <f t="shared" si="28"/>
        <v>-0.1714844599000217</v>
      </c>
      <c r="AV17" s="48"/>
      <c r="AW17" s="48"/>
      <c r="AX17" s="48"/>
      <c r="AY17" s="49"/>
    </row>
    <row r="18" spans="4:51" ht="14.5" x14ac:dyDescent="0.35">
      <c r="E18" s="17">
        <f>K18/'BALANCES SHEET'!G41+'BALANCES SHEET'!H49</f>
        <v>24089.153155062086</v>
      </c>
      <c r="F18" s="50" t="s">
        <v>4</v>
      </c>
      <c r="G18" s="51" t="str">
        <f>NOTES!C91</f>
        <v>NOTE NO.5 FINANCE COSTS</v>
      </c>
      <c r="H18" s="40">
        <f>NOTES!E100</f>
        <v>3462</v>
      </c>
      <c r="I18" s="52">
        <f>NOTES!F100</f>
        <v>3160</v>
      </c>
      <c r="J18" s="39">
        <f>NOTES!G100</f>
        <v>5657</v>
      </c>
      <c r="K18" s="72">
        <f>NOTES!H100</f>
        <v>7228</v>
      </c>
      <c r="L18" s="71">
        <f>NOTES!I100</f>
        <v>10233</v>
      </c>
      <c r="M18" s="41">
        <f>'Qauterly Data.'!AA62</f>
        <v>11045.07703855955</v>
      </c>
      <c r="N18" s="41">
        <f>$L$18/SUM('BALANCES SHEET'!H41+'BALANCES SHEET'!H49)*SUM('BALANCES SHEET'!J41+'BALANCES SHEET'!J49)</f>
        <v>12026.503579616061</v>
      </c>
      <c r="O18" s="41">
        <f>$L$18/('BALANCES SHEET'!$G$41+'BALANCES SHEET'!$G$49)*('BALANCES SHEET'!J41+'BALANCES SHEET'!J49)</f>
        <v>12635.972588662469</v>
      </c>
      <c r="P18" s="41">
        <f>$L$18/('BALANCES SHEET'!$G$41+'BALANCES SHEET'!$G$49)*('BALANCES SHEET'!K41+'BALANCES SHEET'!K49)</f>
        <v>12587.361108924808</v>
      </c>
      <c r="Q18" s="41">
        <f>$L$18/('BALANCES SHEET'!$G$41+'BALANCES SHEET'!$G$49)*('BALANCES SHEET'!L41+'BALANCES SHEET'!L49)</f>
        <v>14449.321906865793</v>
      </c>
      <c r="R18" s="43">
        <f>SUM(T18:W18)/4</f>
        <v>7.0233003964603455E-2</v>
      </c>
      <c r="S18" s="44"/>
      <c r="T18" s="77">
        <f>'INCOME STATEMENT'!H18/('BALANCES SHEET'!D41+'BALANCES SHEET'!D49+NOTES!E805)</f>
        <v>6.4421287681429101E-2</v>
      </c>
      <c r="U18" s="77">
        <f>'INCOME STATEMENT'!I18/('BALANCES SHEET'!E41+'BALANCES SHEET'!E49+NOTES!F805)</f>
        <v>5.5058020002090813E-2</v>
      </c>
      <c r="V18" s="77">
        <f>'INCOME STATEMENT'!J18/('BALANCES SHEET'!F41+'BALANCES SHEET'!F49+NOTES!G805)</f>
        <v>7.6286157373069916E-2</v>
      </c>
      <c r="W18" s="77">
        <f>'INCOME STATEMENT'!K18/('BALANCES SHEET'!G41+'BALANCES SHEET'!G49+NOTES!H805)</f>
        <v>8.516655080182399E-2</v>
      </c>
      <c r="X18" s="77"/>
      <c r="Y18" s="46"/>
      <c r="Z18" s="47">
        <f t="shared" si="2"/>
        <v>6.2592659555234134</v>
      </c>
      <c r="AA18" s="47">
        <f t="shared" si="3"/>
        <v>6.6184940831500683</v>
      </c>
      <c r="AB18" s="47">
        <f t="shared" si="4"/>
        <v>10.288073327756155</v>
      </c>
      <c r="AC18" s="47">
        <f t="shared" si="34"/>
        <v>13.975521568475802</v>
      </c>
      <c r="AD18" s="47">
        <f t="shared" si="10"/>
        <v>12.59477156360772</v>
      </c>
      <c r="AE18" s="47">
        <f t="shared" si="5"/>
        <v>13.885755086060897</v>
      </c>
      <c r="AF18" s="47">
        <f t="shared" si="6"/>
        <v>13.885755086060897</v>
      </c>
      <c r="AG18" s="47">
        <f t="shared" si="24"/>
        <v>14.565979512935886</v>
      </c>
      <c r="AH18" s="47">
        <f t="shared" si="25"/>
        <v>14.474173175782358</v>
      </c>
      <c r="AI18" s="47">
        <f t="shared" si="21"/>
        <v>16.613477678646678</v>
      </c>
      <c r="AP18" s="3"/>
      <c r="AQ18" s="48">
        <f t="shared" si="44"/>
        <v>-8.7232813402657428E-2</v>
      </c>
      <c r="AR18" s="48">
        <f t="shared" si="44"/>
        <v>0.79018987341772151</v>
      </c>
      <c r="AS18" s="48">
        <f t="shared" si="26"/>
        <v>0.27770903305639028</v>
      </c>
      <c r="AT18" s="48">
        <f t="shared" si="27"/>
        <v>0.41574432761483116</v>
      </c>
      <c r="AU18" s="48">
        <f t="shared" si="28"/>
        <v>7.9358647372183011E-2</v>
      </c>
      <c r="AV18" s="48">
        <f>N18/M18-1</f>
        <v>8.8856468599562088E-2</v>
      </c>
      <c r="AW18" s="48">
        <f>O18/N18-1</f>
        <v>5.0677156915282406E-2</v>
      </c>
      <c r="AX18" s="48">
        <f t="shared" si="30"/>
        <v>-3.8470706862151482E-3</v>
      </c>
      <c r="AY18" s="49">
        <f t="shared" si="31"/>
        <v>0.14792304612765905</v>
      </c>
    </row>
    <row r="19" spans="4:51" x14ac:dyDescent="0.3">
      <c r="D19" s="17" t="s">
        <v>876</v>
      </c>
      <c r="F19" s="50" t="s">
        <v>11</v>
      </c>
      <c r="G19" s="39" t="s">
        <v>8</v>
      </c>
      <c r="H19" s="40">
        <v>1274</v>
      </c>
      <c r="I19" s="52">
        <v>1637</v>
      </c>
      <c r="J19" s="39">
        <v>1547</v>
      </c>
      <c r="K19" s="72">
        <v>3229</v>
      </c>
      <c r="L19" s="71">
        <v>6667</v>
      </c>
      <c r="M19" s="41">
        <f>'Qauterly Data.'!AA66</f>
        <v>6600</v>
      </c>
      <c r="N19" s="41">
        <f>$L$19/'BALANCES SHEET'!$G$6*'BALANCES SHEET'!J6</f>
        <v>8153.320637266268</v>
      </c>
      <c r="O19" s="41">
        <f>$L$19/'BALANCES SHEET'!$G$6*'BALANCES SHEET'!K6</f>
        <v>8166.4558436482412</v>
      </c>
      <c r="P19" s="41">
        <f>$L$19/'BALANCES SHEET'!$G$6*'BALANCES SHEET'!L6</f>
        <v>8186.6375835101062</v>
      </c>
      <c r="Q19" s="41">
        <f>$L$19/'BALANCES SHEET'!$G$6*'BALANCES SHEET'!M6</f>
        <v>8187.5045071313161</v>
      </c>
      <c r="R19" s="62"/>
      <c r="S19" s="44"/>
      <c r="T19" s="41"/>
      <c r="U19" s="41"/>
      <c r="V19" s="41"/>
      <c r="W19" s="41"/>
      <c r="X19" s="41"/>
      <c r="Y19" s="46"/>
      <c r="Z19" s="47">
        <f t="shared" si="2"/>
        <v>2.3033809437714701</v>
      </c>
      <c r="AA19" s="47">
        <f t="shared" si="3"/>
        <v>3.4286312702900825</v>
      </c>
      <c r="AB19" s="47">
        <f t="shared" si="4"/>
        <v>2.8134434219619537</v>
      </c>
      <c r="AC19" s="47">
        <f t="shared" si="34"/>
        <v>6.2433535064483072</v>
      </c>
      <c r="AD19" s="47">
        <f t="shared" si="10"/>
        <v>8.2057404489956678</v>
      </c>
      <c r="AE19" s="47">
        <f t="shared" si="5"/>
        <v>9.4137928582248573</v>
      </c>
      <c r="AF19" s="47">
        <f t="shared" si="6"/>
        <v>9.4137928582248573</v>
      </c>
      <c r="AG19" s="47">
        <f t="shared" si="24"/>
        <v>9.4137928582248573</v>
      </c>
      <c r="AH19" s="47">
        <f t="shared" si="25"/>
        <v>9.4137928582248591</v>
      </c>
      <c r="AI19" s="47">
        <f t="shared" si="21"/>
        <v>9.4137928582248573</v>
      </c>
      <c r="AP19" s="3"/>
      <c r="AQ19" s="48">
        <f t="shared" si="44"/>
        <v>0.28492935635792782</v>
      </c>
      <c r="AR19" s="48">
        <f t="shared" si="44"/>
        <v>-5.4978619425778863E-2</v>
      </c>
      <c r="AS19" s="48">
        <f t="shared" si="26"/>
        <v>1.0872656755009698</v>
      </c>
      <c r="AT19" s="48">
        <f t="shared" si="27"/>
        <v>1.0647259213378755</v>
      </c>
      <c r="AU19" s="48">
        <f t="shared" si="28"/>
        <v>-1.0049497525123741E-2</v>
      </c>
      <c r="AV19" s="48"/>
      <c r="AW19" s="48"/>
      <c r="AX19" s="48"/>
      <c r="AY19" s="49"/>
    </row>
    <row r="20" spans="4:51" ht="14.5" x14ac:dyDescent="0.35">
      <c r="F20" s="39" t="s">
        <v>5</v>
      </c>
      <c r="G20" s="51" t="str">
        <f>NOTES!C103</f>
        <v>NOTE NO. 6 OTHER EXPENSES</v>
      </c>
      <c r="H20" s="40">
        <f>NOTES!E139</f>
        <v>2531</v>
      </c>
      <c r="I20" s="52">
        <f>NOTES!F139</f>
        <v>2073</v>
      </c>
      <c r="J20" s="39">
        <f>NOTES!G139</f>
        <v>3507</v>
      </c>
      <c r="K20" s="72">
        <f>NOTES!H139</f>
        <v>4596</v>
      </c>
      <c r="L20" s="71">
        <f>NOTES!I139</f>
        <v>5571</v>
      </c>
      <c r="M20" s="41">
        <f>'Qauterly Data.'!AA70</f>
        <v>5506.1105433542261</v>
      </c>
      <c r="N20" s="41">
        <f>$L$20/$L$3*N3</f>
        <v>5938.6859999999997</v>
      </c>
      <c r="O20" s="41">
        <f t="shared" ref="O20:Q20" si="46">$L$20/$L$3*O3</f>
        <v>5948.2533737999702</v>
      </c>
      <c r="P20" s="41">
        <f t="shared" si="46"/>
        <v>5962.9532759999993</v>
      </c>
      <c r="Q20" s="41">
        <f t="shared" si="46"/>
        <v>5963.5847226707983</v>
      </c>
      <c r="R20" s="62" t="e">
        <f>SUM(T20:W20/4)</f>
        <v>#VALUE!</v>
      </c>
      <c r="S20" s="78"/>
      <c r="T20" s="45">
        <f>H20/ANALYTICAL!D7</f>
        <v>4.5760260350750315E-2</v>
      </c>
      <c r="U20" s="45">
        <f>I20/ANALYTICAL!E7</f>
        <v>4.3418158969525604E-2</v>
      </c>
      <c r="V20" s="45">
        <f>J20/ANALYTICAL!F7</f>
        <v>6.3779871239951991E-2</v>
      </c>
      <c r="W20" s="45">
        <f>K20/ANALYTICAL!G7</f>
        <v>8.8864827239505798E-2</v>
      </c>
      <c r="X20" s="41"/>
      <c r="Y20" s="46"/>
      <c r="Z20" s="47">
        <f t="shared" si="2"/>
        <v>4.5760260350750315</v>
      </c>
      <c r="AA20" s="47">
        <f t="shared" si="3"/>
        <v>4.3418158969525606</v>
      </c>
      <c r="AB20" s="47">
        <f t="shared" si="4"/>
        <v>6.3779871239951991</v>
      </c>
      <c r="AC20" s="47">
        <f t="shared" si="34"/>
        <v>8.8864827239505786</v>
      </c>
      <c r="AD20" s="47">
        <f t="shared" si="10"/>
        <v>6.8567841669948795</v>
      </c>
      <c r="AE20" s="47">
        <f t="shared" si="5"/>
        <v>6.8567841669948795</v>
      </c>
      <c r="AF20" s="47">
        <f t="shared" si="6"/>
        <v>6.8567841669948795</v>
      </c>
      <c r="AG20" s="47">
        <f t="shared" si="24"/>
        <v>6.8567841669948795</v>
      </c>
      <c r="AH20" s="47">
        <f t="shared" si="25"/>
        <v>6.8567841669948795</v>
      </c>
      <c r="AI20" s="47">
        <f t="shared" si="21"/>
        <v>6.8567841669948804</v>
      </c>
      <c r="AP20" s="3"/>
      <c r="AQ20" s="48">
        <f t="shared" si="44"/>
        <v>-0.18095614381667324</v>
      </c>
      <c r="AR20" s="48">
        <f t="shared" si="44"/>
        <v>0.69175108538350227</v>
      </c>
      <c r="AS20" s="48">
        <f t="shared" si="26"/>
        <v>0.31052181351582542</v>
      </c>
      <c r="AT20" s="48">
        <f t="shared" si="27"/>
        <v>0.21214099216710181</v>
      </c>
      <c r="AU20" s="48">
        <f t="shared" si="28"/>
        <v>-1.1647721530384847E-2</v>
      </c>
      <c r="AV20" s="48"/>
      <c r="AW20" s="48"/>
      <c r="AX20" s="48"/>
      <c r="AY20" s="49"/>
    </row>
    <row r="21" spans="4:51" s="54" customFormat="1" x14ac:dyDescent="0.3">
      <c r="F21" s="55" t="s">
        <v>20</v>
      </c>
      <c r="G21" s="55"/>
      <c r="H21" s="56">
        <f t="shared" ref="H21:Q21" si="47">SUM(H6:H20)</f>
        <v>49384</v>
      </c>
      <c r="I21" s="56">
        <f t="shared" si="47"/>
        <v>43344</v>
      </c>
      <c r="J21" s="56">
        <f t="shared" si="47"/>
        <v>49420</v>
      </c>
      <c r="K21" s="56">
        <f t="shared" si="47"/>
        <v>47638</v>
      </c>
      <c r="L21" s="56">
        <f t="shared" si="47"/>
        <v>74588</v>
      </c>
      <c r="M21" s="56">
        <f t="shared" si="47"/>
        <v>75124.916646892219</v>
      </c>
      <c r="N21" s="56">
        <f t="shared" si="47"/>
        <v>84298.658216882337</v>
      </c>
      <c r="O21" s="56">
        <f t="shared" si="47"/>
        <v>81640.862071997253</v>
      </c>
      <c r="P21" s="56">
        <f t="shared" si="47"/>
        <v>81802.075361917043</v>
      </c>
      <c r="Q21" s="56">
        <f t="shared" si="47"/>
        <v>83539.097586090371</v>
      </c>
      <c r="R21" s="79"/>
      <c r="S21" s="80"/>
      <c r="T21" s="60"/>
      <c r="U21" s="60"/>
      <c r="V21" s="60"/>
      <c r="W21" s="60"/>
      <c r="X21" s="60"/>
      <c r="Y21" s="46"/>
      <c r="Z21" s="47">
        <f t="shared" si="2"/>
        <v>89.285843427951548</v>
      </c>
      <c r="AA21" s="47">
        <f t="shared" si="3"/>
        <v>90.782280867106508</v>
      </c>
      <c r="AB21" s="47">
        <f t="shared" si="4"/>
        <v>89.877423344123955</v>
      </c>
      <c r="AC21" s="47">
        <f t="shared" si="34"/>
        <v>92.109282855430308</v>
      </c>
      <c r="AD21" s="47">
        <f t="shared" si="10"/>
        <v>91.802875147695943</v>
      </c>
      <c r="AE21" s="47">
        <f t="shared" si="5"/>
        <v>97.330908716243215</v>
      </c>
      <c r="AF21" s="47">
        <f t="shared" si="6"/>
        <v>97.330908716243215</v>
      </c>
      <c r="AG21" s="47">
        <f t="shared" si="24"/>
        <v>94.110612856672248</v>
      </c>
      <c r="AH21" s="47">
        <f t="shared" si="25"/>
        <v>94.063989638565602</v>
      </c>
      <c r="AI21" s="47">
        <f t="shared" si="21"/>
        <v>96.051215550906306</v>
      </c>
      <c r="AP21" s="5"/>
      <c r="AQ21" s="48">
        <f t="shared" si="44"/>
        <v>-0.12230682002267945</v>
      </c>
      <c r="AR21" s="48">
        <f t="shared" si="44"/>
        <v>0.14018087855297168</v>
      </c>
      <c r="AS21" s="48">
        <f t="shared" si="26"/>
        <v>-3.6058276001618816E-2</v>
      </c>
      <c r="AT21" s="48">
        <f t="shared" si="27"/>
        <v>0.56572484151307778</v>
      </c>
      <c r="AU21" s="48">
        <f t="shared" si="28"/>
        <v>7.1984320117475242E-3</v>
      </c>
      <c r="AV21" s="48"/>
      <c r="AW21" s="48"/>
      <c r="AX21" s="48"/>
      <c r="AY21" s="49"/>
    </row>
    <row r="22" spans="4:51" s="54" customFormat="1" x14ac:dyDescent="0.3">
      <c r="F22" s="81" t="s">
        <v>38</v>
      </c>
      <c r="G22" s="55"/>
      <c r="H22" s="56">
        <f t="shared" ref="H22:M22" si="48">SUM(H5-H21)</f>
        <v>8757</v>
      </c>
      <c r="I22" s="56">
        <f t="shared" si="48"/>
        <v>5273</v>
      </c>
      <c r="J22" s="56">
        <f t="shared" si="48"/>
        <v>6245</v>
      </c>
      <c r="K22" s="56">
        <f t="shared" si="48"/>
        <v>5203</v>
      </c>
      <c r="L22" s="56">
        <f t="shared" si="48"/>
        <v>7845</v>
      </c>
      <c r="M22" s="56">
        <f t="shared" si="48"/>
        <v>9583.8367769187025</v>
      </c>
      <c r="N22" s="56">
        <f>N5-N21</f>
        <v>3574.9197831176716</v>
      </c>
      <c r="O22" s="56">
        <f t="shared" ref="O22:Q22" si="49">O5-O21</f>
        <v>6374.2824913581571</v>
      </c>
      <c r="P22" s="56">
        <f t="shared" si="49"/>
        <v>6430.5807860829518</v>
      </c>
      <c r="Q22" s="56">
        <f t="shared" si="49"/>
        <v>4702.9019550910889</v>
      </c>
      <c r="R22" s="62"/>
      <c r="S22" s="44"/>
      <c r="T22" s="41"/>
      <c r="U22" s="41"/>
      <c r="V22" s="41"/>
      <c r="W22" s="41"/>
      <c r="X22" s="41"/>
      <c r="Y22" s="46"/>
      <c r="Z22" s="19">
        <f t="shared" si="2"/>
        <v>15.832580003615982</v>
      </c>
      <c r="AA22" s="19">
        <f t="shared" si="3"/>
        <v>11.044088386218451</v>
      </c>
      <c r="AB22" s="19">
        <f t="shared" si="4"/>
        <v>11.357436438366129</v>
      </c>
      <c r="AC22" s="47">
        <f t="shared" si="34"/>
        <v>10.060132639842225</v>
      </c>
      <c r="AD22" s="47">
        <f t="shared" si="10"/>
        <v>9.6556222922410395</v>
      </c>
      <c r="AE22" s="47">
        <f t="shared" si="5"/>
        <v>4.127588723693763</v>
      </c>
      <c r="AF22" s="47">
        <f t="shared" si="6"/>
        <v>4.127588723693763</v>
      </c>
      <c r="AG22" s="47">
        <f t="shared" si="24"/>
        <v>7.3478845832647419</v>
      </c>
      <c r="AH22" s="47">
        <f t="shared" si="25"/>
        <v>7.3945078013713879</v>
      </c>
      <c r="AI22" s="47">
        <f t="shared" si="21"/>
        <v>5.4072818890306777</v>
      </c>
      <c r="AP22" s="5"/>
      <c r="AQ22" s="48">
        <f t="shared" si="44"/>
        <v>-0.39785314605458488</v>
      </c>
      <c r="AR22" s="48">
        <f t="shared" si="44"/>
        <v>0.18433529300208606</v>
      </c>
      <c r="AS22" s="48">
        <f t="shared" si="26"/>
        <v>-0.16685348278622902</v>
      </c>
      <c r="AT22" s="48">
        <f t="shared" si="27"/>
        <v>0.50778397078608495</v>
      </c>
      <c r="AU22" s="48">
        <f t="shared" si="28"/>
        <v>0.22164904740837499</v>
      </c>
      <c r="AV22" s="48"/>
      <c r="AW22" s="48"/>
      <c r="AX22" s="48"/>
      <c r="AY22" s="49"/>
    </row>
    <row r="23" spans="4:51" s="54" customFormat="1" x14ac:dyDescent="0.3">
      <c r="F23" s="39" t="s">
        <v>39</v>
      </c>
      <c r="G23" s="55"/>
      <c r="H23" s="56"/>
      <c r="I23" s="57"/>
      <c r="J23" s="55"/>
      <c r="K23" s="72">
        <v>894</v>
      </c>
      <c r="L23" s="71">
        <v>380</v>
      </c>
      <c r="M23" s="41"/>
      <c r="N23" s="41"/>
      <c r="O23" s="41"/>
      <c r="P23" s="41"/>
      <c r="Q23" s="42"/>
      <c r="R23" s="62"/>
      <c r="S23" s="44"/>
      <c r="T23" s="41"/>
      <c r="U23" s="41"/>
      <c r="V23" s="41"/>
      <c r="W23" s="41"/>
      <c r="X23" s="41"/>
      <c r="Y23" s="46"/>
      <c r="Z23" s="19">
        <f t="shared" si="2"/>
        <v>0</v>
      </c>
      <c r="AA23" s="19">
        <f t="shared" si="3"/>
        <v>0</v>
      </c>
      <c r="AB23" s="19">
        <f t="shared" si="4"/>
        <v>0</v>
      </c>
      <c r="AC23" s="47">
        <f t="shared" si="34"/>
        <v>1.7285717047893423</v>
      </c>
      <c r="AD23" s="47">
        <f t="shared" si="10"/>
        <v>0.46770382040173297</v>
      </c>
      <c r="AE23" s="47">
        <f t="shared" si="5"/>
        <v>0</v>
      </c>
      <c r="AF23" s="47">
        <f t="shared" si="6"/>
        <v>0</v>
      </c>
      <c r="AG23" s="47">
        <f t="shared" si="24"/>
        <v>0</v>
      </c>
      <c r="AH23" s="47">
        <f t="shared" si="25"/>
        <v>0</v>
      </c>
      <c r="AI23" s="47">
        <f t="shared" si="21"/>
        <v>0</v>
      </c>
      <c r="AP23" s="5"/>
      <c r="AQ23" s="48"/>
      <c r="AR23" s="48"/>
      <c r="AS23" s="48"/>
      <c r="AT23" s="48">
        <f t="shared" si="27"/>
        <v>-0.57494407158836691</v>
      </c>
      <c r="AU23" s="48">
        <f t="shared" si="28"/>
        <v>-1</v>
      </c>
      <c r="AV23" s="48"/>
      <c r="AW23" s="48"/>
      <c r="AX23" s="48"/>
      <c r="AY23" s="49"/>
    </row>
    <row r="24" spans="4:51" ht="28" x14ac:dyDescent="0.3">
      <c r="F24" s="82" t="s">
        <v>859</v>
      </c>
      <c r="G24" s="39"/>
      <c r="H24" s="56">
        <f t="shared" ref="H24:Q24" si="50">SUM(H22:H23)</f>
        <v>8757</v>
      </c>
      <c r="I24" s="56">
        <f t="shared" si="50"/>
        <v>5273</v>
      </c>
      <c r="J24" s="58">
        <f t="shared" si="50"/>
        <v>6245</v>
      </c>
      <c r="K24" s="58">
        <f t="shared" si="50"/>
        <v>6097</v>
      </c>
      <c r="L24" s="59">
        <f t="shared" si="50"/>
        <v>8225</v>
      </c>
      <c r="M24" s="59">
        <f t="shared" si="50"/>
        <v>9583.8367769187025</v>
      </c>
      <c r="N24" s="59">
        <f t="shared" si="50"/>
        <v>3574.9197831176716</v>
      </c>
      <c r="O24" s="59">
        <f t="shared" si="50"/>
        <v>6374.2824913581571</v>
      </c>
      <c r="P24" s="59">
        <f t="shared" si="50"/>
        <v>6430.5807860829518</v>
      </c>
      <c r="Q24" s="59">
        <f t="shared" si="50"/>
        <v>4702.9019550910889</v>
      </c>
      <c r="R24" s="84"/>
      <c r="S24" s="85"/>
      <c r="T24" s="83"/>
      <c r="U24" s="83"/>
      <c r="V24" s="83"/>
      <c r="W24" s="83"/>
      <c r="X24" s="83"/>
      <c r="Y24" s="46"/>
      <c r="Z24" s="47">
        <f t="shared" si="2"/>
        <v>15.832580003615982</v>
      </c>
      <c r="AA24" s="47">
        <f t="shared" si="3"/>
        <v>11.044088386218451</v>
      </c>
      <c r="AB24" s="47">
        <f t="shared" si="4"/>
        <v>11.357436438366129</v>
      </c>
      <c r="AC24" s="47">
        <f t="shared" si="34"/>
        <v>11.788704344631567</v>
      </c>
      <c r="AD24" s="47">
        <f t="shared" si="10"/>
        <v>10.123326112642772</v>
      </c>
      <c r="AE24" s="47">
        <f t="shared" si="5"/>
        <v>4.127588723693763</v>
      </c>
      <c r="AF24" s="47">
        <f t="shared" si="6"/>
        <v>4.127588723693763</v>
      </c>
      <c r="AG24" s="47">
        <f t="shared" si="24"/>
        <v>7.3478845832647419</v>
      </c>
      <c r="AH24" s="47">
        <f t="shared" si="25"/>
        <v>7.3945078013713879</v>
      </c>
      <c r="AI24" s="47">
        <f t="shared" si="21"/>
        <v>5.4072818890306777</v>
      </c>
      <c r="AP24" s="3"/>
      <c r="AQ24" s="48">
        <f t="shared" ref="AQ24:AR31" si="51">I24/H24-1</f>
        <v>-0.39785314605458488</v>
      </c>
      <c r="AR24" s="48">
        <f t="shared" si="51"/>
        <v>0.18433529300208606</v>
      </c>
      <c r="AS24" s="48">
        <f t="shared" si="26"/>
        <v>-2.3698959167333888E-2</v>
      </c>
      <c r="AT24" s="48">
        <f t="shared" si="27"/>
        <v>0.34902411021814017</v>
      </c>
      <c r="AU24" s="48">
        <f t="shared" si="28"/>
        <v>0.16520811877431041</v>
      </c>
      <c r="AV24" s="48"/>
      <c r="AW24" s="48"/>
      <c r="AX24" s="48"/>
      <c r="AY24" s="49"/>
    </row>
    <row r="25" spans="4:51" ht="29.5" customHeight="1" x14ac:dyDescent="0.35">
      <c r="F25" s="910" t="s">
        <v>865</v>
      </c>
      <c r="G25" s="39"/>
      <c r="H25" s="40">
        <v>67</v>
      </c>
      <c r="I25" s="52">
        <v>121</v>
      </c>
      <c r="J25" s="39">
        <v>136</v>
      </c>
      <c r="K25" s="72">
        <v>307</v>
      </c>
      <c r="L25" s="86">
        <v>44</v>
      </c>
      <c r="M25" s="87">
        <f>AVERAGE($H$25:$L$25)</f>
        <v>135</v>
      </c>
      <c r="N25" s="87">
        <f t="shared" ref="N25:Q25" si="52">AVERAGE($H$25:$L$25)</f>
        <v>135</v>
      </c>
      <c r="O25" s="87">
        <f t="shared" si="52"/>
        <v>135</v>
      </c>
      <c r="P25" s="87">
        <f t="shared" si="52"/>
        <v>135</v>
      </c>
      <c r="Q25" s="87">
        <f t="shared" si="52"/>
        <v>135</v>
      </c>
      <c r="R25" s="754"/>
      <c r="S25" s="88">
        <f>H25/H3</f>
        <v>1.2113541854999097E-3</v>
      </c>
      <c r="T25" s="88">
        <f>I25/I3</f>
        <v>2.5342967850036655E-3</v>
      </c>
      <c r="U25" s="88">
        <f>J25/J3</f>
        <v>2.4733568544720473E-3</v>
      </c>
      <c r="V25" s="88">
        <f>K25/K3</f>
        <v>5.9359229683481896E-3</v>
      </c>
      <c r="W25" s="88">
        <f>L25/L3</f>
        <v>5.4155179204411186E-4</v>
      </c>
      <c r="X25" s="41"/>
      <c r="Y25"/>
      <c r="Z25" s="47">
        <f t="shared" si="2"/>
        <v>0.12113541854999096</v>
      </c>
      <c r="AA25" s="47">
        <f t="shared" si="3"/>
        <v>0.25342967850036652</v>
      </c>
      <c r="AB25" s="47">
        <f t="shared" si="4"/>
        <v>0.24733568544720475</v>
      </c>
      <c r="AC25" s="47">
        <f t="shared" si="34"/>
        <v>0.59359229683481896</v>
      </c>
      <c r="AD25" s="47">
        <f t="shared" si="10"/>
        <v>5.4155179204411187E-2</v>
      </c>
      <c r="AE25" s="47">
        <f t="shared" si="5"/>
        <v>0.15587048423579034</v>
      </c>
      <c r="AF25" s="47">
        <f t="shared" si="6"/>
        <v>0.15587048423579034</v>
      </c>
      <c r="AG25" s="47">
        <f t="shared" si="24"/>
        <v>0.15561977682752243</v>
      </c>
      <c r="AH25" s="47">
        <f t="shared" si="25"/>
        <v>0.1552361421763904</v>
      </c>
      <c r="AI25" s="47">
        <f t="shared" si="21"/>
        <v>0.15521970519264264</v>
      </c>
      <c r="AP25" s="3"/>
      <c r="AQ25" s="48">
        <f t="shared" si="51"/>
        <v>0.80597014925373145</v>
      </c>
      <c r="AR25" s="48">
        <f t="shared" si="51"/>
        <v>0.12396694214876036</v>
      </c>
      <c r="AS25" s="48">
        <f t="shared" si="26"/>
        <v>1.2573529411764706</v>
      </c>
      <c r="AT25" s="48">
        <f t="shared" si="27"/>
        <v>-0.85667752442996736</v>
      </c>
      <c r="AU25" s="48">
        <f t="shared" si="28"/>
        <v>2.0681818181818183</v>
      </c>
      <c r="AV25" s="48">
        <f>N25/M25-1</f>
        <v>0</v>
      </c>
      <c r="AW25" s="48">
        <f>O25/N25-1</f>
        <v>0</v>
      </c>
      <c r="AX25" s="48">
        <f t="shared" si="30"/>
        <v>0</v>
      </c>
      <c r="AY25" s="49">
        <f t="shared" si="31"/>
        <v>0</v>
      </c>
    </row>
    <row r="26" spans="4:51" ht="14.5" x14ac:dyDescent="0.35">
      <c r="F26" s="90" t="s">
        <v>860</v>
      </c>
      <c r="G26" s="39"/>
      <c r="H26" s="56">
        <f t="shared" ref="H26:Q26" si="53">SUM(H24:H25)</f>
        <v>8824</v>
      </c>
      <c r="I26" s="56">
        <f t="shared" si="53"/>
        <v>5394</v>
      </c>
      <c r="J26" s="58">
        <f t="shared" si="53"/>
        <v>6381</v>
      </c>
      <c r="K26" s="58">
        <f t="shared" si="53"/>
        <v>6404</v>
      </c>
      <c r="L26" s="89">
        <f t="shared" si="53"/>
        <v>8269</v>
      </c>
      <c r="M26" s="89">
        <f t="shared" si="53"/>
        <v>9718.8367769187025</v>
      </c>
      <c r="N26" s="89">
        <f t="shared" si="53"/>
        <v>3709.9197831176716</v>
      </c>
      <c r="O26" s="89">
        <f t="shared" si="53"/>
        <v>6509.2824913581571</v>
      </c>
      <c r="P26" s="89">
        <f t="shared" si="53"/>
        <v>6565.5807860829518</v>
      </c>
      <c r="Q26" s="89">
        <f t="shared" si="53"/>
        <v>4837.9019550910889</v>
      </c>
      <c r="R26" s="62"/>
      <c r="S26" s="44"/>
      <c r="T26" s="41"/>
      <c r="U26" s="41"/>
      <c r="V26" s="41"/>
      <c r="W26" s="41"/>
      <c r="X26" s="41"/>
      <c r="Y26"/>
      <c r="Z26" s="47">
        <f t="shared" si="2"/>
        <v>15.953715422165974</v>
      </c>
      <c r="AA26" s="47">
        <f t="shared" si="3"/>
        <v>11.297518064718819</v>
      </c>
      <c r="AB26" s="47">
        <f t="shared" si="4"/>
        <v>11.604772123813333</v>
      </c>
      <c r="AC26" s="47">
        <f t="shared" si="34"/>
        <v>12.382296641466386</v>
      </c>
      <c r="AD26" s="47">
        <f t="shared" si="10"/>
        <v>10.177481291847183</v>
      </c>
      <c r="AE26" s="47">
        <f t="shared" si="5"/>
        <v>4.2834592079295533</v>
      </c>
      <c r="AF26" s="47">
        <f t="shared" si="6"/>
        <v>4.2834592079295533</v>
      </c>
      <c r="AG26" s="47">
        <f t="shared" si="24"/>
        <v>7.5035043600922648</v>
      </c>
      <c r="AH26" s="47">
        <f t="shared" si="25"/>
        <v>7.549743943547778</v>
      </c>
      <c r="AI26" s="47">
        <f t="shared" si="21"/>
        <v>5.5625015942233205</v>
      </c>
      <c r="AP26" s="3"/>
      <c r="AQ26" s="48">
        <f t="shared" si="51"/>
        <v>-0.38871260199456026</v>
      </c>
      <c r="AR26" s="48">
        <f t="shared" si="51"/>
        <v>0.18298109010011121</v>
      </c>
      <c r="AS26" s="48">
        <f t="shared" si="26"/>
        <v>3.6044507130543746E-3</v>
      </c>
      <c r="AT26" s="48">
        <f t="shared" si="27"/>
        <v>0.2912242348532168</v>
      </c>
      <c r="AU26" s="48">
        <f t="shared" si="28"/>
        <v>0.17533399164574948</v>
      </c>
      <c r="AV26" s="48"/>
      <c r="AW26" s="48"/>
      <c r="AX26" s="48"/>
      <c r="AY26" s="49"/>
    </row>
    <row r="27" spans="4:51" ht="14.5" x14ac:dyDescent="0.35">
      <c r="F27" s="90" t="s">
        <v>6</v>
      </c>
      <c r="G27" s="51" t="str">
        <f>NOTES!C150</f>
        <v>NOTE NO. 7 TAX EXPENSES</v>
      </c>
      <c r="H27" s="64">
        <f>NOTES!E183</f>
        <v>2291</v>
      </c>
      <c r="I27" s="64">
        <f>NOTES!F183</f>
        <v>1660</v>
      </c>
      <c r="J27" s="39">
        <f>NOTES!G183</f>
        <v>2135</v>
      </c>
      <c r="K27" s="39">
        <f>NOTES!H183</f>
        <v>1985</v>
      </c>
      <c r="L27" s="64">
        <f>NOTES!I183</f>
        <v>2782.8150000000001</v>
      </c>
      <c r="M27" s="781">
        <f>M26*34.94%</f>
        <v>3395.7615698553946</v>
      </c>
      <c r="N27" s="781">
        <f>N26*34.94%</f>
        <v>1296.2459722213143</v>
      </c>
      <c r="O27" s="781">
        <f t="shared" ref="O27:Q27" si="54">O26*34.94%</f>
        <v>2274.3433024805399</v>
      </c>
      <c r="P27" s="781">
        <f t="shared" si="54"/>
        <v>2294.0139266573833</v>
      </c>
      <c r="Q27" s="781">
        <f t="shared" si="54"/>
        <v>1690.3629431088264</v>
      </c>
      <c r="R27" s="67"/>
      <c r="S27" s="68"/>
      <c r="T27" s="65"/>
      <c r="U27" s="65"/>
      <c r="V27" s="65"/>
      <c r="W27" s="65"/>
      <c r="X27" s="65"/>
      <c r="Z27" s="19">
        <f t="shared" si="2"/>
        <v>4.1421081178810342</v>
      </c>
      <c r="AA27" s="19">
        <f t="shared" si="3"/>
        <v>3.4768038538066812</v>
      </c>
      <c r="AB27" s="19">
        <f t="shared" si="4"/>
        <v>3.8828065325719274</v>
      </c>
      <c r="AC27" s="19">
        <f t="shared" si="34"/>
        <v>3.8380479127593339</v>
      </c>
      <c r="AD27" s="47">
        <f t="shared" si="10"/>
        <v>3.4250873867664433</v>
      </c>
      <c r="AE27" s="47">
        <f t="shared" si="5"/>
        <v>1.4966406472505858</v>
      </c>
      <c r="AF27" s="47">
        <f t="shared" si="6"/>
        <v>1.4966406472505858</v>
      </c>
      <c r="AG27" s="47">
        <f t="shared" si="24"/>
        <v>2.6217244234162371</v>
      </c>
      <c r="AH27" s="47">
        <f t="shared" si="25"/>
        <v>2.6378805338755935</v>
      </c>
      <c r="AI27" s="47">
        <f t="shared" si="21"/>
        <v>1.9435380570216279</v>
      </c>
      <c r="AP27" s="3"/>
      <c r="AQ27" s="48">
        <f t="shared" si="51"/>
        <v>-0.27542557835006543</v>
      </c>
      <c r="AR27" s="48">
        <f t="shared" si="51"/>
        <v>0.28614457831325302</v>
      </c>
      <c r="AS27" s="48">
        <f t="shared" si="26"/>
        <v>-7.0257611241217766E-2</v>
      </c>
      <c r="AT27" s="48">
        <f t="shared" si="27"/>
        <v>0.40192191435768265</v>
      </c>
      <c r="AU27" s="48">
        <f t="shared" si="28"/>
        <v>0.22026134322813218</v>
      </c>
      <c r="AV27" s="48"/>
      <c r="AW27" s="48"/>
      <c r="AX27" s="48"/>
      <c r="AY27" s="49"/>
    </row>
    <row r="28" spans="4:51" x14ac:dyDescent="0.3">
      <c r="F28" s="39" t="s">
        <v>12</v>
      </c>
      <c r="G28" s="39"/>
      <c r="H28" s="52">
        <v>2130</v>
      </c>
      <c r="I28" s="52">
        <v>2266</v>
      </c>
      <c r="J28" s="39">
        <v>2188</v>
      </c>
      <c r="K28" s="72">
        <v>1714</v>
      </c>
      <c r="L28" s="71">
        <v>1680</v>
      </c>
      <c r="M28" s="41">
        <f>$L$28/ANALYTICAL!$H$13*ANALYTICAL!I13</f>
        <v>1917.6120503813429</v>
      </c>
      <c r="N28" s="41">
        <f>$L$28/ANALYTICAL!$H$13*ANALYTICAL!J13</f>
        <v>1425.9278073398846</v>
      </c>
      <c r="O28" s="41">
        <f>$L$28/ANALYTICAL!$H$13*ANALYTICAL!K13</f>
        <v>1764.7319498015506</v>
      </c>
      <c r="P28" s="41">
        <f>$L$28/ANALYTICAL!$H$13*ANALYTICAL!L13</f>
        <v>1765.1854412367875</v>
      </c>
      <c r="Q28" s="41">
        <f>$L$28/ANALYTICAL!$H$13*ANALYTICAL!M13</f>
        <v>1778.5263550265029</v>
      </c>
      <c r="R28" s="62"/>
      <c r="S28" s="44"/>
      <c r="T28" s="41"/>
      <c r="U28" s="41"/>
      <c r="V28" s="41"/>
      <c r="W28" s="41"/>
      <c r="X28" s="41"/>
      <c r="Y28" s="46"/>
      <c r="Z28" s="47">
        <f t="shared" si="2"/>
        <v>3.8510215150967277</v>
      </c>
      <c r="AA28" s="47">
        <f t="shared" si="3"/>
        <v>4.7460467064614091</v>
      </c>
      <c r="AB28" s="47">
        <f t="shared" si="4"/>
        <v>3.9791947041064999</v>
      </c>
      <c r="AC28" s="47">
        <f t="shared" si="34"/>
        <v>3.3140625302113342</v>
      </c>
      <c r="AD28" s="47">
        <f t="shared" si="10"/>
        <v>2.0677432059866088</v>
      </c>
      <c r="AE28" s="47">
        <f t="shared" si="5"/>
        <v>1.6463707986321965</v>
      </c>
      <c r="AF28" s="47">
        <f t="shared" si="6"/>
        <v>1.6463707986321965</v>
      </c>
      <c r="AG28" s="47">
        <f t="shared" si="24"/>
        <v>2.0342754976927098</v>
      </c>
      <c r="AH28" s="47">
        <f t="shared" si="25"/>
        <v>2.0297820601742842</v>
      </c>
      <c r="AI28" s="47">
        <f t="shared" si="21"/>
        <v>2.044906196330067</v>
      </c>
      <c r="AP28" s="3"/>
      <c r="AQ28" s="48">
        <f t="shared" si="51"/>
        <v>6.3849765258215951E-2</v>
      </c>
      <c r="AR28" s="48">
        <f t="shared" si="51"/>
        <v>-3.4421888790820865E-2</v>
      </c>
      <c r="AS28" s="48">
        <f t="shared" si="26"/>
        <v>-0.21663619744058504</v>
      </c>
      <c r="AT28" s="48">
        <f t="shared" si="27"/>
        <v>-1.9836639439906656E-2</v>
      </c>
      <c r="AU28" s="48">
        <f t="shared" si="28"/>
        <v>0.14143574427460881</v>
      </c>
      <c r="AV28" s="48"/>
      <c r="AW28" s="48"/>
      <c r="AX28" s="48"/>
      <c r="AY28" s="49"/>
    </row>
    <row r="29" spans="4:51" x14ac:dyDescent="0.3">
      <c r="F29" s="39" t="s">
        <v>962</v>
      </c>
      <c r="G29" s="39"/>
      <c r="H29" s="52">
        <v>161</v>
      </c>
      <c r="I29" s="91">
        <v>-606</v>
      </c>
      <c r="J29" s="92">
        <v>-53</v>
      </c>
      <c r="K29" s="72">
        <v>271</v>
      </c>
      <c r="L29" s="71">
        <v>1103</v>
      </c>
      <c r="M29" s="41">
        <f>$L$29/ANALYTICAL!$H$13*ANALYTICAL!I13</f>
        <v>1259.0036259348935</v>
      </c>
      <c r="N29" s="41">
        <f>$L$29/ANALYTICAL!$H$13*ANALYTICAL!J13</f>
        <v>936.18950684279321</v>
      </c>
      <c r="O29" s="41">
        <f>$L$29/ANALYTICAL!$H$13*ANALYTICAL!K13</f>
        <v>1158.6305598994704</v>
      </c>
      <c r="P29" s="41">
        <f>$L$29/ANALYTICAL!$H$13*ANALYTICAL!L13</f>
        <v>1158.9282986215337</v>
      </c>
      <c r="Q29" s="41">
        <f>$L$29/ANALYTICAL!$H$13*ANALYTICAL!M13</f>
        <v>1167.6872438060909</v>
      </c>
      <c r="R29" s="62"/>
      <c r="S29" s="44"/>
      <c r="T29" s="41"/>
      <c r="U29" s="41"/>
      <c r="V29" s="41"/>
      <c r="W29" s="41"/>
      <c r="X29" s="41"/>
      <c r="Y29" s="46"/>
      <c r="Z29" s="47">
        <f t="shared" si="2"/>
        <v>0.29108660278430665</v>
      </c>
      <c r="AA29" s="93">
        <f t="shared" si="3"/>
        <v>-1.2692428526547281</v>
      </c>
      <c r="AB29" s="47">
        <f t="shared" si="4"/>
        <v>-9.6388171534572437E-2</v>
      </c>
      <c r="AC29" s="47">
        <f t="shared" si="34"/>
        <v>0.52398538254799976</v>
      </c>
      <c r="AD29" s="47">
        <f t="shared" si="10"/>
        <v>1.3575718786923985</v>
      </c>
      <c r="AE29" s="47">
        <f t="shared" si="5"/>
        <v>1.0809208279114957</v>
      </c>
      <c r="AF29" s="47">
        <f t="shared" si="6"/>
        <v>1.0809208279114957</v>
      </c>
      <c r="AG29" s="47">
        <f t="shared" si="24"/>
        <v>1.3355987344970588</v>
      </c>
      <c r="AH29" s="47">
        <f t="shared" si="25"/>
        <v>1.3326485787929974</v>
      </c>
      <c r="AI29" s="47">
        <f t="shared" si="21"/>
        <v>1.3425782943762286</v>
      </c>
      <c r="AP29" s="3"/>
      <c r="AQ29" s="48">
        <f t="shared" si="51"/>
        <v>-4.7639751552795033</v>
      </c>
      <c r="AR29" s="48">
        <f t="shared" si="51"/>
        <v>-0.91254125412541254</v>
      </c>
      <c r="AS29" s="48">
        <f t="shared" si="26"/>
        <v>-6.1132075471698117</v>
      </c>
      <c r="AT29" s="48">
        <f t="shared" si="27"/>
        <v>3.0701107011070112</v>
      </c>
      <c r="AU29" s="48">
        <f t="shared" si="28"/>
        <v>0.14143574427460881</v>
      </c>
      <c r="AV29" s="48"/>
      <c r="AW29" s="48"/>
      <c r="AX29" s="48"/>
      <c r="AY29" s="49"/>
    </row>
    <row r="30" spans="4:51" s="54" customFormat="1" x14ac:dyDescent="0.3">
      <c r="F30" s="55" t="s">
        <v>861</v>
      </c>
      <c r="G30" s="55"/>
      <c r="H30" s="56">
        <f t="shared" ref="H30:Q30" si="55">SUM(H27:H29)</f>
        <v>4582</v>
      </c>
      <c r="I30" s="56">
        <f t="shared" si="55"/>
        <v>3320</v>
      </c>
      <c r="J30" s="56">
        <f t="shared" si="55"/>
        <v>4270</v>
      </c>
      <c r="K30" s="56">
        <f t="shared" si="55"/>
        <v>3970</v>
      </c>
      <c r="L30" s="56">
        <f t="shared" si="55"/>
        <v>5565.8150000000005</v>
      </c>
      <c r="M30" s="56">
        <f t="shared" si="55"/>
        <v>6572.3772461716308</v>
      </c>
      <c r="N30" s="56">
        <f t="shared" si="55"/>
        <v>3658.3632864039919</v>
      </c>
      <c r="O30" s="56">
        <f t="shared" si="55"/>
        <v>5197.7058121815608</v>
      </c>
      <c r="P30" s="56">
        <f t="shared" si="55"/>
        <v>5218.1276665157047</v>
      </c>
      <c r="Q30" s="56">
        <f t="shared" si="55"/>
        <v>4636.5765419414201</v>
      </c>
      <c r="R30" s="79"/>
      <c r="S30" s="80"/>
      <c r="T30" s="60"/>
      <c r="U30" s="60"/>
      <c r="V30" s="60"/>
      <c r="W30" s="60"/>
      <c r="X30" s="60"/>
      <c r="Y30" s="46"/>
      <c r="Z30" s="47">
        <f t="shared" si="2"/>
        <v>8.2842162357620683</v>
      </c>
      <c r="AA30" s="47">
        <f t="shared" si="3"/>
        <v>6.9536077076133624</v>
      </c>
      <c r="AB30" s="47">
        <f t="shared" si="4"/>
        <v>7.7656130651438549</v>
      </c>
      <c r="AC30" s="47">
        <f t="shared" si="34"/>
        <v>7.6760958255186678</v>
      </c>
      <c r="AD30" s="47">
        <f t="shared" si="10"/>
        <v>6.8504024714454506</v>
      </c>
      <c r="AE30" s="47">
        <f t="shared" si="5"/>
        <v>4.2239322737942784</v>
      </c>
      <c r="AF30" s="47">
        <f t="shared" si="6"/>
        <v>4.2239322737942784</v>
      </c>
      <c r="AG30" s="47">
        <f t="shared" si="24"/>
        <v>5.9915986556060057</v>
      </c>
      <c r="AH30" s="47">
        <f t="shared" si="25"/>
        <v>6.0003111728428751</v>
      </c>
      <c r="AI30" s="47">
        <f t="shared" si="21"/>
        <v>5.3310225477279234</v>
      </c>
      <c r="AP30" s="5"/>
      <c r="AQ30" s="48">
        <f t="shared" si="51"/>
        <v>-0.27542557835006543</v>
      </c>
      <c r="AR30" s="48">
        <f t="shared" si="51"/>
        <v>0.28614457831325302</v>
      </c>
      <c r="AS30" s="48">
        <f t="shared" si="26"/>
        <v>-7.0257611241217766E-2</v>
      </c>
      <c r="AT30" s="48">
        <f t="shared" si="27"/>
        <v>0.40196851385390442</v>
      </c>
      <c r="AU30" s="48">
        <f t="shared" si="28"/>
        <v>0.18084723372437472</v>
      </c>
      <c r="AV30" s="48"/>
      <c r="AW30" s="48"/>
      <c r="AX30" s="48"/>
      <c r="AY30" s="49"/>
    </row>
    <row r="31" spans="4:51" x14ac:dyDescent="0.3">
      <c r="F31" s="94" t="s">
        <v>862</v>
      </c>
      <c r="G31" s="39"/>
      <c r="H31" s="56">
        <f t="shared" ref="H31:Q31" si="56">H26-H30</f>
        <v>4242</v>
      </c>
      <c r="I31" s="56">
        <f t="shared" si="56"/>
        <v>2074</v>
      </c>
      <c r="J31" s="58">
        <f t="shared" si="56"/>
        <v>2111</v>
      </c>
      <c r="K31" s="58">
        <f t="shared" si="56"/>
        <v>2434</v>
      </c>
      <c r="L31" s="59">
        <f t="shared" si="56"/>
        <v>2703.1849999999995</v>
      </c>
      <c r="M31" s="59">
        <f t="shared" si="56"/>
        <v>3146.4595307470718</v>
      </c>
      <c r="N31" s="59">
        <f>N26-N30</f>
        <v>51.556496713679735</v>
      </c>
      <c r="O31" s="59">
        <f t="shared" si="56"/>
        <v>1311.5766791765964</v>
      </c>
      <c r="P31" s="59">
        <f t="shared" si="56"/>
        <v>1347.4531195672471</v>
      </c>
      <c r="Q31" s="59">
        <f t="shared" si="56"/>
        <v>201.32541314966875</v>
      </c>
      <c r="R31" s="62"/>
      <c r="S31" s="44"/>
      <c r="T31" s="41"/>
      <c r="U31" s="41"/>
      <c r="V31" s="41"/>
      <c r="W31" s="41"/>
      <c r="X31" s="41"/>
      <c r="Y31" s="46"/>
      <c r="Z31" s="47">
        <f t="shared" si="2"/>
        <v>7.6694991864039048</v>
      </c>
      <c r="AA31" s="47">
        <f t="shared" si="3"/>
        <v>4.3439103571054565</v>
      </c>
      <c r="AB31" s="47">
        <f t="shared" si="4"/>
        <v>3.8391590586694795</v>
      </c>
      <c r="AC31" s="47">
        <f t="shared" si="34"/>
        <v>4.7062008159477173</v>
      </c>
      <c r="AD31" s="47">
        <f t="shared" si="10"/>
        <v>3.3270788204017321</v>
      </c>
      <c r="AE31" s="47">
        <f t="shared" si="5"/>
        <v>5.9526934135275503E-2</v>
      </c>
      <c r="AF31" s="47">
        <f t="shared" si="6"/>
        <v>5.9526934135275503E-2</v>
      </c>
      <c r="AG31" s="47">
        <f t="shared" si="24"/>
        <v>1.5119057044862585</v>
      </c>
      <c r="AH31" s="47">
        <f t="shared" si="25"/>
        <v>1.5494327707049032</v>
      </c>
      <c r="AI31" s="47">
        <f t="shared" si="21"/>
        <v>0.23147904649539675</v>
      </c>
      <c r="AP31" s="3"/>
      <c r="AQ31" s="48">
        <f t="shared" si="51"/>
        <v>-0.51107967939651111</v>
      </c>
      <c r="AR31" s="48">
        <f t="shared" si="51"/>
        <v>1.7839922854387735E-2</v>
      </c>
      <c r="AS31" s="48">
        <f t="shared" si="26"/>
        <v>0.15300805305542386</v>
      </c>
      <c r="AT31" s="48">
        <f t="shared" si="27"/>
        <v>0.1105936729663104</v>
      </c>
      <c r="AU31" s="48">
        <f t="shared" si="28"/>
        <v>0.16398231373253114</v>
      </c>
      <c r="AV31" s="48"/>
      <c r="AW31" s="48"/>
      <c r="AX31" s="48"/>
      <c r="AY31" s="49"/>
    </row>
    <row r="32" spans="4:51" x14ac:dyDescent="0.3">
      <c r="F32" s="90" t="s">
        <v>27</v>
      </c>
      <c r="G32" s="39"/>
      <c r="H32" s="52"/>
      <c r="I32" s="52"/>
      <c r="J32" s="39"/>
      <c r="K32" s="72"/>
      <c r="L32" s="71"/>
      <c r="M32" s="41"/>
      <c r="N32" s="41"/>
      <c r="O32" s="41"/>
      <c r="P32" s="41"/>
      <c r="Q32" s="42"/>
      <c r="R32" s="62"/>
      <c r="S32" s="44"/>
      <c r="T32" s="41"/>
      <c r="U32" s="41"/>
      <c r="V32" s="41"/>
      <c r="W32" s="41"/>
      <c r="X32" s="41"/>
      <c r="Y32" s="46"/>
      <c r="Z32" s="19">
        <f t="shared" si="2"/>
        <v>0</v>
      </c>
      <c r="AA32" s="19">
        <f t="shared" si="3"/>
        <v>0</v>
      </c>
      <c r="AB32" s="19">
        <f t="shared" si="4"/>
        <v>0</v>
      </c>
      <c r="AC32" s="19">
        <f t="shared" si="34"/>
        <v>0</v>
      </c>
      <c r="AD32" s="47">
        <f t="shared" si="10"/>
        <v>0</v>
      </c>
      <c r="AE32" s="47">
        <f t="shared" si="5"/>
        <v>0</v>
      </c>
      <c r="AF32" s="47">
        <f t="shared" si="6"/>
        <v>0</v>
      </c>
      <c r="AG32" s="47">
        <f t="shared" si="24"/>
        <v>0</v>
      </c>
      <c r="AH32" s="47">
        <f t="shared" si="25"/>
        <v>0</v>
      </c>
      <c r="AI32" s="47">
        <f t="shared" si="21"/>
        <v>0</v>
      </c>
      <c r="AP32" s="3"/>
      <c r="AQ32" s="48"/>
      <c r="AR32" s="48"/>
      <c r="AS32" s="48"/>
      <c r="AT32" s="48"/>
      <c r="AU32" s="48"/>
      <c r="AV32" s="48"/>
      <c r="AW32" s="48"/>
      <c r="AX32" s="48"/>
      <c r="AY32" s="49"/>
    </row>
    <row r="33" spans="6:51" x14ac:dyDescent="0.3">
      <c r="F33" s="39" t="s">
        <v>28</v>
      </c>
      <c r="G33" s="39"/>
      <c r="H33" s="52"/>
      <c r="I33" s="52"/>
      <c r="J33" s="39"/>
      <c r="K33" s="72"/>
      <c r="L33" s="71"/>
      <c r="M33" s="41"/>
      <c r="N33" s="41"/>
      <c r="O33" s="41"/>
      <c r="P33" s="41"/>
      <c r="Q33" s="42"/>
      <c r="R33" s="62"/>
      <c r="S33" s="44"/>
      <c r="T33" s="41"/>
      <c r="U33" s="41"/>
      <c r="V33" s="41"/>
      <c r="W33" s="41"/>
      <c r="X33" s="41"/>
      <c r="Y33" s="46"/>
      <c r="Z33" s="19">
        <f t="shared" si="2"/>
        <v>0</v>
      </c>
      <c r="AA33" s="19">
        <f t="shared" si="3"/>
        <v>0</v>
      </c>
      <c r="AB33" s="19">
        <f t="shared" si="4"/>
        <v>0</v>
      </c>
      <c r="AC33" s="19">
        <f t="shared" si="34"/>
        <v>0</v>
      </c>
      <c r="AD33" s="47">
        <f t="shared" si="10"/>
        <v>0</v>
      </c>
      <c r="AE33" s="47">
        <f t="shared" si="5"/>
        <v>0</v>
      </c>
      <c r="AF33" s="47">
        <f t="shared" si="6"/>
        <v>0</v>
      </c>
      <c r="AG33" s="47">
        <f t="shared" si="24"/>
        <v>0</v>
      </c>
      <c r="AH33" s="47">
        <f t="shared" si="25"/>
        <v>0</v>
      </c>
      <c r="AI33" s="47">
        <f t="shared" si="21"/>
        <v>0</v>
      </c>
      <c r="AP33" s="3"/>
      <c r="AQ33" s="48"/>
      <c r="AR33" s="48"/>
      <c r="AS33" s="48"/>
      <c r="AT33" s="48"/>
      <c r="AU33" s="48"/>
      <c r="AV33" s="48"/>
      <c r="AW33" s="48"/>
      <c r="AX33" s="48"/>
      <c r="AY33" s="49"/>
    </row>
    <row r="34" spans="6:51" x14ac:dyDescent="0.3">
      <c r="F34" s="39" t="s">
        <v>25</v>
      </c>
      <c r="G34" s="39"/>
      <c r="H34" s="91">
        <v>-9</v>
      </c>
      <c r="I34" s="91">
        <v>-15</v>
      </c>
      <c r="J34" s="39">
        <v>9</v>
      </c>
      <c r="K34" s="92">
        <v>-17</v>
      </c>
      <c r="L34" s="95">
        <v>-36</v>
      </c>
      <c r="M34" s="41"/>
      <c r="N34" s="41"/>
      <c r="O34" s="41"/>
      <c r="P34" s="41"/>
      <c r="Q34" s="42"/>
      <c r="R34" s="62"/>
      <c r="S34" s="44"/>
      <c r="T34" s="41"/>
      <c r="U34" s="41"/>
      <c r="V34" s="41"/>
      <c r="W34" s="41"/>
      <c r="X34" s="41"/>
      <c r="Y34" s="46"/>
      <c r="Z34" s="96">
        <f t="shared" si="2"/>
        <v>-1.6271921894774905E-2</v>
      </c>
      <c r="AA34" s="96">
        <f t="shared" si="3"/>
        <v>-3.1416902293433864E-2</v>
      </c>
      <c r="AB34" s="96">
        <f t="shared" si="4"/>
        <v>1.6367802713417961E-2</v>
      </c>
      <c r="AC34" s="96">
        <f t="shared" si="34"/>
        <v>-3.2869931746553491E-2</v>
      </c>
      <c r="AD34" s="47">
        <f t="shared" si="10"/>
        <v>-4.4308782985427335E-2</v>
      </c>
      <c r="AE34" s="47">
        <f t="shared" si="5"/>
        <v>0</v>
      </c>
      <c r="AF34" s="47">
        <f t="shared" si="6"/>
        <v>0</v>
      </c>
      <c r="AG34" s="47">
        <f t="shared" si="24"/>
        <v>0</v>
      </c>
      <c r="AH34" s="47">
        <f t="shared" si="25"/>
        <v>0</v>
      </c>
      <c r="AI34" s="47">
        <f t="shared" si="21"/>
        <v>0</v>
      </c>
      <c r="AP34" s="3"/>
      <c r="AQ34" s="48">
        <f t="shared" ref="AQ34:AR37" si="57">I34/H34-1</f>
        <v>0.66666666666666674</v>
      </c>
      <c r="AR34" s="48">
        <f t="shared" si="57"/>
        <v>-1.6</v>
      </c>
      <c r="AS34" s="48">
        <f t="shared" si="26"/>
        <v>-2.8888888888888888</v>
      </c>
      <c r="AT34" s="48">
        <f t="shared" si="27"/>
        <v>1.1176470588235294</v>
      </c>
      <c r="AU34" s="48">
        <f t="shared" si="28"/>
        <v>-1</v>
      </c>
      <c r="AV34" s="48"/>
      <c r="AW34" s="48"/>
      <c r="AX34" s="48"/>
      <c r="AY34" s="49"/>
    </row>
    <row r="35" spans="6:51" x14ac:dyDescent="0.3">
      <c r="F35" s="39" t="s">
        <v>13</v>
      </c>
      <c r="G35" s="39"/>
      <c r="H35" s="52">
        <v>3</v>
      </c>
      <c r="I35" s="52">
        <v>5</v>
      </c>
      <c r="J35" s="92">
        <v>-3</v>
      </c>
      <c r="K35" s="72">
        <v>6</v>
      </c>
      <c r="L35" s="71">
        <v>4</v>
      </c>
      <c r="M35" s="41"/>
      <c r="N35" s="41"/>
      <c r="O35" s="41"/>
      <c r="P35" s="41"/>
      <c r="Q35" s="42"/>
      <c r="R35" s="62"/>
      <c r="S35" s="44"/>
      <c r="T35" s="41"/>
      <c r="U35" s="41"/>
      <c r="V35" s="41"/>
      <c r="W35" s="41"/>
      <c r="X35" s="41"/>
      <c r="Y35" s="46"/>
      <c r="Z35" s="96">
        <f t="shared" ref="Z35:Z53" si="58">H35*100/$H$3</f>
        <v>5.4239739649249684E-3</v>
      </c>
      <c r="AA35" s="96">
        <f t="shared" ref="AA35:AA53" si="59">I35*100/$I$3</f>
        <v>1.0472300764477955E-2</v>
      </c>
      <c r="AB35" s="96">
        <f t="shared" ref="AB35:AB53" si="60">J35*100/$J$3</f>
        <v>-5.4559342378059867E-3</v>
      </c>
      <c r="AC35" s="96">
        <f t="shared" si="34"/>
        <v>1.1601152381136527E-2</v>
      </c>
      <c r="AD35" s="47">
        <f t="shared" si="10"/>
        <v>4.9231981094919261E-3</v>
      </c>
      <c r="AE35" s="47">
        <f t="shared" ref="AE35:AE53" si="61">N35*100/$N$3</f>
        <v>0</v>
      </c>
      <c r="AF35" s="47">
        <f t="shared" ref="AF35:AF53" si="62">N35*100/$N$3</f>
        <v>0</v>
      </c>
      <c r="AG35" s="47">
        <f t="shared" si="24"/>
        <v>0</v>
      </c>
      <c r="AH35" s="47">
        <f t="shared" si="25"/>
        <v>0</v>
      </c>
      <c r="AI35" s="47">
        <f t="shared" si="21"/>
        <v>0</v>
      </c>
      <c r="AP35" s="3"/>
      <c r="AQ35" s="48">
        <f t="shared" si="57"/>
        <v>0.66666666666666674</v>
      </c>
      <c r="AR35" s="48">
        <f t="shared" si="57"/>
        <v>-1.6</v>
      </c>
      <c r="AS35" s="48">
        <f t="shared" si="26"/>
        <v>-3</v>
      </c>
      <c r="AT35" s="48">
        <f t="shared" si="27"/>
        <v>-0.33333333333333337</v>
      </c>
      <c r="AU35" s="48">
        <f t="shared" si="28"/>
        <v>-1</v>
      </c>
      <c r="AV35" s="48"/>
      <c r="AW35" s="48"/>
      <c r="AX35" s="48"/>
      <c r="AY35" s="49"/>
    </row>
    <row r="36" spans="6:51" s="54" customFormat="1" x14ac:dyDescent="0.3">
      <c r="F36" s="55" t="s">
        <v>863</v>
      </c>
      <c r="G36" s="55"/>
      <c r="H36" s="97">
        <f>SUM(H34:H35)</f>
        <v>-6</v>
      </c>
      <c r="I36" s="97">
        <f>SUM(I34:I35)</f>
        <v>-10</v>
      </c>
      <c r="J36" s="81">
        <f>SUM(J34:J35)</f>
        <v>6</v>
      </c>
      <c r="K36" s="81">
        <f>SUM(K34:K35)</f>
        <v>-11</v>
      </c>
      <c r="L36" s="98">
        <f>SUM(L34:L35)</f>
        <v>-32</v>
      </c>
      <c r="M36" s="41"/>
      <c r="N36" s="41"/>
      <c r="O36" s="41"/>
      <c r="P36" s="41"/>
      <c r="Q36" s="42"/>
      <c r="R36" s="62"/>
      <c r="S36" s="44"/>
      <c r="T36" s="41"/>
      <c r="U36" s="41"/>
      <c r="V36" s="41"/>
      <c r="W36" s="41"/>
      <c r="X36" s="41"/>
      <c r="Y36" s="46"/>
      <c r="Z36" s="96">
        <f t="shared" si="58"/>
        <v>-1.0847947929849937E-2</v>
      </c>
      <c r="AA36" s="96">
        <f t="shared" si="59"/>
        <v>-2.0944601528955911E-2</v>
      </c>
      <c r="AB36" s="96">
        <f t="shared" si="60"/>
        <v>1.0911868475611973E-2</v>
      </c>
      <c r="AC36" s="96">
        <f t="shared" si="34"/>
        <v>-2.1268779365416966E-2</v>
      </c>
      <c r="AD36" s="47">
        <f t="shared" si="10"/>
        <v>-3.9385584875935409E-2</v>
      </c>
      <c r="AE36" s="47">
        <f t="shared" si="61"/>
        <v>0</v>
      </c>
      <c r="AF36" s="47">
        <f t="shared" si="62"/>
        <v>0</v>
      </c>
      <c r="AG36" s="47">
        <f t="shared" si="24"/>
        <v>0</v>
      </c>
      <c r="AH36" s="47">
        <f t="shared" si="25"/>
        <v>0</v>
      </c>
      <c r="AI36" s="47">
        <f t="shared" si="21"/>
        <v>0</v>
      </c>
      <c r="AP36" s="5"/>
      <c r="AQ36" s="48">
        <f t="shared" si="57"/>
        <v>0.66666666666666674</v>
      </c>
      <c r="AR36" s="48">
        <f t="shared" si="57"/>
        <v>-1.6</v>
      </c>
      <c r="AS36" s="48">
        <f t="shared" si="26"/>
        <v>-2.833333333333333</v>
      </c>
      <c r="AT36" s="48">
        <f t="shared" si="27"/>
        <v>1.9090909090909092</v>
      </c>
      <c r="AU36" s="48">
        <f t="shared" si="28"/>
        <v>-1</v>
      </c>
      <c r="AV36" s="48"/>
      <c r="AW36" s="48"/>
      <c r="AX36" s="48"/>
      <c r="AY36" s="49"/>
    </row>
    <row r="37" spans="6:51" s="54" customFormat="1" x14ac:dyDescent="0.3">
      <c r="F37" s="55" t="s">
        <v>864</v>
      </c>
      <c r="G37" s="55"/>
      <c r="H37" s="56">
        <f>H31+H36</f>
        <v>4236</v>
      </c>
      <c r="I37" s="56">
        <f>I31+I36</f>
        <v>2064</v>
      </c>
      <c r="J37" s="56">
        <f>J31+J36</f>
        <v>2117</v>
      </c>
      <c r="K37" s="56">
        <f>K31+K36</f>
        <v>2423</v>
      </c>
      <c r="L37" s="56">
        <f>L31+L36</f>
        <v>2671.1849999999995</v>
      </c>
      <c r="M37" s="41"/>
      <c r="N37" s="41"/>
      <c r="O37" s="41"/>
      <c r="P37" s="41"/>
      <c r="Q37" s="42"/>
      <c r="R37" s="62"/>
      <c r="S37" s="44"/>
      <c r="T37" s="41"/>
      <c r="U37" s="41"/>
      <c r="V37" s="41"/>
      <c r="W37" s="41"/>
      <c r="X37" s="41"/>
      <c r="Y37" s="46"/>
      <c r="Z37" s="96">
        <f t="shared" si="58"/>
        <v>7.6586512384740555</v>
      </c>
      <c r="AA37" s="96">
        <f t="shared" si="59"/>
        <v>4.3229657555765</v>
      </c>
      <c r="AB37" s="96">
        <f t="shared" si="60"/>
        <v>3.8500709271450915</v>
      </c>
      <c r="AC37" s="96">
        <f t="shared" si="34"/>
        <v>4.6849320365823006</v>
      </c>
      <c r="AD37" s="47">
        <f t="shared" si="10"/>
        <v>3.2876932355257966</v>
      </c>
      <c r="AE37" s="47">
        <f t="shared" si="61"/>
        <v>0</v>
      </c>
      <c r="AF37" s="47">
        <f t="shared" si="62"/>
        <v>0</v>
      </c>
      <c r="AG37" s="47">
        <f t="shared" si="24"/>
        <v>0</v>
      </c>
      <c r="AH37" s="47">
        <f t="shared" si="25"/>
        <v>0</v>
      </c>
      <c r="AI37" s="47">
        <f t="shared" si="21"/>
        <v>0</v>
      </c>
      <c r="AP37" s="5"/>
      <c r="AQ37" s="48">
        <f t="shared" si="57"/>
        <v>-0.51274787535410771</v>
      </c>
      <c r="AR37" s="48">
        <f t="shared" si="57"/>
        <v>2.5678294573643345E-2</v>
      </c>
      <c r="AS37" s="48">
        <f t="shared" si="26"/>
        <v>0.1445441662730278</v>
      </c>
      <c r="AT37" s="48">
        <f t="shared" si="27"/>
        <v>0.1024288072637225</v>
      </c>
      <c r="AU37" s="48">
        <f t="shared" si="28"/>
        <v>-1</v>
      </c>
      <c r="AV37" s="48"/>
      <c r="AW37" s="48"/>
      <c r="AX37" s="48"/>
      <c r="AY37" s="49"/>
    </row>
    <row r="38" spans="6:51" x14ac:dyDescent="0.3">
      <c r="F38" s="90" t="s">
        <v>14</v>
      </c>
      <c r="G38" s="39"/>
      <c r="H38" s="52"/>
      <c r="I38" s="52"/>
      <c r="J38" s="39"/>
      <c r="K38" s="72"/>
      <c r="L38" s="71"/>
      <c r="M38" s="41"/>
      <c r="N38" s="41"/>
      <c r="O38" s="41"/>
      <c r="P38" s="41"/>
      <c r="Q38" s="42"/>
      <c r="R38" s="62"/>
      <c r="S38" s="44"/>
      <c r="T38" s="41"/>
      <c r="U38" s="41"/>
      <c r="V38" s="41"/>
      <c r="W38" s="41"/>
      <c r="X38" s="41"/>
      <c r="Y38" s="46"/>
      <c r="Z38" s="19">
        <f t="shared" si="58"/>
        <v>0</v>
      </c>
      <c r="AA38" s="19">
        <f t="shared" si="59"/>
        <v>0</v>
      </c>
      <c r="AB38" s="19">
        <f t="shared" si="60"/>
        <v>0</v>
      </c>
      <c r="AC38" s="19">
        <f t="shared" si="34"/>
        <v>0</v>
      </c>
      <c r="AD38" s="47">
        <f t="shared" si="10"/>
        <v>0</v>
      </c>
      <c r="AE38" s="47">
        <f t="shared" si="61"/>
        <v>0</v>
      </c>
      <c r="AF38" s="47">
        <f t="shared" si="62"/>
        <v>0</v>
      </c>
      <c r="AG38" s="47">
        <f t="shared" si="24"/>
        <v>0</v>
      </c>
      <c r="AH38" s="47">
        <f t="shared" si="25"/>
        <v>0</v>
      </c>
      <c r="AI38" s="47">
        <f t="shared" si="21"/>
        <v>0</v>
      </c>
      <c r="AP38" s="3"/>
      <c r="AQ38" s="48"/>
      <c r="AR38" s="48"/>
      <c r="AS38" s="48"/>
      <c r="AT38" s="48"/>
      <c r="AU38" s="48"/>
      <c r="AV38" s="48"/>
      <c r="AW38" s="48"/>
      <c r="AX38" s="48"/>
      <c r="AY38" s="49"/>
    </row>
    <row r="39" spans="6:51" x14ac:dyDescent="0.3">
      <c r="F39" s="39" t="s">
        <v>15</v>
      </c>
      <c r="G39" s="39"/>
      <c r="H39" s="52">
        <v>6098</v>
      </c>
      <c r="I39" s="52">
        <v>2649</v>
      </c>
      <c r="J39" s="39">
        <v>3713</v>
      </c>
      <c r="K39" s="72">
        <v>4156</v>
      </c>
      <c r="L39" s="71">
        <v>4031</v>
      </c>
      <c r="M39" s="41"/>
      <c r="N39" s="41"/>
      <c r="O39" s="41"/>
      <c r="P39" s="41"/>
      <c r="Q39" s="42"/>
      <c r="R39" s="62"/>
      <c r="S39" s="44"/>
      <c r="T39" s="41"/>
      <c r="U39" s="41"/>
      <c r="V39" s="41"/>
      <c r="W39" s="41"/>
      <c r="X39" s="41"/>
      <c r="Y39" s="46"/>
      <c r="Z39" s="47">
        <f t="shared" si="58"/>
        <v>11.025131079370819</v>
      </c>
      <c r="AA39" s="47">
        <f t="shared" si="59"/>
        <v>5.5482249450204213</v>
      </c>
      <c r="AB39" s="47">
        <f t="shared" si="60"/>
        <v>6.7526279416578765</v>
      </c>
      <c r="AC39" s="47">
        <f t="shared" si="34"/>
        <v>8.0357315493339012</v>
      </c>
      <c r="AD39" s="47">
        <f t="shared" si="10"/>
        <v>4.9613528948404886</v>
      </c>
      <c r="AE39" s="47">
        <f t="shared" si="61"/>
        <v>0</v>
      </c>
      <c r="AF39" s="47">
        <f t="shared" si="62"/>
        <v>0</v>
      </c>
      <c r="AG39" s="47">
        <f t="shared" si="24"/>
        <v>0</v>
      </c>
      <c r="AH39" s="47">
        <f t="shared" si="25"/>
        <v>0</v>
      </c>
      <c r="AI39" s="47">
        <f t="shared" si="21"/>
        <v>0</v>
      </c>
      <c r="AP39" s="3"/>
      <c r="AQ39" s="48">
        <f>I39/H39-1</f>
        <v>-0.56559527714004587</v>
      </c>
      <c r="AR39" s="48">
        <f>J39/I39-1</f>
        <v>0.40166100415251038</v>
      </c>
      <c r="AS39" s="48">
        <f t="shared" si="26"/>
        <v>0.11931053056827357</v>
      </c>
      <c r="AT39" s="48">
        <f t="shared" si="27"/>
        <v>-3.007699711260825E-2</v>
      </c>
      <c r="AU39" s="48">
        <f t="shared" si="28"/>
        <v>-1</v>
      </c>
      <c r="AV39" s="48"/>
      <c r="AW39" s="48"/>
      <c r="AX39" s="48"/>
      <c r="AY39" s="49"/>
    </row>
    <row r="40" spans="6:51" x14ac:dyDescent="0.3">
      <c r="F40" s="92" t="s">
        <v>435</v>
      </c>
      <c r="G40" s="39"/>
      <c r="H40" s="52">
        <v>435</v>
      </c>
      <c r="I40" s="52">
        <v>1085</v>
      </c>
      <c r="J40" s="39">
        <v>533</v>
      </c>
      <c r="K40" s="72">
        <v>263</v>
      </c>
      <c r="L40" s="71">
        <v>1455</v>
      </c>
      <c r="M40" s="41"/>
      <c r="N40" s="41"/>
      <c r="O40" s="41"/>
      <c r="P40" s="41"/>
      <c r="Q40" s="42"/>
      <c r="R40" s="62"/>
      <c r="S40" s="44"/>
      <c r="T40" s="41"/>
      <c r="U40" s="41"/>
      <c r="V40" s="41"/>
      <c r="W40" s="41"/>
      <c r="X40" s="41"/>
      <c r="Y40" s="46"/>
      <c r="Z40" s="47">
        <f t="shared" si="58"/>
        <v>0.78647622491412039</v>
      </c>
      <c r="AA40" s="47">
        <f t="shared" si="59"/>
        <v>2.2724892658917164</v>
      </c>
      <c r="AB40" s="47">
        <f t="shared" si="60"/>
        <v>0.9693376495835303</v>
      </c>
      <c r="AC40" s="47">
        <f t="shared" si="34"/>
        <v>0.50851717937315111</v>
      </c>
      <c r="AD40" s="47">
        <f t="shared" si="10"/>
        <v>1.7908133123276881</v>
      </c>
      <c r="AE40" s="47">
        <f t="shared" si="61"/>
        <v>0</v>
      </c>
      <c r="AF40" s="47">
        <f t="shared" si="62"/>
        <v>0</v>
      </c>
      <c r="AG40" s="47">
        <f t="shared" si="24"/>
        <v>0</v>
      </c>
      <c r="AH40" s="47">
        <f t="shared" si="25"/>
        <v>0</v>
      </c>
      <c r="AI40" s="47">
        <f t="shared" si="21"/>
        <v>0</v>
      </c>
      <c r="AP40" s="3"/>
      <c r="AQ40" s="48">
        <f>I40/H40-1</f>
        <v>1.4942528735632186</v>
      </c>
      <c r="AR40" s="48">
        <f>J40/I40-1</f>
        <v>-0.50875576036866366</v>
      </c>
      <c r="AS40" s="48">
        <f t="shared" si="26"/>
        <v>-0.50656660412757981</v>
      </c>
      <c r="AT40" s="48">
        <f t="shared" si="27"/>
        <v>4.5323193916349807</v>
      </c>
      <c r="AU40" s="48">
        <f t="shared" si="28"/>
        <v>-1</v>
      </c>
      <c r="AV40" s="48">
        <v>0</v>
      </c>
      <c r="AW40" s="48">
        <v>0</v>
      </c>
      <c r="AX40" s="48"/>
      <c r="AY40" s="49"/>
    </row>
    <row r="41" spans="6:51" x14ac:dyDescent="0.3">
      <c r="F41" s="90" t="s">
        <v>17</v>
      </c>
      <c r="G41" s="39"/>
      <c r="H41" s="52"/>
      <c r="I41" s="52"/>
      <c r="J41" s="39"/>
      <c r="K41" s="72"/>
      <c r="L41" s="71"/>
      <c r="M41" s="41"/>
      <c r="N41" s="41"/>
      <c r="O41" s="41"/>
      <c r="P41" s="41"/>
      <c r="Q41" s="42"/>
      <c r="R41" s="62"/>
      <c r="S41" s="44"/>
      <c r="T41" s="41"/>
      <c r="U41" s="41"/>
      <c r="V41" s="41"/>
      <c r="W41" s="41"/>
      <c r="X41" s="41"/>
      <c r="Y41" s="46"/>
      <c r="Z41" s="19">
        <f t="shared" si="58"/>
        <v>0</v>
      </c>
      <c r="AA41" s="19">
        <f t="shared" si="59"/>
        <v>0</v>
      </c>
      <c r="AB41" s="19">
        <f t="shared" si="60"/>
        <v>0</v>
      </c>
      <c r="AC41" s="19">
        <f t="shared" si="34"/>
        <v>0</v>
      </c>
      <c r="AD41" s="47">
        <f t="shared" si="10"/>
        <v>0</v>
      </c>
      <c r="AE41" s="47">
        <f t="shared" si="61"/>
        <v>0</v>
      </c>
      <c r="AF41" s="47">
        <f t="shared" si="62"/>
        <v>0</v>
      </c>
      <c r="AG41" s="47">
        <f t="shared" si="24"/>
        <v>0</v>
      </c>
      <c r="AH41" s="47">
        <f t="shared" si="25"/>
        <v>0</v>
      </c>
      <c r="AI41" s="47">
        <f t="shared" si="21"/>
        <v>0</v>
      </c>
      <c r="AP41" s="3"/>
      <c r="AQ41" s="48"/>
      <c r="AR41" s="48"/>
      <c r="AS41" s="48"/>
      <c r="AT41" s="48"/>
      <c r="AU41" s="48"/>
      <c r="AV41" s="48"/>
      <c r="AW41" s="48"/>
      <c r="AX41" s="48"/>
      <c r="AY41" s="49"/>
    </row>
    <row r="42" spans="6:51" x14ac:dyDescent="0.3">
      <c r="F42" s="39" t="s">
        <v>26</v>
      </c>
      <c r="G42" s="39"/>
      <c r="H42" s="91">
        <v>-6</v>
      </c>
      <c r="I42" s="91">
        <v>-10</v>
      </c>
      <c r="J42" s="39">
        <v>6</v>
      </c>
      <c r="K42" s="92">
        <v>-11</v>
      </c>
      <c r="L42" s="92">
        <f>-32</f>
        <v>-32</v>
      </c>
      <c r="M42" s="41"/>
      <c r="N42" s="41"/>
      <c r="O42" s="41"/>
      <c r="P42" s="41"/>
      <c r="Q42" s="42"/>
      <c r="R42" s="62"/>
      <c r="S42" s="44"/>
      <c r="T42" s="41"/>
      <c r="U42" s="41"/>
      <c r="V42" s="41"/>
      <c r="W42" s="41"/>
      <c r="X42" s="41"/>
      <c r="Y42" s="46"/>
      <c r="Z42" s="47">
        <f t="shared" si="58"/>
        <v>-1.0847947929849937E-2</v>
      </c>
      <c r="AA42" s="47">
        <f t="shared" si="59"/>
        <v>-2.0944601528955911E-2</v>
      </c>
      <c r="AB42" s="47">
        <f t="shared" si="60"/>
        <v>1.0911868475611973E-2</v>
      </c>
      <c r="AC42" s="47">
        <f t="shared" si="34"/>
        <v>-2.1268779365416966E-2</v>
      </c>
      <c r="AD42" s="47">
        <f t="shared" si="10"/>
        <v>-3.9385584875935409E-2</v>
      </c>
      <c r="AE42" s="47">
        <f t="shared" si="61"/>
        <v>0</v>
      </c>
      <c r="AF42" s="47">
        <f t="shared" si="62"/>
        <v>0</v>
      </c>
      <c r="AG42" s="47">
        <f t="shared" si="24"/>
        <v>0</v>
      </c>
      <c r="AH42" s="47">
        <f t="shared" si="25"/>
        <v>0</v>
      </c>
      <c r="AI42" s="47">
        <f t="shared" si="21"/>
        <v>0</v>
      </c>
      <c r="AP42" s="3"/>
      <c r="AQ42" s="48">
        <f>I42/H42-1</f>
        <v>0.66666666666666674</v>
      </c>
      <c r="AR42" s="48">
        <f>J42/I42-1</f>
        <v>-1.6</v>
      </c>
      <c r="AS42" s="48">
        <f t="shared" si="26"/>
        <v>-2.833333333333333</v>
      </c>
      <c r="AT42" s="48">
        <f t="shared" si="27"/>
        <v>1.9090909090909092</v>
      </c>
      <c r="AU42" s="48">
        <f t="shared" si="28"/>
        <v>-1</v>
      </c>
      <c r="AV42" s="48"/>
      <c r="AW42" s="48"/>
      <c r="AX42" s="48"/>
      <c r="AY42" s="49"/>
    </row>
    <row r="43" spans="6:51" x14ac:dyDescent="0.3">
      <c r="F43" s="92" t="s">
        <v>16</v>
      </c>
      <c r="G43" s="39"/>
      <c r="H43" s="52" t="s">
        <v>40</v>
      </c>
      <c r="I43" s="52" t="s">
        <v>40</v>
      </c>
      <c r="J43" s="39" t="s">
        <v>40</v>
      </c>
      <c r="K43" s="39" t="s">
        <v>40</v>
      </c>
      <c r="L43" s="64" t="s">
        <v>40</v>
      </c>
      <c r="M43" s="41"/>
      <c r="N43" s="41"/>
      <c r="O43" s="41"/>
      <c r="P43" s="41"/>
      <c r="Q43" s="42"/>
      <c r="R43" s="62"/>
      <c r="S43" s="44"/>
      <c r="T43" s="41"/>
      <c r="U43" s="41"/>
      <c r="V43" s="41"/>
      <c r="W43" s="41"/>
      <c r="X43" s="41"/>
      <c r="Y43" s="46"/>
      <c r="Z43" s="19" t="e">
        <f t="shared" si="58"/>
        <v>#VALUE!</v>
      </c>
      <c r="AA43" s="19" t="e">
        <f t="shared" si="59"/>
        <v>#VALUE!</v>
      </c>
      <c r="AB43" s="19" t="e">
        <f t="shared" si="60"/>
        <v>#VALUE!</v>
      </c>
      <c r="AC43" s="19" t="e">
        <f t="shared" si="34"/>
        <v>#VALUE!</v>
      </c>
      <c r="AD43" s="47" t="e">
        <f t="shared" si="10"/>
        <v>#VALUE!</v>
      </c>
      <c r="AE43" s="47">
        <f t="shared" si="61"/>
        <v>0</v>
      </c>
      <c r="AF43" s="47">
        <f t="shared" si="62"/>
        <v>0</v>
      </c>
      <c r="AG43" s="47">
        <f t="shared" si="24"/>
        <v>0</v>
      </c>
      <c r="AH43" s="47">
        <f t="shared" si="25"/>
        <v>0</v>
      </c>
      <c r="AI43" s="47">
        <f t="shared" si="21"/>
        <v>0</v>
      </c>
      <c r="AP43" s="3"/>
      <c r="AQ43" s="48"/>
      <c r="AR43" s="48"/>
      <c r="AS43" s="48"/>
      <c r="AT43" s="48"/>
      <c r="AU43" s="48"/>
      <c r="AV43" s="48"/>
      <c r="AW43" s="48"/>
      <c r="AX43" s="48"/>
      <c r="AY43" s="49"/>
    </row>
    <row r="44" spans="6:51" x14ac:dyDescent="0.3">
      <c r="F44" s="90" t="s">
        <v>18</v>
      </c>
      <c r="G44" s="39"/>
      <c r="H44" s="52"/>
      <c r="I44" s="52"/>
      <c r="J44" s="39"/>
      <c r="K44" s="72"/>
      <c r="L44" s="71"/>
      <c r="M44" s="41"/>
      <c r="N44" s="41"/>
      <c r="O44" s="41"/>
      <c r="P44" s="41"/>
      <c r="Q44" s="42"/>
      <c r="R44" s="62"/>
      <c r="S44" s="44"/>
      <c r="T44" s="41"/>
      <c r="U44" s="41"/>
      <c r="V44" s="41"/>
      <c r="W44" s="41"/>
      <c r="X44" s="41"/>
      <c r="Y44" s="46"/>
      <c r="Z44" s="19">
        <f t="shared" si="58"/>
        <v>0</v>
      </c>
      <c r="AA44" s="19">
        <f t="shared" si="59"/>
        <v>0</v>
      </c>
      <c r="AB44" s="19">
        <f t="shared" si="60"/>
        <v>0</v>
      </c>
      <c r="AC44" s="19">
        <f t="shared" si="34"/>
        <v>0</v>
      </c>
      <c r="AD44" s="47">
        <f t="shared" si="10"/>
        <v>0</v>
      </c>
      <c r="AE44" s="47">
        <f t="shared" si="61"/>
        <v>0</v>
      </c>
      <c r="AF44" s="47">
        <f t="shared" si="62"/>
        <v>0</v>
      </c>
      <c r="AG44" s="47">
        <f t="shared" si="24"/>
        <v>0</v>
      </c>
      <c r="AH44" s="47">
        <f t="shared" si="25"/>
        <v>0</v>
      </c>
      <c r="AI44" s="47">
        <f t="shared" si="21"/>
        <v>0</v>
      </c>
      <c r="AP44" s="3"/>
      <c r="AQ44" s="48"/>
      <c r="AR44" s="48"/>
      <c r="AS44" s="48"/>
      <c r="AT44" s="48"/>
      <c r="AU44" s="48"/>
      <c r="AV44" s="48"/>
      <c r="AW44" s="48"/>
      <c r="AX44" s="48"/>
      <c r="AY44" s="49"/>
    </row>
    <row r="45" spans="6:51" x14ac:dyDescent="0.3">
      <c r="F45" s="39" t="s">
        <v>15</v>
      </c>
      <c r="G45" s="39"/>
      <c r="H45" s="91">
        <f>SUM(H39,H42)</f>
        <v>6092</v>
      </c>
      <c r="I45" s="91">
        <f>SUM(I39,I42)</f>
        <v>2639</v>
      </c>
      <c r="J45" s="91">
        <f>SUM(J39,J42)</f>
        <v>3719</v>
      </c>
      <c r="K45" s="91">
        <f>SUM(K39,K42)</f>
        <v>4145</v>
      </c>
      <c r="L45" s="91">
        <f>SUM(L39,L42)</f>
        <v>3999</v>
      </c>
      <c r="M45" s="41"/>
      <c r="N45" s="41"/>
      <c r="O45" s="41"/>
      <c r="P45" s="41"/>
      <c r="Q45" s="42"/>
      <c r="R45" s="62"/>
      <c r="S45" s="44"/>
      <c r="T45" s="41"/>
      <c r="U45" s="41"/>
      <c r="V45" s="41"/>
      <c r="W45" s="41"/>
      <c r="X45" s="41"/>
      <c r="Y45" s="46"/>
      <c r="Z45" s="47">
        <f t="shared" si="58"/>
        <v>11.014283131440969</v>
      </c>
      <c r="AA45" s="47">
        <f t="shared" si="59"/>
        <v>5.5272803434914648</v>
      </c>
      <c r="AB45" s="47">
        <f t="shared" si="60"/>
        <v>6.7635398101334889</v>
      </c>
      <c r="AC45" s="47">
        <f t="shared" si="34"/>
        <v>8.0144627699684836</v>
      </c>
      <c r="AD45" s="47">
        <f t="shared" si="10"/>
        <v>4.9219673099645531</v>
      </c>
      <c r="AE45" s="47">
        <f t="shared" si="61"/>
        <v>0</v>
      </c>
      <c r="AF45" s="47">
        <f t="shared" si="62"/>
        <v>0</v>
      </c>
      <c r="AG45" s="47">
        <f t="shared" si="24"/>
        <v>0</v>
      </c>
      <c r="AH45" s="47">
        <f t="shared" si="25"/>
        <v>0</v>
      </c>
      <c r="AI45" s="47">
        <f t="shared" si="21"/>
        <v>0</v>
      </c>
      <c r="AP45" s="3"/>
      <c r="AQ45" s="48">
        <f>I45/H45-1</f>
        <v>-0.56680892974392649</v>
      </c>
      <c r="AR45" s="48">
        <f>J45/I45-1</f>
        <v>0.40924592648730584</v>
      </c>
      <c r="AS45" s="48">
        <f t="shared" si="26"/>
        <v>0.11454692121538046</v>
      </c>
      <c r="AT45" s="48">
        <f t="shared" si="27"/>
        <v>-3.5223160434258105E-2</v>
      </c>
      <c r="AU45" s="48">
        <f t="shared" si="28"/>
        <v>-1</v>
      </c>
      <c r="AV45" s="48"/>
      <c r="AW45" s="48"/>
      <c r="AX45" s="48"/>
      <c r="AY45" s="49"/>
    </row>
    <row r="46" spans="6:51" x14ac:dyDescent="0.3">
      <c r="F46" s="92" t="s">
        <v>16</v>
      </c>
      <c r="G46" s="39"/>
      <c r="H46" s="52">
        <v>435</v>
      </c>
      <c r="I46" s="52">
        <v>1085</v>
      </c>
      <c r="J46" s="39">
        <v>533</v>
      </c>
      <c r="K46" s="72">
        <v>263</v>
      </c>
      <c r="L46" s="71">
        <v>1455</v>
      </c>
      <c r="M46" s="41"/>
      <c r="N46" s="41"/>
      <c r="O46" s="41"/>
      <c r="P46" s="41"/>
      <c r="Q46" s="42"/>
      <c r="R46" s="62"/>
      <c r="S46" s="44"/>
      <c r="T46" s="41"/>
      <c r="U46" s="41"/>
      <c r="V46" s="41"/>
      <c r="W46" s="41"/>
      <c r="X46" s="41"/>
      <c r="Y46" s="46"/>
      <c r="Z46" s="47">
        <f t="shared" si="58"/>
        <v>0.78647622491412039</v>
      </c>
      <c r="AA46" s="47">
        <f t="shared" si="59"/>
        <v>2.2724892658917164</v>
      </c>
      <c r="AB46" s="47">
        <f t="shared" si="60"/>
        <v>0.9693376495835303</v>
      </c>
      <c r="AC46" s="47">
        <f t="shared" si="34"/>
        <v>0.50851717937315111</v>
      </c>
      <c r="AD46" s="47">
        <f t="shared" si="10"/>
        <v>1.7908133123276881</v>
      </c>
      <c r="AE46" s="47">
        <f t="shared" si="61"/>
        <v>0</v>
      </c>
      <c r="AF46" s="47">
        <f t="shared" si="62"/>
        <v>0</v>
      </c>
      <c r="AG46" s="47">
        <f t="shared" si="24"/>
        <v>0</v>
      </c>
      <c r="AH46" s="47">
        <f t="shared" si="25"/>
        <v>0</v>
      </c>
      <c r="AI46" s="47">
        <f t="shared" si="21"/>
        <v>0</v>
      </c>
      <c r="AP46" s="3"/>
      <c r="AQ46" s="48">
        <f>I46/H46-1</f>
        <v>1.4942528735632186</v>
      </c>
      <c r="AR46" s="48">
        <f>J46/I46-1</f>
        <v>-0.50875576036866366</v>
      </c>
      <c r="AS46" s="48">
        <f t="shared" si="26"/>
        <v>-0.50656660412757981</v>
      </c>
      <c r="AT46" s="48">
        <f t="shared" si="27"/>
        <v>4.5323193916349807</v>
      </c>
      <c r="AU46" s="48">
        <f t="shared" si="28"/>
        <v>-1</v>
      </c>
      <c r="AV46" s="48"/>
      <c r="AW46" s="48"/>
      <c r="AX46" s="48"/>
      <c r="AY46" s="49"/>
    </row>
    <row r="47" spans="6:51" x14ac:dyDescent="0.3">
      <c r="F47" s="90" t="s">
        <v>23</v>
      </c>
      <c r="G47" s="99"/>
      <c r="H47" s="40">
        <v>0</v>
      </c>
      <c r="I47" s="52">
        <v>0</v>
      </c>
      <c r="J47" s="39">
        <v>0</v>
      </c>
      <c r="K47" s="72">
        <v>0</v>
      </c>
      <c r="L47" s="71"/>
      <c r="M47" s="41"/>
      <c r="N47" s="41"/>
      <c r="O47" s="41"/>
      <c r="P47" s="41"/>
      <c r="Q47" s="42"/>
      <c r="R47" s="62"/>
      <c r="S47" s="44"/>
      <c r="T47" s="41"/>
      <c r="U47" s="41"/>
      <c r="V47" s="41"/>
      <c r="W47" s="41"/>
      <c r="X47" s="41"/>
      <c r="Y47" s="46"/>
      <c r="Z47" s="19">
        <f t="shared" si="58"/>
        <v>0</v>
      </c>
      <c r="AA47" s="19">
        <f t="shared" si="59"/>
        <v>0</v>
      </c>
      <c r="AB47" s="19">
        <f t="shared" si="60"/>
        <v>0</v>
      </c>
      <c r="AC47" s="19">
        <f t="shared" si="34"/>
        <v>0</v>
      </c>
      <c r="AD47" s="47">
        <f t="shared" si="10"/>
        <v>0</v>
      </c>
      <c r="AE47" s="47">
        <f t="shared" si="61"/>
        <v>0</v>
      </c>
      <c r="AF47" s="47">
        <f t="shared" si="62"/>
        <v>0</v>
      </c>
      <c r="AG47" s="47">
        <f t="shared" si="24"/>
        <v>0</v>
      </c>
      <c r="AH47" s="47">
        <f t="shared" si="25"/>
        <v>0</v>
      </c>
      <c r="AI47" s="47">
        <f t="shared" si="21"/>
        <v>0</v>
      </c>
      <c r="AP47" s="3"/>
      <c r="AQ47" s="48"/>
      <c r="AR47" s="48"/>
      <c r="AS47" s="48"/>
      <c r="AT47" s="48"/>
      <c r="AU47" s="48"/>
      <c r="AV47" s="48"/>
      <c r="AW47" s="48"/>
      <c r="AX47" s="48"/>
      <c r="AY47" s="49"/>
    </row>
    <row r="48" spans="6:51" ht="14.5" x14ac:dyDescent="0.35">
      <c r="F48" s="39" t="s">
        <v>24</v>
      </c>
      <c r="G48" s="51" t="str">
        <f>NOTES!C185</f>
        <v>NOTE NO. 8 EARNING PER SHARE (EPS)</v>
      </c>
      <c r="H48" s="52">
        <f>NOTES!E195</f>
        <v>16.3</v>
      </c>
      <c r="I48" s="52">
        <f>NOTES!F195</f>
        <v>7.06</v>
      </c>
      <c r="J48" s="39">
        <f>NOTES!G195</f>
        <v>9.9</v>
      </c>
      <c r="K48" s="100">
        <f>NOTES!H195</f>
        <v>11.08</v>
      </c>
      <c r="L48" s="101">
        <v>10.63</v>
      </c>
      <c r="M48" s="102"/>
      <c r="N48" s="102"/>
      <c r="O48" s="102"/>
      <c r="P48" s="102"/>
      <c r="Q48" s="103"/>
      <c r="R48" s="104"/>
      <c r="S48" s="105"/>
      <c r="T48" s="102"/>
      <c r="U48" s="102"/>
      <c r="V48" s="102"/>
      <c r="W48" s="102"/>
      <c r="X48" s="102"/>
      <c r="Y48" s="106"/>
      <c r="Z48" s="96">
        <f t="shared" si="58"/>
        <v>2.9470258542758993E-2</v>
      </c>
      <c r="AA48" s="96">
        <f t="shared" si="59"/>
        <v>1.4786888679442873E-2</v>
      </c>
      <c r="AB48" s="96">
        <f t="shared" si="60"/>
        <v>1.8004582984759758E-2</v>
      </c>
      <c r="AC48" s="96">
        <f t="shared" si="34"/>
        <v>2.1423461397165451E-2</v>
      </c>
      <c r="AD48" s="47">
        <f t="shared" si="10"/>
        <v>1.3083398975974794E-2</v>
      </c>
      <c r="AE48" s="47">
        <f t="shared" si="61"/>
        <v>0</v>
      </c>
      <c r="AF48" s="47">
        <f t="shared" si="62"/>
        <v>0</v>
      </c>
      <c r="AG48" s="47">
        <f t="shared" si="24"/>
        <v>0</v>
      </c>
      <c r="AH48" s="47">
        <f t="shared" si="25"/>
        <v>0</v>
      </c>
      <c r="AI48" s="47">
        <f t="shared" si="21"/>
        <v>0</v>
      </c>
      <c r="AP48" s="3"/>
      <c r="AQ48" s="48">
        <f t="shared" ref="AQ48:AQ50" si="63">I48/H48-1</f>
        <v>-0.56687116564417184</v>
      </c>
      <c r="AR48" s="48">
        <f t="shared" ref="AR48:AR53" si="64">J48/I48-1</f>
        <v>0.40226628895184158</v>
      </c>
      <c r="AS48" s="48">
        <f t="shared" ref="AS48:AS53" si="65">K48/J48-1</f>
        <v>0.11919191919191907</v>
      </c>
      <c r="AT48" s="48">
        <f t="shared" ref="AT48:AT53" si="66">L48/K48-1</f>
        <v>-4.0613718411552258E-2</v>
      </c>
      <c r="AU48" s="48">
        <f t="shared" ref="AU48:AU53" si="67">M48/L48-1</f>
        <v>-1</v>
      </c>
      <c r="AV48" s="48"/>
      <c r="AW48" s="48"/>
      <c r="AX48" s="48"/>
      <c r="AY48" s="49"/>
    </row>
    <row r="49" spans="6:51" x14ac:dyDescent="0.3">
      <c r="F49" s="39"/>
      <c r="G49" s="39"/>
      <c r="H49" s="52"/>
      <c r="I49" s="52"/>
      <c r="J49" s="39"/>
      <c r="K49" s="39"/>
      <c r="L49" s="64"/>
      <c r="M49" s="65"/>
      <c r="N49" s="65"/>
      <c r="O49" s="65"/>
      <c r="P49" s="65"/>
      <c r="Q49" s="66"/>
      <c r="R49" s="67"/>
      <c r="S49" s="68"/>
      <c r="T49" s="65"/>
      <c r="U49" s="65"/>
      <c r="V49" s="65"/>
      <c r="W49" s="65"/>
      <c r="X49" s="65"/>
      <c r="Z49" s="19">
        <f t="shared" si="58"/>
        <v>0</v>
      </c>
      <c r="AA49" s="19">
        <f t="shared" si="59"/>
        <v>0</v>
      </c>
      <c r="AB49" s="19">
        <f t="shared" si="60"/>
        <v>0</v>
      </c>
      <c r="AC49" s="19">
        <f t="shared" si="34"/>
        <v>0</v>
      </c>
      <c r="AD49" s="47">
        <f t="shared" si="10"/>
        <v>0</v>
      </c>
      <c r="AE49" s="47">
        <f t="shared" si="61"/>
        <v>0</v>
      </c>
      <c r="AF49" s="47">
        <f t="shared" si="62"/>
        <v>0</v>
      </c>
      <c r="AG49" s="47">
        <f t="shared" si="24"/>
        <v>0</v>
      </c>
      <c r="AH49" s="47">
        <f t="shared" si="25"/>
        <v>0</v>
      </c>
      <c r="AI49" s="47">
        <f t="shared" si="21"/>
        <v>0</v>
      </c>
      <c r="AP49" s="3"/>
      <c r="AQ49" s="48"/>
      <c r="AR49" s="48"/>
      <c r="AS49" s="48"/>
      <c r="AT49" s="48"/>
      <c r="AU49" s="48"/>
      <c r="AV49" s="48"/>
      <c r="AW49" s="48"/>
      <c r="AX49" s="48"/>
      <c r="AY49" s="49"/>
    </row>
    <row r="50" spans="6:51" ht="14.5" x14ac:dyDescent="0.35">
      <c r="F50" s="39" t="str">
        <f>NOTES!C644</f>
        <v>Dividend distributed to equity shareholders</v>
      </c>
      <c r="G50" s="51" t="str">
        <f>NOTES!C633</f>
        <v>NOTE NO. 24.5 Retained earnings</v>
      </c>
      <c r="H50" s="40">
        <f>NOTES!E644</f>
        <v>1031</v>
      </c>
      <c r="I50" s="40">
        <f>NOTES!F644</f>
        <v>0</v>
      </c>
      <c r="J50" s="40">
        <f>NOTES!G644</f>
        <v>450</v>
      </c>
      <c r="K50" s="40">
        <f>NOTES!H644</f>
        <v>450</v>
      </c>
      <c r="L50" s="107">
        <v>450</v>
      </c>
      <c r="M50" s="107">
        <f>M31*$M$57</f>
        <v>444.06003974644489</v>
      </c>
      <c r="N50" s="107">
        <f t="shared" ref="N50:Q50" si="68">N31*$M$57</f>
        <v>7.2761717594468012</v>
      </c>
      <c r="O50" s="107">
        <f t="shared" si="68"/>
        <v>185.10290267340079</v>
      </c>
      <c r="P50" s="107">
        <f t="shared" si="68"/>
        <v>190.16614705654109</v>
      </c>
      <c r="Q50" s="107">
        <f t="shared" si="68"/>
        <v>28.413068749682836</v>
      </c>
      <c r="R50" s="109"/>
      <c r="S50" s="110"/>
      <c r="T50" s="108"/>
      <c r="U50" s="108"/>
      <c r="V50" s="108"/>
      <c r="W50" s="108"/>
      <c r="X50" s="108"/>
      <c r="Y50" s="111"/>
      <c r="Z50" s="47">
        <f t="shared" si="58"/>
        <v>1.8640390526125474</v>
      </c>
      <c r="AA50" s="19">
        <f t="shared" si="59"/>
        <v>0</v>
      </c>
      <c r="AB50" s="47">
        <f t="shared" si="60"/>
        <v>0.81839013567089802</v>
      </c>
      <c r="AC50" s="47">
        <f t="shared" si="34"/>
        <v>0.87008642858523944</v>
      </c>
      <c r="AD50" s="47">
        <f t="shared" si="10"/>
        <v>0.55385978731784169</v>
      </c>
      <c r="AE50" s="47">
        <f t="shared" si="61"/>
        <v>8.4010401150204101E-3</v>
      </c>
      <c r="AF50" s="47">
        <f t="shared" si="62"/>
        <v>8.4010401150204101E-3</v>
      </c>
      <c r="AG50" s="47">
        <f t="shared" si="24"/>
        <v>0.21337535114193509</v>
      </c>
      <c r="AH50" s="47">
        <f t="shared" si="25"/>
        <v>0.2186715484563376</v>
      </c>
      <c r="AI50" s="47">
        <f t="shared" si="21"/>
        <v>3.2668652999585608E-2</v>
      </c>
      <c r="AP50" s="3"/>
      <c r="AQ50" s="48">
        <f t="shared" si="63"/>
        <v>-1</v>
      </c>
      <c r="AR50" s="48"/>
      <c r="AS50" s="48">
        <f t="shared" si="65"/>
        <v>0</v>
      </c>
      <c r="AT50" s="48">
        <f t="shared" si="66"/>
        <v>0</v>
      </c>
      <c r="AU50" s="48">
        <f t="shared" si="67"/>
        <v>-1.3199911674566911E-2</v>
      </c>
      <c r="AV50" s="48"/>
      <c r="AW50" s="48"/>
      <c r="AX50" s="48"/>
      <c r="AY50" s="49"/>
    </row>
    <row r="51" spans="6:51" ht="14.5" x14ac:dyDescent="0.35">
      <c r="F51" s="39" t="str">
        <f>NOTES!C645</f>
        <v>Dividend distribution tax on dividend</v>
      </c>
      <c r="G51" s="51" t="str">
        <f>NOTES!C633</f>
        <v>NOTE NO. 24.5 Retained earnings</v>
      </c>
      <c r="H51" s="40">
        <f>NOTES!E645</f>
        <v>205</v>
      </c>
      <c r="I51" s="40">
        <f>NOTES!F645</f>
        <v>0</v>
      </c>
      <c r="J51" s="40">
        <f>NOTES!G645</f>
        <v>91</v>
      </c>
      <c r="K51" s="40">
        <f>NOTES!H645</f>
        <v>93</v>
      </c>
      <c r="L51" s="107">
        <v>93</v>
      </c>
      <c r="M51" s="107">
        <f>M31*$M$58</f>
        <v>91.027154891018711</v>
      </c>
      <c r="N51" s="107">
        <f t="shared" ref="N51:Q51" si="69">N31*$M$58</f>
        <v>1.4915307716925066</v>
      </c>
      <c r="O51" s="107">
        <f t="shared" si="69"/>
        <v>37.943946953771608</v>
      </c>
      <c r="P51" s="107">
        <f t="shared" si="69"/>
        <v>38.981853294045678</v>
      </c>
      <c r="Q51" s="107">
        <f t="shared" si="69"/>
        <v>5.8243493638457906</v>
      </c>
      <c r="R51" s="109"/>
      <c r="S51" s="110"/>
      <c r="T51" s="108"/>
      <c r="U51" s="108"/>
      <c r="V51" s="108"/>
      <c r="W51" s="108"/>
      <c r="X51" s="108"/>
      <c r="Y51" s="111"/>
      <c r="Z51" s="47">
        <f t="shared" si="58"/>
        <v>0.37063822093653953</v>
      </c>
      <c r="AA51" s="19">
        <f t="shared" si="59"/>
        <v>0</v>
      </c>
      <c r="AB51" s="47">
        <f t="shared" si="60"/>
        <v>0.16549667188011494</v>
      </c>
      <c r="AC51" s="47">
        <f t="shared" si="34"/>
        <v>0.17981786190761614</v>
      </c>
      <c r="AD51" s="47">
        <f t="shared" si="10"/>
        <v>0.11446435604568728</v>
      </c>
      <c r="AE51" s="47">
        <f t="shared" si="61"/>
        <v>1.7221157306392075E-3</v>
      </c>
      <c r="AF51" s="47">
        <f t="shared" si="62"/>
        <v>1.7221157306392075E-3</v>
      </c>
      <c r="AG51" s="47">
        <f t="shared" si="24"/>
        <v>4.3739470791861385E-2</v>
      </c>
      <c r="AH51" s="47">
        <f t="shared" si="25"/>
        <v>4.4825129779656789E-2</v>
      </c>
      <c r="AI51" s="47">
        <f t="shared" si="21"/>
        <v>6.6966947495933279E-3</v>
      </c>
      <c r="AP51" s="3"/>
      <c r="AQ51" s="48">
        <f>I51/H51-1</f>
        <v>-1</v>
      </c>
      <c r="AR51" s="48"/>
      <c r="AS51" s="48">
        <f t="shared" si="65"/>
        <v>2.19780219780219E-2</v>
      </c>
      <c r="AT51" s="48">
        <f t="shared" si="66"/>
        <v>0</v>
      </c>
      <c r="AU51" s="48">
        <f t="shared" si="67"/>
        <v>-2.1213388268615962E-2</v>
      </c>
      <c r="AV51" s="48"/>
      <c r="AW51" s="48"/>
      <c r="AX51" s="48"/>
      <c r="AY51" s="49"/>
    </row>
    <row r="52" spans="6:51" x14ac:dyDescent="0.3">
      <c r="F52" s="39"/>
      <c r="G52" s="39"/>
      <c r="H52" s="52"/>
      <c r="I52" s="52"/>
      <c r="J52" s="39"/>
      <c r="K52" s="39"/>
      <c r="L52" s="64"/>
      <c r="M52" s="65"/>
      <c r="N52" s="65"/>
      <c r="O52" s="65"/>
      <c r="P52" s="65"/>
      <c r="Q52" s="66"/>
      <c r="R52" s="67"/>
      <c r="S52" s="68"/>
      <c r="T52" s="65"/>
      <c r="U52" s="65"/>
      <c r="V52" s="65"/>
      <c r="W52" s="65"/>
      <c r="X52" s="65"/>
      <c r="Z52" s="19">
        <f t="shared" si="58"/>
        <v>0</v>
      </c>
      <c r="AA52" s="19">
        <f t="shared" si="59"/>
        <v>0</v>
      </c>
      <c r="AB52" s="19">
        <f t="shared" si="60"/>
        <v>0</v>
      </c>
      <c r="AC52" s="19">
        <f t="shared" si="34"/>
        <v>0</v>
      </c>
      <c r="AD52" s="47">
        <f t="shared" si="10"/>
        <v>0</v>
      </c>
      <c r="AE52" s="47">
        <f t="shared" si="61"/>
        <v>0</v>
      </c>
      <c r="AF52" s="47">
        <f t="shared" si="62"/>
        <v>0</v>
      </c>
      <c r="AG52" s="47">
        <f t="shared" si="24"/>
        <v>0</v>
      </c>
      <c r="AH52" s="47">
        <f t="shared" si="25"/>
        <v>0</v>
      </c>
      <c r="AI52" s="47">
        <f t="shared" si="21"/>
        <v>0</v>
      </c>
      <c r="AP52" s="3"/>
      <c r="AQ52" s="48"/>
      <c r="AR52" s="48"/>
      <c r="AS52" s="48"/>
      <c r="AT52" s="48"/>
      <c r="AU52" s="48"/>
      <c r="AV52" s="48"/>
      <c r="AW52" s="48"/>
      <c r="AX52" s="48"/>
      <c r="AY52" s="49"/>
    </row>
    <row r="53" spans="6:51" ht="14.5" thickBot="1" x14ac:dyDescent="0.35">
      <c r="F53" s="39" t="s">
        <v>453</v>
      </c>
      <c r="G53" s="39"/>
      <c r="H53" s="91">
        <f t="shared" ref="H53:R53" si="70">H31-H50-H51</f>
        <v>3006</v>
      </c>
      <c r="I53" s="91">
        <f t="shared" si="70"/>
        <v>2074</v>
      </c>
      <c r="J53" s="91">
        <f t="shared" si="70"/>
        <v>1570</v>
      </c>
      <c r="K53" s="91">
        <f t="shared" si="70"/>
        <v>1891</v>
      </c>
      <c r="L53" s="91">
        <f t="shared" si="70"/>
        <v>2160.1849999999995</v>
      </c>
      <c r="M53" s="91">
        <f t="shared" si="70"/>
        <v>2611.3723361096081</v>
      </c>
      <c r="N53" s="91">
        <f t="shared" si="70"/>
        <v>42.788794182540421</v>
      </c>
      <c r="O53" s="91">
        <f t="shared" si="70"/>
        <v>1088.529829549424</v>
      </c>
      <c r="P53" s="91">
        <f t="shared" si="70"/>
        <v>1118.3051192166602</v>
      </c>
      <c r="Q53" s="91">
        <f t="shared" si="70"/>
        <v>167.08799503614011</v>
      </c>
      <c r="R53" s="91">
        <f t="shared" si="70"/>
        <v>0</v>
      </c>
      <c r="S53" s="110"/>
      <c r="T53" s="108"/>
      <c r="U53" s="108"/>
      <c r="V53" s="108"/>
      <c r="W53" s="108"/>
      <c r="X53" s="108"/>
      <c r="Y53" s="111"/>
      <c r="Z53" s="47">
        <f t="shared" si="58"/>
        <v>5.4348219128548179</v>
      </c>
      <c r="AA53" s="47">
        <f t="shared" si="59"/>
        <v>4.3439103571054565</v>
      </c>
      <c r="AB53" s="47">
        <f t="shared" si="60"/>
        <v>2.8552722511184667</v>
      </c>
      <c r="AC53" s="47">
        <f t="shared" si="34"/>
        <v>3.6562965254548621</v>
      </c>
      <c r="AD53" s="47">
        <f t="shared" si="10"/>
        <v>2.6587546770382033</v>
      </c>
      <c r="AE53" s="47">
        <f t="shared" si="61"/>
        <v>4.9403778289615882E-2</v>
      </c>
      <c r="AF53" s="47">
        <f t="shared" si="62"/>
        <v>4.9403778289615882E-2</v>
      </c>
      <c r="AG53" s="47">
        <f t="shared" si="24"/>
        <v>1.2547908825524623</v>
      </c>
      <c r="AH53" s="47">
        <f t="shared" si="25"/>
        <v>1.2859360924689085</v>
      </c>
      <c r="AI53" s="47">
        <f t="shared" si="21"/>
        <v>0.19211369874621784</v>
      </c>
      <c r="AP53" s="24"/>
      <c r="AQ53" s="112">
        <f t="shared" ref="AQ53" si="71">I53/H53-1</f>
        <v>-0.31004657351962739</v>
      </c>
      <c r="AR53" s="112">
        <f t="shared" si="64"/>
        <v>-0.24300867888138866</v>
      </c>
      <c r="AS53" s="112">
        <f t="shared" si="65"/>
        <v>0.20445859872611472</v>
      </c>
      <c r="AT53" s="112">
        <f t="shared" si="66"/>
        <v>0.14235060814383904</v>
      </c>
      <c r="AU53" s="112">
        <f t="shared" si="67"/>
        <v>0.20886513706446852</v>
      </c>
      <c r="AV53" s="112"/>
      <c r="AW53" s="112"/>
      <c r="AX53" s="112"/>
      <c r="AY53" s="113"/>
    </row>
    <row r="54" spans="6:51" x14ac:dyDescent="0.3">
      <c r="F54" s="99"/>
      <c r="G54" s="99"/>
      <c r="H54" s="860">
        <f>H53/H31</f>
        <v>0.70862800565770867</v>
      </c>
      <c r="I54" s="860">
        <f t="shared" ref="I54:Q54" si="72">I53/I31</f>
        <v>1</v>
      </c>
      <c r="J54" s="860">
        <f t="shared" si="72"/>
        <v>0.74372335386072952</v>
      </c>
      <c r="K54" s="860">
        <f t="shared" si="72"/>
        <v>0.77691043549712413</v>
      </c>
      <c r="L54" s="860">
        <f t="shared" si="72"/>
        <v>0.79912584599278258</v>
      </c>
      <c r="M54" s="860">
        <f t="shared" si="72"/>
        <v>0.829939908837659</v>
      </c>
      <c r="N54" s="860">
        <f t="shared" si="72"/>
        <v>0.82993990883765889</v>
      </c>
      <c r="O54" s="860">
        <f t="shared" si="72"/>
        <v>0.82993990883765911</v>
      </c>
      <c r="P54" s="860">
        <f t="shared" si="72"/>
        <v>0.82993990883765889</v>
      </c>
      <c r="Q54" s="860">
        <f t="shared" si="72"/>
        <v>0.829939908837659</v>
      </c>
      <c r="R54" s="67"/>
      <c r="S54" s="68"/>
      <c r="T54" s="65"/>
      <c r="U54" s="65"/>
      <c r="V54" s="65"/>
      <c r="W54" s="65"/>
      <c r="X54" s="65"/>
      <c r="AQ54" s="114"/>
      <c r="AR54" s="114"/>
      <c r="AS54" s="114"/>
      <c r="AT54" s="114"/>
      <c r="AU54" s="114"/>
      <c r="AV54" s="114"/>
      <c r="AW54" s="114"/>
      <c r="AX54" s="114"/>
      <c r="AY54" s="114"/>
    </row>
    <row r="55" spans="6:51" ht="15" thickBot="1" x14ac:dyDescent="0.4">
      <c r="F55" s="115" t="s">
        <v>600</v>
      </c>
      <c r="G55" s="115"/>
      <c r="H55" s="116">
        <f t="shared" ref="H55:Q55" si="73">H3</f>
        <v>55310</v>
      </c>
      <c r="I55" s="116">
        <f t="shared" si="73"/>
        <v>47745</v>
      </c>
      <c r="J55" s="116">
        <f t="shared" si="73"/>
        <v>54986</v>
      </c>
      <c r="K55" s="116">
        <f t="shared" si="73"/>
        <v>51719</v>
      </c>
      <c r="L55" s="116">
        <f t="shared" si="73"/>
        <v>81248</v>
      </c>
      <c r="M55" s="116">
        <f t="shared" si="73"/>
        <v>83362.113636363632</v>
      </c>
      <c r="N55" s="116">
        <f t="shared" si="73"/>
        <v>86610.368000000002</v>
      </c>
      <c r="O55" s="116">
        <f t="shared" si="73"/>
        <v>86749.8995</v>
      </c>
      <c r="P55" s="116">
        <f t="shared" si="73"/>
        <v>86964.284287999995</v>
      </c>
      <c r="Q55" s="116">
        <f t="shared" si="73"/>
        <v>86973.493367000003</v>
      </c>
      <c r="R55" s="117"/>
      <c r="S55" s="44"/>
      <c r="T55" s="41"/>
      <c r="U55" s="41"/>
      <c r="V55" s="41"/>
      <c r="W55" s="41"/>
      <c r="X55" s="41"/>
      <c r="Y55"/>
    </row>
    <row r="56" spans="6:51" ht="14.5" thickBot="1" x14ac:dyDescent="0.35">
      <c r="R56" s="118"/>
      <c r="S56" s="19"/>
      <c r="T56" s="19"/>
      <c r="U56" s="19"/>
      <c r="V56" s="19"/>
      <c r="W56" s="19"/>
      <c r="X56" s="19"/>
    </row>
    <row r="57" spans="6:51" x14ac:dyDescent="0.3">
      <c r="F57" s="782" t="s">
        <v>963</v>
      </c>
      <c r="G57" s="522"/>
      <c r="H57" s="783"/>
      <c r="I57" s="784">
        <f>I50/I31</f>
        <v>0</v>
      </c>
      <c r="J57" s="784">
        <f>J50/J31</f>
        <v>0.21316911416390336</v>
      </c>
      <c r="K57" s="784">
        <f>K50/K31</f>
        <v>0.18488085456039441</v>
      </c>
      <c r="L57" s="784">
        <f>L50/L31</f>
        <v>0.16647029337614705</v>
      </c>
      <c r="M57" s="785">
        <f>AVERAGE(I57:L57)</f>
        <v>0.1411300655251112</v>
      </c>
    </row>
    <row r="58" spans="6:51" ht="14.5" thickBot="1" x14ac:dyDescent="0.35">
      <c r="F58" s="786" t="s">
        <v>964</v>
      </c>
      <c r="I58" s="787">
        <f>I51/I31</f>
        <v>0</v>
      </c>
      <c r="J58" s="787">
        <f t="shared" ref="J58:L58" si="74">J51/J31</f>
        <v>4.3107531975367125E-2</v>
      </c>
      <c r="K58" s="787">
        <f t="shared" si="74"/>
        <v>3.820870994248151E-2</v>
      </c>
      <c r="L58" s="787">
        <f t="shared" si="74"/>
        <v>3.4403860631070392E-2</v>
      </c>
      <c r="M58" s="788">
        <f>AVERAGE(I58:L58)</f>
        <v>2.893002563722976E-2</v>
      </c>
    </row>
    <row r="59" spans="6:51" ht="14.5" thickBot="1" x14ac:dyDescent="0.35">
      <c r="F59" s="121"/>
      <c r="G59" s="122"/>
      <c r="H59" s="789"/>
      <c r="I59" s="789"/>
      <c r="J59" s="122"/>
      <c r="K59" s="122"/>
      <c r="L59" s="122"/>
      <c r="M59" s="123"/>
    </row>
    <row r="91" spans="8:8" x14ac:dyDescent="0.3">
      <c r="H91" s="28">
        <f>144373+123225+93296+113707</f>
        <v>474601</v>
      </c>
    </row>
  </sheetData>
  <dataConsolidate/>
  <mergeCells count="3">
    <mergeCell ref="S1:X1"/>
    <mergeCell ref="Z1:AI1"/>
    <mergeCell ref="E1:Q1"/>
  </mergeCells>
  <phoneticPr fontId="2" type="noConversion"/>
  <hyperlinks>
    <hyperlink ref="G3" location="NOTES!C2" display="NOTES!C2" xr:uid="{00000000-0004-0000-0000-000000000000}"/>
    <hyperlink ref="G4" location="NOTES!C42" display="NOTES!C42" xr:uid="{00000000-0004-0000-0000-000001000000}"/>
    <hyperlink ref="G15" location="NOTES!C58" display="NOTES!C58" xr:uid="{00000000-0004-0000-0000-000002000000}"/>
    <hyperlink ref="G17" location="NOTES!C81" display="NOTES!C81" xr:uid="{00000000-0004-0000-0000-000004000000}"/>
    <hyperlink ref="G18" location="NOTES!C89" display="NOTES!C89" xr:uid="{00000000-0004-0000-0000-000005000000}"/>
    <hyperlink ref="G20" location="NOTES!C101" display="NOTES!C101" xr:uid="{00000000-0004-0000-0000-000006000000}"/>
    <hyperlink ref="G27" location="NOTES!C148" display="NOTES!C148" xr:uid="{00000000-0004-0000-0000-000007000000}"/>
    <hyperlink ref="G48" location="NOTES!C183" display="NOTES!C183" xr:uid="{00000000-0004-0000-0000-000008000000}"/>
    <hyperlink ref="G50" location="NOTES!C631" display="NOTES!C631" xr:uid="{00000000-0004-0000-0000-000009000000}"/>
    <hyperlink ref="G51" location="NOTES!C631" display="NOTES!C631" xr:uid="{00000000-0004-0000-0000-00000A000000}"/>
    <hyperlink ref="G7" location="NOTES!C195" display="NOTES!C195" xr:uid="{7D87883E-C76E-431D-A2D0-F14DE07E6F52}"/>
    <hyperlink ref="G16" location="NOTES!C207" display="NOTES!C207" xr:uid="{03F3AA54-8BF0-48F1-BBC9-F44171A32279}"/>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Y126"/>
  <sheetViews>
    <sheetView showGridLines="0" zoomScale="115" zoomScaleNormal="115" workbookViewId="0">
      <pane xSplit="2" ySplit="2" topLeftCell="C3" activePane="bottomRight" state="frozen"/>
      <selection pane="topRight" activeCell="C1" sqref="C1"/>
      <selection pane="bottomLeft" activeCell="A3" sqref="A3"/>
      <selection pane="bottomRight" activeCell="A31" sqref="A31:XFD31"/>
    </sheetView>
  </sheetViews>
  <sheetFormatPr defaultColWidth="9.1796875" defaultRowHeight="14" x14ac:dyDescent="0.3"/>
  <cols>
    <col min="1" max="1" width="20" style="17" customWidth="1"/>
    <col min="2" max="2" width="47.26953125" style="17" customWidth="1"/>
    <col min="3" max="3" width="16.453125" style="17" customWidth="1"/>
    <col min="4" max="4" width="12.453125" style="17" customWidth="1"/>
    <col min="5" max="5" width="10.453125" style="17" bestFit="1" customWidth="1"/>
    <col min="6" max="7" width="11.26953125" style="17" bestFit="1" customWidth="1"/>
    <col min="8" max="8" width="11.26953125" style="17" customWidth="1"/>
    <col min="9" max="13" width="12.1796875" style="17" bestFit="1" customWidth="1"/>
    <col min="14" max="16" width="9.1796875" style="17"/>
    <col min="17" max="17" width="11" style="529" bestFit="1" customWidth="1"/>
    <col min="18" max="19" width="8.453125" style="17" bestFit="1" customWidth="1"/>
    <col min="20" max="20" width="13.453125" style="17" customWidth="1"/>
    <col min="21" max="21" width="11.54296875" style="17" customWidth="1"/>
    <col min="22" max="22" width="12" style="17" customWidth="1"/>
    <col min="23" max="16384" width="9.1796875" style="17"/>
  </cols>
  <sheetData>
    <row r="2" spans="2:17" ht="14.5" thickBot="1" x14ac:dyDescent="0.35">
      <c r="B2" s="1014" t="s">
        <v>775</v>
      </c>
      <c r="C2" s="1014"/>
      <c r="D2" s="1014"/>
      <c r="E2" s="1014"/>
      <c r="F2" s="1014"/>
      <c r="G2" s="1014"/>
      <c r="H2" s="260"/>
      <c r="I2" s="1015" t="s">
        <v>866</v>
      </c>
      <c r="J2" s="1015"/>
      <c r="K2" s="1015"/>
      <c r="L2" s="1015"/>
      <c r="M2" s="1015"/>
      <c r="Q2" s="528"/>
    </row>
    <row r="3" spans="2:17" ht="14.5" thickBot="1" x14ac:dyDescent="0.35">
      <c r="B3" s="252" t="s">
        <v>169</v>
      </c>
      <c r="C3" s="252" t="s">
        <v>7</v>
      </c>
      <c r="D3" s="29" t="s">
        <v>931</v>
      </c>
      <c r="E3" s="29" t="s">
        <v>410</v>
      </c>
      <c r="F3" s="30" t="s">
        <v>152</v>
      </c>
      <c r="G3" s="29" t="s">
        <v>153</v>
      </c>
      <c r="H3" s="31" t="s">
        <v>868</v>
      </c>
      <c r="I3" s="32" t="s">
        <v>932</v>
      </c>
      <c r="J3" s="32" t="s">
        <v>933</v>
      </c>
      <c r="K3" s="32" t="s">
        <v>934</v>
      </c>
      <c r="L3" s="32" t="s">
        <v>935</v>
      </c>
      <c r="M3" s="33" t="s">
        <v>936</v>
      </c>
      <c r="Q3" s="528"/>
    </row>
    <row r="4" spans="2:17" ht="14.5" thickBot="1" x14ac:dyDescent="0.35">
      <c r="B4" s="261" t="s">
        <v>170</v>
      </c>
      <c r="C4" s="252"/>
      <c r="D4" s="252"/>
      <c r="E4" s="252"/>
      <c r="F4" s="252"/>
      <c r="G4" s="434"/>
      <c r="H4" s="434"/>
      <c r="I4" s="769"/>
      <c r="J4" s="769"/>
      <c r="K4" s="769"/>
      <c r="L4" s="769"/>
      <c r="M4" s="769"/>
      <c r="Q4" s="528"/>
    </row>
    <row r="5" spans="2:17" ht="14.5" thickBot="1" x14ac:dyDescent="0.35">
      <c r="B5" s="262" t="s">
        <v>171</v>
      </c>
      <c r="C5" s="252"/>
      <c r="D5" s="293"/>
      <c r="E5" s="293"/>
      <c r="F5" s="293"/>
      <c r="G5" s="293"/>
      <c r="H5" s="293"/>
      <c r="I5" s="770"/>
      <c r="J5" s="770"/>
      <c r="K5" s="770"/>
      <c r="L5" s="770"/>
      <c r="M5" s="770"/>
      <c r="Q5" s="528"/>
    </row>
    <row r="6" spans="2:17" ht="15" thickBot="1" x14ac:dyDescent="0.4">
      <c r="B6" s="268" t="s">
        <v>176</v>
      </c>
      <c r="C6" s="909" t="s">
        <v>727</v>
      </c>
      <c r="D6" s="265">
        <f>NOTES!D1237</f>
        <v>6208</v>
      </c>
      <c r="E6" s="265">
        <f>NOTES!E1237</f>
        <v>6077</v>
      </c>
      <c r="F6" s="265">
        <f>NOTES!F1237</f>
        <v>12746</v>
      </c>
      <c r="G6" s="265">
        <f>NOTES!G1237</f>
        <v>19841</v>
      </c>
      <c r="H6" s="265">
        <f>NOTES!H1237</f>
        <v>22762</v>
      </c>
      <c r="I6" s="265">
        <f>$H$6/'INCOME STATEMENT'!$L$3*'INCOME STATEMENT'!M3</f>
        <v>23354.278635669914</v>
      </c>
      <c r="J6" s="265">
        <f>$H$6/'INCOME STATEMENT'!$L$3*'INCOME STATEMENT'!N3</f>
        <v>24264.292000000001</v>
      </c>
      <c r="K6" s="265">
        <f>$H$6/'INCOME STATEMENT'!$L$3*'INCOME STATEMENT'!O3</f>
        <v>24303.382389954215</v>
      </c>
      <c r="L6" s="265">
        <f>$H$6/'INCOME STATEMENT'!$L$3*'INCOME STATEMENT'!P3</f>
        <v>24363.443272</v>
      </c>
      <c r="M6" s="265">
        <f>$H$6/'INCOME STATEMENT'!$L$3*'INCOME STATEMENT'!Q3</f>
        <v>24366.023237736979</v>
      </c>
      <c r="Q6" s="528"/>
    </row>
    <row r="7" spans="2:17" ht="28.5" thickBot="1" x14ac:dyDescent="0.35">
      <c r="B7" s="953" t="s">
        <v>177</v>
      </c>
      <c r="C7" s="267"/>
      <c r="D7" s="252">
        <v>9819</v>
      </c>
      <c r="E7" s="252">
        <v>17952</v>
      </c>
      <c r="F7" s="265">
        <v>25081</v>
      </c>
      <c r="G7" s="265">
        <v>16450</v>
      </c>
      <c r="H7" s="265">
        <v>21431</v>
      </c>
      <c r="I7" s="771">
        <f>$H$7/'INCOME STATEMENT'!$L$3*'INCOME STATEMENT'!M3</f>
        <v>21988.645349312097</v>
      </c>
      <c r="J7" s="771">
        <f>$H$7/'INCOME STATEMENT'!L3*'INCOME STATEMENT'!N3</f>
        <v>22845.446000000004</v>
      </c>
      <c r="K7" s="771">
        <f>$H$7/'INCOME STATEMENT'!M3*'INCOME STATEMENT'!O3</f>
        <v>22301.942874125019</v>
      </c>
      <c r="L7" s="771">
        <f>$H$7/'INCOME STATEMENT'!N3*'INCOME STATEMENT'!P3</f>
        <v>21518.573579737335</v>
      </c>
      <c r="M7" s="771">
        <f>$H$7/'INCOME STATEMENT'!O3*'INCOME STATEMENT'!Q3</f>
        <v>21486.237414582563</v>
      </c>
      <c r="Q7" s="528"/>
    </row>
    <row r="8" spans="2:17" ht="15" thickBot="1" x14ac:dyDescent="0.4">
      <c r="B8" s="268" t="s">
        <v>178</v>
      </c>
      <c r="C8" s="908" t="s">
        <v>683</v>
      </c>
      <c r="D8" s="263">
        <f>NOTES!N934</f>
        <v>27826</v>
      </c>
      <c r="E8" s="263">
        <f>NOTES!N946</f>
        <v>27030</v>
      </c>
      <c r="F8" s="265">
        <f>NOTES!N958</f>
        <v>35430</v>
      </c>
      <c r="G8" s="265">
        <f>NOTES!N972</f>
        <v>44298</v>
      </c>
      <c r="H8" s="265">
        <f>NOTES!P986</f>
        <v>61855</v>
      </c>
      <c r="I8" s="771">
        <f>$H$8/'INCOME STATEMENT'!$L$3*'INCOME STATEMENT'!M3</f>
        <v>63464.498067365006</v>
      </c>
      <c r="J8" s="771">
        <f>$H$8/'INCOME STATEMENT'!L4*'INCOME STATEMENT'!N4</f>
        <v>65937.429999999993</v>
      </c>
      <c r="K8" s="771">
        <f>$H$8/'INCOME STATEMENT'!M4*'INCOME STATEMENT'!O4</f>
        <v>58116.308550635287</v>
      </c>
      <c r="L8" s="771">
        <f>$H$8/'INCOME STATEMENT'!N4*'INCOME STATEMENT'!P4</f>
        <v>62107.758330206379</v>
      </c>
      <c r="M8" s="771">
        <f>$H$8/'INCOME STATEMENT'!O4*'INCOME STATEMENT'!Q4</f>
        <v>62014.428411133595</v>
      </c>
      <c r="Q8" s="528"/>
    </row>
    <row r="9" spans="2:17" ht="14.5" thickBot="1" x14ac:dyDescent="0.35">
      <c r="B9" s="268" t="s">
        <v>179</v>
      </c>
      <c r="C9" s="267" t="s">
        <v>730</v>
      </c>
      <c r="D9" s="265">
        <f>NOTES!E858</f>
        <v>3069</v>
      </c>
      <c r="E9" s="265">
        <f>NOTES!F858</f>
        <v>3069</v>
      </c>
      <c r="F9" s="265">
        <f>NOTES!G858</f>
        <v>3069</v>
      </c>
      <c r="G9" s="265">
        <f>NOTES!H858</f>
        <v>3069</v>
      </c>
      <c r="H9" s="265">
        <f>NOTES!I858</f>
        <v>5167</v>
      </c>
      <c r="I9" s="772">
        <f>$H$9/'INCOME STATEMENT'!$L$3*'INCOME STATEMENT'!M3</f>
        <v>5301.4479268300865</v>
      </c>
      <c r="J9" s="772">
        <v>3069</v>
      </c>
      <c r="K9" s="772">
        <v>3069</v>
      </c>
      <c r="L9" s="772">
        <v>3069</v>
      </c>
      <c r="M9" s="773">
        <v>3069</v>
      </c>
      <c r="Q9" s="528"/>
    </row>
    <row r="10" spans="2:17" ht="15" thickBot="1" x14ac:dyDescent="0.4">
      <c r="B10" s="268" t="s">
        <v>180</v>
      </c>
      <c r="C10" s="267" t="s">
        <v>732</v>
      </c>
      <c r="D10" s="263">
        <f>NOTES!N995</f>
        <v>42</v>
      </c>
      <c r="E10" s="263">
        <f>NOTES!N1002</f>
        <v>47</v>
      </c>
      <c r="F10" s="263">
        <f>NOTES!N1009</f>
        <v>103</v>
      </c>
      <c r="G10" s="263">
        <f>NOTES!N1016</f>
        <v>116</v>
      </c>
      <c r="H10" s="263">
        <f>NOTES!N1024</f>
        <v>72</v>
      </c>
      <c r="I10" s="774">
        <f>$G$10/'INCOME STATEMENT'!$L$3*'INCOME STATEMENT'!M3</f>
        <v>119.01837807476099</v>
      </c>
      <c r="J10" s="774">
        <f>$G$10/'INCOME STATEMENT'!$L$3*'INCOME STATEMENT'!N3</f>
        <v>123.65599999999999</v>
      </c>
      <c r="K10" s="774">
        <f>$G$10/'INCOME STATEMENT'!$L$3*'INCOME STATEMENT'!O3</f>
        <v>123.85521295293422</v>
      </c>
      <c r="L10" s="774">
        <f>$G$10/'INCOME STATEMENT'!$L$3*'INCOME STATEMENT'!P3</f>
        <v>124.16129599999999</v>
      </c>
      <c r="M10" s="774">
        <f>$G$10/'INCOME STATEMENT'!$L$3*'INCOME STATEMENT'!Q3</f>
        <v>124.17444405489366</v>
      </c>
      <c r="N10"/>
      <c r="O10"/>
      <c r="Q10" s="528"/>
    </row>
    <row r="11" spans="2:17" ht="14.5" thickBot="1" x14ac:dyDescent="0.35">
      <c r="B11" s="268" t="s">
        <v>892</v>
      </c>
      <c r="C11" s="267"/>
      <c r="D11" s="263">
        <v>0</v>
      </c>
      <c r="E11" s="263">
        <v>0</v>
      </c>
      <c r="F11" s="263"/>
      <c r="G11" s="263"/>
      <c r="H11" s="263"/>
      <c r="I11" s="770"/>
      <c r="J11" s="775"/>
      <c r="K11" s="775"/>
      <c r="L11" s="775"/>
      <c r="M11" s="776"/>
      <c r="Q11" s="528"/>
    </row>
    <row r="12" spans="2:17" ht="14.5" thickBot="1" x14ac:dyDescent="0.35">
      <c r="B12" s="270" t="s">
        <v>181</v>
      </c>
      <c r="C12" s="252"/>
      <c r="D12" s="252"/>
      <c r="E12" s="252"/>
      <c r="F12" s="252"/>
      <c r="G12" s="252"/>
      <c r="H12" s="252"/>
      <c r="I12" s="770"/>
      <c r="J12" s="770"/>
      <c r="K12" s="770"/>
      <c r="L12" s="770"/>
      <c r="M12" s="770"/>
      <c r="Q12" s="528"/>
    </row>
    <row r="13" spans="2:17" ht="14.5" thickBot="1" x14ac:dyDescent="0.35">
      <c r="B13" s="268" t="s">
        <v>182</v>
      </c>
      <c r="C13" s="267" t="s">
        <v>891</v>
      </c>
      <c r="D13" s="265">
        <f>NOTES!E236</f>
        <v>2898</v>
      </c>
      <c r="E13" s="265">
        <f>NOTES!F236</f>
        <v>3448</v>
      </c>
      <c r="F13" s="265">
        <f>NOTES!G236</f>
        <v>4235</v>
      </c>
      <c r="G13" s="265">
        <f>NOTES!H236</f>
        <v>7779</v>
      </c>
      <c r="H13" s="265">
        <f>NOTES!I236</f>
        <v>7888</v>
      </c>
      <c r="I13" s="774">
        <f>$H$13/'INCOME STATEMENT'!$L$3*'INCOME STATEMENT'!M3</f>
        <v>8093.2497090837478</v>
      </c>
      <c r="J13" s="774">
        <f>$H$13/'INCOME STATEMENT'!$L$3*'INCOME STATEMENT'!N3</f>
        <v>8408.6080000000002</v>
      </c>
      <c r="K13" s="774">
        <f>$H$13/'INCOME STATEMENT'!$L$3*'INCOME STATEMENT'!O3</f>
        <v>8422.1544807995269</v>
      </c>
      <c r="L13" s="774">
        <f>$H$13/'INCOME STATEMENT'!$L$3*'INCOME STATEMENT'!P3</f>
        <v>8442.9681280000004</v>
      </c>
      <c r="M13" s="774">
        <f>$H$13/'INCOME STATEMENT'!$L$3*'INCOME STATEMENT'!Q3</f>
        <v>8443.8621957327687</v>
      </c>
      <c r="Q13" s="528"/>
    </row>
    <row r="14" spans="2:17" ht="14.5" thickBot="1" x14ac:dyDescent="0.35">
      <c r="B14" s="268" t="s">
        <v>183</v>
      </c>
      <c r="C14" s="264" t="s">
        <v>706</v>
      </c>
      <c r="D14" s="265">
        <f>NOTES!E369</f>
        <v>9820</v>
      </c>
      <c r="E14" s="265">
        <f>NOTES!F369</f>
        <v>9121</v>
      </c>
      <c r="F14" s="265">
        <f>NOTES!G369</f>
        <v>9104</v>
      </c>
      <c r="G14" s="265">
        <f>NOTES!H369</f>
        <v>9043</v>
      </c>
      <c r="H14" s="265">
        <f>NOTES!I369</f>
        <v>12051</v>
      </c>
      <c r="I14" s="771">
        <f>$H$14/'INCOME STATEMENT'!$L$5*'INCOME STATEMENT'!M5</f>
        <v>12383.695698450201</v>
      </c>
      <c r="J14" s="771">
        <f>$H$14/'INCOME STATEMENT'!$L$5*'INCOME STATEMENT'!N5</f>
        <v>12846.366000000002</v>
      </c>
      <c r="K14" s="771">
        <f>$H$14/'INCOME STATEMENT'!$L$5*'INCOME STATEMENT'!O5</f>
        <v>12867.061821515606</v>
      </c>
      <c r="L14" s="771">
        <f>$H$14/'INCOME STATEMENT'!$L$5*'INCOME STATEMENT'!P5</f>
        <v>12898.860155999999</v>
      </c>
      <c r="M14" s="771">
        <f>$H$14/'INCOME STATEMENT'!$L$5*'INCOME STATEMENT'!Q5</f>
        <v>12900.226080220031</v>
      </c>
      <c r="Q14" s="528"/>
    </row>
    <row r="15" spans="2:17" ht="14.5" thickBot="1" x14ac:dyDescent="0.35">
      <c r="B15" s="268" t="s">
        <v>184</v>
      </c>
      <c r="C15" s="267" t="s">
        <v>705</v>
      </c>
      <c r="D15" s="252">
        <f>NOTES!E389</f>
        <v>1238</v>
      </c>
      <c r="E15" s="252">
        <f>NOTES!F389</f>
        <v>1396</v>
      </c>
      <c r="F15" s="265">
        <f>NOTES!G389</f>
        <v>1814</v>
      </c>
      <c r="G15" s="265">
        <f>NOTES!H389</f>
        <v>1853</v>
      </c>
      <c r="H15" s="265">
        <f>NOTES!I389</f>
        <v>1222</v>
      </c>
      <c r="I15" s="771">
        <f>NOTES!J389</f>
        <v>1255.0009387203238</v>
      </c>
      <c r="J15" s="771">
        <f>NOTES!K389</f>
        <v>1288.8930901709441</v>
      </c>
      <c r="K15" s="771">
        <f>NOTES!L389</f>
        <v>1323.7005221560341</v>
      </c>
      <c r="L15" s="771">
        <f>NOTES!M389</f>
        <v>1359.4479524471403</v>
      </c>
      <c r="M15" s="771">
        <f>NOTES!N389</f>
        <v>1396.1607663359928</v>
      </c>
      <c r="Q15" s="528"/>
    </row>
    <row r="16" spans="2:17" ht="14.5" thickBot="1" x14ac:dyDescent="0.35">
      <c r="B16" s="268" t="s">
        <v>209</v>
      </c>
      <c r="C16" s="267" t="s">
        <v>707</v>
      </c>
      <c r="D16" s="252">
        <f>NOTES!E780</f>
        <v>92</v>
      </c>
      <c r="E16" s="252">
        <f>NOTES!F780</f>
        <v>1014</v>
      </c>
      <c r="F16" s="252">
        <f>NOTES!G780</f>
        <v>691</v>
      </c>
      <c r="G16" s="252">
        <f>NOTES!H780</f>
        <v>6374</v>
      </c>
      <c r="H16" s="252">
        <f>NOTES!I780</f>
        <v>5640</v>
      </c>
      <c r="I16" s="771">
        <f>$H$16/ANALYTICAL!$H$13*ANALYTICAL!I13</f>
        <v>6437.6975977087932</v>
      </c>
      <c r="J16" s="771">
        <f>$H$16/ANALYTICAL!$H$13*ANALYTICAL!J13</f>
        <v>4787.0433532124689</v>
      </c>
      <c r="K16" s="771">
        <f>$H$16/ANALYTICAL!$H$13*ANALYTICAL!K13</f>
        <v>5924.4572600480615</v>
      </c>
      <c r="L16" s="771">
        <f>$H$16/ANALYTICAL!$H$13*ANALYTICAL!L13</f>
        <v>5925.9796955806432</v>
      </c>
      <c r="M16" s="771">
        <f>$H$16/ANALYTICAL!$H$13*ANALYTICAL!M13</f>
        <v>5970.7670490175451</v>
      </c>
      <c r="Q16" s="528"/>
    </row>
    <row r="17" spans="2:17" ht="14.5" thickBot="1" x14ac:dyDescent="0.35">
      <c r="B17" s="268" t="s">
        <v>210</v>
      </c>
      <c r="C17" s="252"/>
      <c r="D17" s="252">
        <v>1952</v>
      </c>
      <c r="E17" s="252">
        <v>2035</v>
      </c>
      <c r="F17" s="265">
        <v>2778</v>
      </c>
      <c r="G17" s="265">
        <v>3625</v>
      </c>
      <c r="H17" s="265">
        <v>5135</v>
      </c>
      <c r="I17" s="771">
        <f>$H$17/ANALYTICAL!$H$13*ANALYTICAL!I13</f>
        <v>5861.2725468501158</v>
      </c>
      <c r="J17" s="771">
        <f>$H$17/ANALYTICAL!$H$13*ANALYTICAL!J13</f>
        <v>4358.4162444585154</v>
      </c>
      <c r="K17" s="771">
        <f>$H$17/ANALYTICAL!$H$13*ANALYTICAL!K13</f>
        <v>5393.9872394231907</v>
      </c>
      <c r="L17" s="771">
        <f>$H$17/ANALYTICAL!$H$13*ANALYTICAL!L13</f>
        <v>5395.3733575898232</v>
      </c>
      <c r="M17" s="771">
        <f>$H$17/ANALYTICAL!$H$13*ANALYTICAL!M13</f>
        <v>5436.1504958696978</v>
      </c>
      <c r="Q17" s="528"/>
    </row>
    <row r="18" spans="2:17" ht="14.5" thickBot="1" x14ac:dyDescent="0.35">
      <c r="B18" s="266" t="s">
        <v>185</v>
      </c>
      <c r="C18" s="267" t="s">
        <v>708</v>
      </c>
      <c r="D18" s="265">
        <f>NOTES!E410</f>
        <v>2285</v>
      </c>
      <c r="E18" s="265">
        <f>NOTES!F410</f>
        <v>3220</v>
      </c>
      <c r="F18" s="265">
        <f>NOTES!G410</f>
        <v>4235</v>
      </c>
      <c r="G18" s="265">
        <f>NOTES!H410</f>
        <v>3474</v>
      </c>
      <c r="H18" s="265">
        <f>NOTES!I410</f>
        <v>3817</v>
      </c>
      <c r="I18" s="771">
        <f>$H$18/'INCOME STATEMENT'!$L$3*'INCOME STATEMENT'!M3</f>
        <v>3916.3202509600237</v>
      </c>
      <c r="J18" s="771">
        <f>$H$18/'INCOME STATEMENT'!$L$3*'INCOME STATEMENT'!N3</f>
        <v>4068.9220000000005</v>
      </c>
      <c r="K18" s="771">
        <f>$H$18/'INCOME STATEMENT'!$L$3*'INCOME STATEMENT'!O3</f>
        <v>4075.4771365633619</v>
      </c>
      <c r="L18" s="771">
        <f>$H$18/'INCOME STATEMENT'!$L$3*'INCOME STATEMENT'!P3</f>
        <v>4085.5488519999999</v>
      </c>
      <c r="M18" s="771">
        <f>$H$18/'INCOME STATEMENT'!$L$3*'INCOME STATEMENT'!Q3</f>
        <v>4085.9814910131822</v>
      </c>
      <c r="Q18" s="528"/>
    </row>
    <row r="19" spans="2:17" ht="14.5" thickBot="1" x14ac:dyDescent="0.35">
      <c r="B19" s="271" t="s">
        <v>697</v>
      </c>
      <c r="C19" s="272"/>
      <c r="D19" s="273">
        <f>SUM(D6:D18)</f>
        <v>65249</v>
      </c>
      <c r="E19" s="273">
        <f>SUM(E5:E18)</f>
        <v>74409</v>
      </c>
      <c r="F19" s="273">
        <f>SUM(F5:F18)</f>
        <v>99286</v>
      </c>
      <c r="G19" s="273">
        <f>SUM(G5:G18)</f>
        <v>115922</v>
      </c>
      <c r="H19" s="274">
        <f>SUM(H6:H18)</f>
        <v>147040</v>
      </c>
      <c r="I19" s="274">
        <f>SUM(I6:I18)</f>
        <v>152175.12509902508</v>
      </c>
      <c r="J19" s="274">
        <f>SUM(J6:J18)</f>
        <v>151998.07268784195</v>
      </c>
      <c r="K19" s="274">
        <f t="shared" ref="K19:M19" si="0">SUM(K6:K18)</f>
        <v>145921.32748817324</v>
      </c>
      <c r="L19" s="274">
        <f t="shared" si="0"/>
        <v>149291.11461956135</v>
      </c>
      <c r="M19" s="274">
        <f t="shared" si="0"/>
        <v>149293.01158569721</v>
      </c>
      <c r="Q19" s="528"/>
    </row>
    <row r="20" spans="2:17" ht="14.5" thickBot="1" x14ac:dyDescent="0.35">
      <c r="B20" s="270" t="s">
        <v>186</v>
      </c>
      <c r="C20" s="252"/>
      <c r="D20" s="252"/>
      <c r="E20" s="252"/>
      <c r="F20" s="252"/>
      <c r="G20" s="252"/>
      <c r="H20" s="252"/>
      <c r="I20" s="770"/>
      <c r="J20" s="770"/>
      <c r="K20" s="770"/>
      <c r="L20" s="770"/>
      <c r="M20" s="770"/>
      <c r="Q20" s="528"/>
    </row>
    <row r="21" spans="2:17" ht="14.5" thickBot="1" x14ac:dyDescent="0.35">
      <c r="B21" s="270" t="s">
        <v>187</v>
      </c>
      <c r="C21" s="267" t="s">
        <v>709</v>
      </c>
      <c r="D21" s="252">
        <f>NOTES!E424</f>
        <v>67148</v>
      </c>
      <c r="E21" s="252">
        <f>NOTES!F424</f>
        <v>66919</v>
      </c>
      <c r="F21" s="265">
        <f>NOTES!G424</f>
        <v>57127</v>
      </c>
      <c r="G21" s="265">
        <f>NOTES!H424</f>
        <v>131501</v>
      </c>
      <c r="H21" s="265">
        <f>NOTES!I424</f>
        <v>113750</v>
      </c>
      <c r="I21" s="771">
        <f>$H$21/'INCOME STATEMENT'!$L$3*'INCOME STATEMENT'!M3</f>
        <v>116709.83194831089</v>
      </c>
      <c r="J21" s="771">
        <f>$H$21/'INCOME STATEMENT'!$L$3*'INCOME STATEMENT'!N3</f>
        <v>121257.5</v>
      </c>
      <c r="K21" s="771">
        <f>$H$21/'INCOME STATEMENT'!$L$3*'INCOME STATEMENT'!O3</f>
        <v>121452.84890858852</v>
      </c>
      <c r="L21" s="771">
        <f>$H$21/'INCOME STATEMENT'!$L$3*'INCOME STATEMENT'!P3</f>
        <v>121752.995</v>
      </c>
      <c r="M21" s="771">
        <f>$H$21/'INCOME STATEMENT'!$L$3*'INCOME STATEMENT'!Q3</f>
        <v>121765.88802796685</v>
      </c>
      <c r="Q21" s="528"/>
    </row>
    <row r="22" spans="2:17" ht="14.5" thickBot="1" x14ac:dyDescent="0.35">
      <c r="B22" s="270" t="s">
        <v>188</v>
      </c>
      <c r="C22" s="252"/>
      <c r="D22" s="252"/>
      <c r="E22" s="252"/>
      <c r="F22" s="252"/>
      <c r="G22" s="252"/>
      <c r="H22" s="252"/>
      <c r="I22" s="770"/>
      <c r="J22" s="770"/>
      <c r="K22" s="770"/>
      <c r="L22" s="770"/>
      <c r="M22" s="770"/>
      <c r="Q22" s="528"/>
    </row>
    <row r="23" spans="2:17" ht="14.5" thickBot="1" x14ac:dyDescent="0.35">
      <c r="B23" s="268" t="s">
        <v>182</v>
      </c>
      <c r="C23" s="267" t="s">
        <v>710</v>
      </c>
      <c r="D23" s="252">
        <f>NOTES!E432</f>
        <v>2231</v>
      </c>
      <c r="E23" s="252">
        <f>NOTES!F432</f>
        <v>103</v>
      </c>
      <c r="F23" s="265">
        <f>NOTES!G432</f>
        <v>111</v>
      </c>
      <c r="G23" s="265">
        <f>NOTES!H432</f>
        <v>5</v>
      </c>
      <c r="H23" s="265">
        <f>NOTES!I432</f>
        <v>5</v>
      </c>
      <c r="I23" s="774">
        <f>$H$23/'INCOME STATEMENT'!$L$3*'INCOME STATEMENT'!M3</f>
        <v>5.1301025032224574</v>
      </c>
      <c r="J23" s="774">
        <f>$H$23/'INCOME STATEMENT'!$L$3*'INCOME STATEMENT'!N3</f>
        <v>5.330000000000001</v>
      </c>
      <c r="K23" s="774">
        <f>$H$23/'INCOME STATEMENT'!$L$3*'INCOME STATEMENT'!O3</f>
        <v>5.3385867652126828</v>
      </c>
      <c r="L23" s="774">
        <f>$H$23/'INCOME STATEMENT'!$L$3*'INCOME STATEMENT'!P3</f>
        <v>5.3517799999999998</v>
      </c>
      <c r="M23" s="774">
        <f>$H$23/'INCOME STATEMENT'!$L$3*'INCOME STATEMENT'!Q3</f>
        <v>5.3523467265040372</v>
      </c>
      <c r="Q23" s="528"/>
    </row>
    <row r="24" spans="2:17" ht="14.5" thickBot="1" x14ac:dyDescent="0.35">
      <c r="B24" s="268" t="s">
        <v>189</v>
      </c>
      <c r="C24" s="267" t="s">
        <v>711</v>
      </c>
      <c r="D24" s="252">
        <f>NOTES!E470</f>
        <v>11426</v>
      </c>
      <c r="E24" s="252">
        <f>NOTES!F470</f>
        <v>10057</v>
      </c>
      <c r="F24" s="265">
        <f>NOTES!G470</f>
        <v>9645</v>
      </c>
      <c r="G24" s="265">
        <f>NOTES!H470</f>
        <v>16544</v>
      </c>
      <c r="H24" s="265">
        <f>NOTES!I470</f>
        <v>14765</v>
      </c>
      <c r="I24" s="771">
        <f>$H$24/'INCOME STATEMENT'!$L$3*'INCOME STATEMENT'!M3</f>
        <v>15149.192692015915</v>
      </c>
      <c r="J24" s="771">
        <f>$H$24/'INCOME STATEMENT'!$L$3*'INCOME STATEMENT'!N3</f>
        <v>15739.49</v>
      </c>
      <c r="K24" s="771">
        <f>$H$24/'INCOME STATEMENT'!$L$3*'INCOME STATEMENT'!O3</f>
        <v>15764.84671767305</v>
      </c>
      <c r="L24" s="771">
        <f>$H$24/'INCOME STATEMENT'!$L$3*'INCOME STATEMENT'!P3</f>
        <v>15803.806339999999</v>
      </c>
      <c r="M24" s="771">
        <f>$H$24/'INCOME STATEMENT'!$L$3*'INCOME STATEMENT'!Q3</f>
        <v>15805.479883366421</v>
      </c>
      <c r="Q24" s="528"/>
    </row>
    <row r="25" spans="2:17" ht="14.5" thickBot="1" x14ac:dyDescent="0.35">
      <c r="B25" s="268" t="s">
        <v>190</v>
      </c>
      <c r="C25" s="267" t="s">
        <v>712</v>
      </c>
      <c r="D25" s="265">
        <f>NOTES!E492</f>
        <v>4145</v>
      </c>
      <c r="E25" s="265">
        <f>NOTES!F492</f>
        <v>3271</v>
      </c>
      <c r="F25" s="265">
        <f>NOTES!G492</f>
        <v>3532</v>
      </c>
      <c r="G25" s="265">
        <f>NOTES!H492</f>
        <v>6530</v>
      </c>
      <c r="H25" s="265">
        <f>NOTES!I492</f>
        <v>7857</v>
      </c>
      <c r="I25" s="1018">
        <f>'CASH FLOW'!G60</f>
        <v>8420.8516947259886</v>
      </c>
      <c r="J25" s="1018">
        <f>'CASH FLOW'!H60</f>
        <v>4082.0951348495255</v>
      </c>
      <c r="K25" s="1018">
        <f>'CASH FLOW'!I60</f>
        <v>17470.129803783981</v>
      </c>
      <c r="L25" s="1018">
        <f>'CASH FLOW'!J60</f>
        <v>29275.444411289456</v>
      </c>
      <c r="M25" s="1018">
        <f>'CASH FLOW'!K60</f>
        <v>22930.765273961282</v>
      </c>
      <c r="Q25" s="528"/>
    </row>
    <row r="26" spans="2:17" ht="15" customHeight="1" thickBot="1" x14ac:dyDescent="0.35">
      <c r="B26" s="268" t="s">
        <v>191</v>
      </c>
      <c r="C26" s="267" t="s">
        <v>714</v>
      </c>
      <c r="D26" s="252">
        <f>NOTES!E532</f>
        <v>459</v>
      </c>
      <c r="E26" s="252">
        <f>NOTES!F532</f>
        <v>593</v>
      </c>
      <c r="F26" s="265">
        <f>NOTES!G532</f>
        <v>3853</v>
      </c>
      <c r="G26" s="252">
        <f>NOTES!H532</f>
        <v>593</v>
      </c>
      <c r="H26" s="252">
        <f>NOTES!I532</f>
        <v>1651</v>
      </c>
      <c r="I26" s="1019"/>
      <c r="J26" s="1019"/>
      <c r="K26" s="1019"/>
      <c r="L26" s="1019"/>
      <c r="M26" s="1019"/>
      <c r="Q26" s="528"/>
    </row>
    <row r="27" spans="2:17" ht="14.5" thickBot="1" x14ac:dyDescent="0.35">
      <c r="B27" s="268" t="s">
        <v>192</v>
      </c>
      <c r="C27" s="267" t="s">
        <v>713</v>
      </c>
      <c r="D27" s="265">
        <f>NOTES!E521</f>
        <v>5922</v>
      </c>
      <c r="E27" s="265">
        <f>NOTES!F521</f>
        <v>5948</v>
      </c>
      <c r="F27" s="265">
        <f>NOTES!G521</f>
        <v>7067</v>
      </c>
      <c r="G27" s="265">
        <f>NOTES!H521</f>
        <v>7239</v>
      </c>
      <c r="H27" s="265">
        <f>NOTES!I521</f>
        <v>5170</v>
      </c>
      <c r="I27" s="771">
        <f>$H$27/'INCOME STATEMENT'!$L$5*'INCOME STATEMENT'!M5</f>
        <v>5312.7297951197033</v>
      </c>
      <c r="J27" s="771">
        <f>$H$27/'INCOME STATEMENT'!$L$5*'INCOME STATEMENT'!N5</f>
        <v>5511.2200000000012</v>
      </c>
      <c r="K27" s="771">
        <f>$H$27/'INCOME STATEMENT'!$L$5*'INCOME STATEMENT'!O5</f>
        <v>5520.098715229914</v>
      </c>
      <c r="L27" s="771">
        <f>$H$27/'INCOME STATEMENT'!$L$5*'INCOME STATEMENT'!P5</f>
        <v>5533.7405200000003</v>
      </c>
      <c r="M27" s="771">
        <f>$H$27/'INCOME STATEMENT'!$L$5*'INCOME STATEMENT'!Q5</f>
        <v>5534.3265152051745</v>
      </c>
      <c r="Q27" s="528"/>
    </row>
    <row r="28" spans="2:17" ht="14.5" thickBot="1" x14ac:dyDescent="0.35">
      <c r="B28" s="268" t="s">
        <v>193</v>
      </c>
      <c r="C28" s="267" t="s">
        <v>715</v>
      </c>
      <c r="D28" s="252">
        <f>NOTES!E546</f>
        <v>465</v>
      </c>
      <c r="E28" s="252">
        <f>NOTES!F546</f>
        <v>449</v>
      </c>
      <c r="F28" s="252">
        <f>NOTES!G546</f>
        <v>125</v>
      </c>
      <c r="G28" s="252">
        <f>NOTES!H546</f>
        <v>467</v>
      </c>
      <c r="H28" s="252">
        <v>221</v>
      </c>
      <c r="I28" s="771">
        <f>$G$28</f>
        <v>467</v>
      </c>
      <c r="J28" s="771">
        <f>$H$28/'INCOME STATEMENT'!$L$3*'INCOME STATEMENT'!N3</f>
        <v>235.58599999999998</v>
      </c>
      <c r="K28" s="771">
        <f>$H$28/'INCOME STATEMENT'!$L$3*'INCOME STATEMENT'!O3</f>
        <v>235.96553502240053</v>
      </c>
      <c r="L28" s="771">
        <f>$H$28/'INCOME STATEMENT'!$L$3*'INCOME STATEMENT'!P3</f>
        <v>236.54867599999997</v>
      </c>
      <c r="M28" s="771">
        <f>$H$28/'INCOME STATEMENT'!$L$3*'INCOME STATEMENT'!Q3</f>
        <v>236.57372531147843</v>
      </c>
      <c r="Q28" s="528"/>
    </row>
    <row r="29" spans="2:17" ht="14.5" thickBot="1" x14ac:dyDescent="0.35">
      <c r="B29" s="268" t="s">
        <v>194</v>
      </c>
      <c r="C29" s="267" t="s">
        <v>716</v>
      </c>
      <c r="D29" s="265">
        <f>NOTES!E565</f>
        <v>7643</v>
      </c>
      <c r="E29" s="265">
        <f>NOTES!F565</f>
        <v>7567</v>
      </c>
      <c r="F29" s="265">
        <f>NOTES!G565</f>
        <v>8970</v>
      </c>
      <c r="G29" s="265">
        <f>NOTES!H565</f>
        <v>8181</v>
      </c>
      <c r="H29" s="265">
        <f>NOTES!I565</f>
        <v>7257</v>
      </c>
      <c r="I29" s="771">
        <f>$H$29/'INCOME STATEMENT'!$L$3*'INCOME STATEMENT'!M3</f>
        <v>7445.8307731770738</v>
      </c>
      <c r="J29" s="771">
        <f>$H$29/'INCOME STATEMENT'!$L$3*'INCOME STATEMENT'!N3</f>
        <v>7735.9620000000004</v>
      </c>
      <c r="K29" s="771">
        <f>$H$29/'INCOME STATEMENT'!$L$3*'INCOME STATEMENT'!O3</f>
        <v>7748.4248310296871</v>
      </c>
      <c r="L29" s="771">
        <f>$H$29/'INCOME STATEMENT'!$L$3*'INCOME STATEMENT'!P3</f>
        <v>7767.5734919999995</v>
      </c>
      <c r="M29" s="771">
        <f>$H$29/'INCOME STATEMENT'!$L$3*'INCOME STATEMENT'!Q3</f>
        <v>7768.39603884796</v>
      </c>
      <c r="Q29" s="528"/>
    </row>
    <row r="30" spans="2:17" ht="14.5" thickBot="1" x14ac:dyDescent="0.35">
      <c r="B30" s="271" t="s">
        <v>698</v>
      </c>
      <c r="C30" s="272"/>
      <c r="D30" s="273">
        <f t="shared" ref="D30:M30" si="1">SUM(D21:D29)</f>
        <v>99439</v>
      </c>
      <c r="E30" s="273">
        <f t="shared" si="1"/>
        <v>94907</v>
      </c>
      <c r="F30" s="273">
        <f t="shared" si="1"/>
        <v>90430</v>
      </c>
      <c r="G30" s="273">
        <f t="shared" si="1"/>
        <v>171060</v>
      </c>
      <c r="H30" s="273">
        <f t="shared" si="1"/>
        <v>150676</v>
      </c>
      <c r="I30" s="791">
        <f t="shared" si="1"/>
        <v>153510.56700585276</v>
      </c>
      <c r="J30" s="791">
        <f t="shared" si="1"/>
        <v>154567.18313484953</v>
      </c>
      <c r="K30" s="791">
        <f t="shared" si="1"/>
        <v>168197.65309809279</v>
      </c>
      <c r="L30" s="791">
        <f t="shared" si="1"/>
        <v>180375.46021928944</v>
      </c>
      <c r="M30" s="791">
        <f t="shared" si="1"/>
        <v>174046.78181138562</v>
      </c>
      <c r="Q30" s="528"/>
    </row>
    <row r="31" spans="2:17" ht="14.5" thickBot="1" x14ac:dyDescent="0.35">
      <c r="B31" s="276" t="s">
        <v>195</v>
      </c>
      <c r="C31" s="277"/>
      <c r="D31" s="278">
        <f t="shared" ref="D31:M31" si="2">SUM(D19,D30)</f>
        <v>164688</v>
      </c>
      <c r="E31" s="278">
        <f t="shared" si="2"/>
        <v>169316</v>
      </c>
      <c r="F31" s="278">
        <f t="shared" si="2"/>
        <v>189716</v>
      </c>
      <c r="G31" s="278">
        <f t="shared" si="2"/>
        <v>286982</v>
      </c>
      <c r="H31" s="780">
        <f t="shared" si="2"/>
        <v>297716</v>
      </c>
      <c r="I31" s="780">
        <f t="shared" si="2"/>
        <v>305685.69210487785</v>
      </c>
      <c r="J31" s="780">
        <f t="shared" si="2"/>
        <v>306565.25582269148</v>
      </c>
      <c r="K31" s="780">
        <f t="shared" si="2"/>
        <v>314118.98058626603</v>
      </c>
      <c r="L31" s="780">
        <f t="shared" si="2"/>
        <v>329666.57483885076</v>
      </c>
      <c r="M31" s="780">
        <f t="shared" si="2"/>
        <v>323339.79339708283</v>
      </c>
      <c r="Q31" s="528"/>
    </row>
    <row r="32" spans="2:17" ht="14.5" thickBot="1" x14ac:dyDescent="0.35">
      <c r="B32" s="270" t="s">
        <v>172</v>
      </c>
      <c r="C32" s="252"/>
      <c r="D32" s="252"/>
      <c r="E32" s="252"/>
      <c r="F32" s="252"/>
      <c r="G32" s="252"/>
      <c r="H32" s="252"/>
      <c r="I32" s="770"/>
      <c r="J32" s="770"/>
      <c r="K32" s="770"/>
      <c r="L32" s="770"/>
      <c r="M32" s="770"/>
      <c r="Q32" s="528"/>
    </row>
    <row r="33" spans="2:25" ht="14.5" thickBot="1" x14ac:dyDescent="0.35">
      <c r="B33" s="270" t="s">
        <v>173</v>
      </c>
      <c r="C33" s="252"/>
      <c r="D33" s="252"/>
      <c r="E33" s="252"/>
      <c r="F33" s="252"/>
      <c r="G33" s="252"/>
      <c r="H33" s="252"/>
      <c r="I33" s="770"/>
      <c r="J33" s="770"/>
      <c r="K33" s="770"/>
      <c r="L33" s="770"/>
      <c r="M33" s="770"/>
      <c r="Q33" s="528"/>
      <c r="X33" s="17" t="s">
        <v>688</v>
      </c>
    </row>
    <row r="34" spans="2:25" ht="14.5" thickBot="1" x14ac:dyDescent="0.35">
      <c r="B34" s="268" t="s">
        <v>196</v>
      </c>
      <c r="C34" s="267" t="s">
        <v>717</v>
      </c>
      <c r="D34" s="252">
        <f>NOTES!E577</f>
        <v>3750</v>
      </c>
      <c r="E34" s="252">
        <f>NOTES!F577</f>
        <v>3750</v>
      </c>
      <c r="F34" s="265">
        <f>NOTES!G577</f>
        <v>3750</v>
      </c>
      <c r="G34" s="252">
        <f>NOTES!H577</f>
        <v>3750</v>
      </c>
      <c r="H34" s="252">
        <f>NOTES!I577</f>
        <v>4009</v>
      </c>
      <c r="I34" s="770">
        <f>$H$34</f>
        <v>4009</v>
      </c>
      <c r="J34" s="770">
        <f t="shared" ref="J34:L34" si="3">$H$34</f>
        <v>4009</v>
      </c>
      <c r="K34" s="770">
        <f t="shared" si="3"/>
        <v>4009</v>
      </c>
      <c r="L34" s="770">
        <f t="shared" si="3"/>
        <v>4009</v>
      </c>
      <c r="M34" s="770">
        <f>$H$34</f>
        <v>4009</v>
      </c>
      <c r="Q34" s="528"/>
      <c r="X34" s="17" t="s">
        <v>689</v>
      </c>
    </row>
    <row r="35" spans="2:25" ht="14.5" thickBot="1" x14ac:dyDescent="0.35">
      <c r="B35" s="268" t="s">
        <v>197</v>
      </c>
      <c r="C35" s="267" t="s">
        <v>718</v>
      </c>
      <c r="D35" s="252">
        <f>NOTES!E603</f>
        <v>38249</v>
      </c>
      <c r="E35" s="252">
        <f>NOTES!F603</f>
        <v>40398</v>
      </c>
      <c r="F35" s="265">
        <f>NOTES!G603</f>
        <v>43577</v>
      </c>
      <c r="G35" s="252">
        <f>NOTES!H603</f>
        <v>38516</v>
      </c>
      <c r="H35" s="252">
        <f>NOTES!I603</f>
        <v>49593</v>
      </c>
      <c r="I35" s="771">
        <f>NOTES!J603</f>
        <v>50817.734705987968</v>
      </c>
      <c r="J35" s="771">
        <f>NOTES!K603</f>
        <v>33644.087504445757</v>
      </c>
      <c r="K35" s="771">
        <f>NOTES!L603</f>
        <v>40635.951818928021</v>
      </c>
      <c r="L35" s="771">
        <f>NOTES!M603</f>
        <v>40835.030537498809</v>
      </c>
      <c r="M35" s="771">
        <f>NOTES!N603</f>
        <v>34475.156686369977</v>
      </c>
      <c r="Q35" s="528"/>
      <c r="X35" s="17" t="s">
        <v>690</v>
      </c>
      <c r="Y35" s="17" t="s">
        <v>691</v>
      </c>
    </row>
    <row r="36" spans="2:25" ht="14.5" thickBot="1" x14ac:dyDescent="0.35">
      <c r="B36" s="271" t="s">
        <v>198</v>
      </c>
      <c r="C36" s="272"/>
      <c r="D36" s="273">
        <f t="shared" ref="D36:M36" si="4">SUM(D34:D35)</f>
        <v>41999</v>
      </c>
      <c r="E36" s="273">
        <f t="shared" si="4"/>
        <v>44148</v>
      </c>
      <c r="F36" s="273">
        <f t="shared" si="4"/>
        <v>47327</v>
      </c>
      <c r="G36" s="273">
        <f t="shared" si="4"/>
        <v>42266</v>
      </c>
      <c r="H36" s="273">
        <f t="shared" si="4"/>
        <v>53602</v>
      </c>
      <c r="I36" s="791">
        <f t="shared" si="4"/>
        <v>54826.734705987968</v>
      </c>
      <c r="J36" s="791">
        <f t="shared" si="4"/>
        <v>37653.087504445757</v>
      </c>
      <c r="K36" s="791">
        <f t="shared" si="4"/>
        <v>44644.951818928021</v>
      </c>
      <c r="L36" s="791">
        <f t="shared" si="4"/>
        <v>44844.030537498809</v>
      </c>
      <c r="M36" s="791">
        <f t="shared" si="4"/>
        <v>38484.156686369977</v>
      </c>
      <c r="Q36" s="528"/>
      <c r="X36" s="17" t="s">
        <v>692</v>
      </c>
    </row>
    <row r="37" spans="2:25" ht="14.5" thickBot="1" x14ac:dyDescent="0.35">
      <c r="B37" s="268" t="s">
        <v>199</v>
      </c>
      <c r="C37" s="267" t="s">
        <v>719</v>
      </c>
      <c r="D37" s="265">
        <f>NOTES!E672</f>
        <v>2266</v>
      </c>
      <c r="E37" s="265">
        <f>NOTES!F672</f>
        <v>2027</v>
      </c>
      <c r="F37" s="265">
        <f>NOTES!G672</f>
        <v>2300</v>
      </c>
      <c r="G37" s="265">
        <f>NOTES!H672</f>
        <v>1120</v>
      </c>
      <c r="H37" s="265">
        <f>NOTES!I672</f>
        <v>2284</v>
      </c>
      <c r="I37" s="771">
        <f>$H$37/'INCOME STATEMENT'!$L$3*'INCOME STATEMENT'!M3</f>
        <v>2343.4308234720183</v>
      </c>
      <c r="J37" s="771">
        <f>$H$37/'INCOME STATEMENT'!$L$3*'INCOME STATEMENT'!N3</f>
        <v>2434.7440000000001</v>
      </c>
      <c r="K37" s="771">
        <f>$H$37/'INCOME STATEMENT'!$L$3*'INCOME STATEMENT'!O3</f>
        <v>2438.666434349153</v>
      </c>
      <c r="L37" s="771">
        <f>$H$37/'INCOME STATEMENT'!$L$3*'INCOME STATEMENT'!P3</f>
        <v>2444.6931039999999</v>
      </c>
      <c r="M37" s="771">
        <f>$H$37/'INCOME STATEMENT'!$L$3*'INCOME STATEMENT'!Q3</f>
        <v>2444.9519846670441</v>
      </c>
      <c r="Q37" s="528"/>
      <c r="X37" s="17" t="s">
        <v>693</v>
      </c>
    </row>
    <row r="38" spans="2:25" ht="14.5" thickBot="1" x14ac:dyDescent="0.35">
      <c r="B38" s="276" t="s">
        <v>200</v>
      </c>
      <c r="C38" s="277"/>
      <c r="D38" s="278">
        <f t="shared" ref="D38:M38" si="5">SUM(D36:D37)</f>
        <v>44265</v>
      </c>
      <c r="E38" s="278">
        <f t="shared" si="5"/>
        <v>46175</v>
      </c>
      <c r="F38" s="278">
        <f t="shared" si="5"/>
        <v>49627</v>
      </c>
      <c r="G38" s="278">
        <f t="shared" si="5"/>
        <v>43386</v>
      </c>
      <c r="H38" s="278">
        <f t="shared" si="5"/>
        <v>55886</v>
      </c>
      <c r="I38" s="780">
        <f t="shared" si="5"/>
        <v>57170.165529459984</v>
      </c>
      <c r="J38" s="780">
        <f t="shared" si="5"/>
        <v>40087.831504445756</v>
      </c>
      <c r="K38" s="780">
        <f t="shared" si="5"/>
        <v>47083.618253277171</v>
      </c>
      <c r="L38" s="780">
        <f t="shared" si="5"/>
        <v>47288.723641498807</v>
      </c>
      <c r="M38" s="780">
        <f t="shared" si="5"/>
        <v>40929.108671037022</v>
      </c>
      <c r="Q38" s="528"/>
      <c r="X38" s="17" t="s">
        <v>694</v>
      </c>
      <c r="Y38" s="17" t="s">
        <v>695</v>
      </c>
    </row>
    <row r="39" spans="2:25" ht="14.5" thickBot="1" x14ac:dyDescent="0.35">
      <c r="B39" s="262" t="s">
        <v>174</v>
      </c>
      <c r="C39" s="252"/>
      <c r="D39" s="252"/>
      <c r="E39" s="252"/>
      <c r="F39" s="252"/>
      <c r="G39" s="252"/>
      <c r="H39" s="252"/>
      <c r="I39" s="770"/>
      <c r="J39" s="770"/>
      <c r="K39" s="770"/>
      <c r="L39" s="770"/>
      <c r="M39" s="770"/>
      <c r="Q39" s="528"/>
    </row>
    <row r="40" spans="2:25" ht="14.5" thickBot="1" x14ac:dyDescent="0.35">
      <c r="B40" s="268" t="s">
        <v>201</v>
      </c>
      <c r="C40" s="252"/>
      <c r="D40" s="252"/>
      <c r="E40" s="252"/>
      <c r="F40" s="252"/>
      <c r="G40" s="252"/>
      <c r="H40" s="252"/>
      <c r="I40" s="770"/>
      <c r="J40" s="770"/>
      <c r="K40" s="770"/>
      <c r="L40" s="770"/>
      <c r="M40" s="770"/>
      <c r="Q40" s="528"/>
    </row>
    <row r="41" spans="2:25" ht="14.5" thickBot="1" x14ac:dyDescent="0.35">
      <c r="B41" s="268" t="s">
        <v>202</v>
      </c>
      <c r="C41" s="264" t="s">
        <v>720</v>
      </c>
      <c r="D41" s="265">
        <f>NOTES!E735</f>
        <v>31123</v>
      </c>
      <c r="E41" s="265">
        <f>NOTES!F735</f>
        <v>35002</v>
      </c>
      <c r="F41" s="265">
        <f>NOTES!G735</f>
        <v>39743</v>
      </c>
      <c r="G41" s="265">
        <f>NOTES!H735</f>
        <v>47194</v>
      </c>
      <c r="H41" s="265">
        <f>NOTES!I735</f>
        <v>62180</v>
      </c>
      <c r="I41" s="771">
        <f>$H$41/'INCOME STATEMENT'!$L$3*'INCOME STATEMENT'!M3</f>
        <v>63797.954730074467</v>
      </c>
      <c r="J41" s="771">
        <f>H41+(H41*$I$109)</f>
        <v>74348.630821806306</v>
      </c>
      <c r="K41" s="771">
        <f t="shared" ref="K41:M41" si="6">I41+(I41*$I$109)</f>
        <v>76283.219418022156</v>
      </c>
      <c r="L41" s="771">
        <f t="shared" si="6"/>
        <v>88898.663639067963</v>
      </c>
      <c r="M41" s="771">
        <f t="shared" si="6"/>
        <v>91211.851373582744</v>
      </c>
      <c r="N41" s="46"/>
      <c r="Q41" s="528"/>
      <c r="X41" s="17" t="s">
        <v>696</v>
      </c>
    </row>
    <row r="42" spans="2:25" ht="14.5" thickBot="1" x14ac:dyDescent="0.35">
      <c r="B42" s="268" t="s">
        <v>203</v>
      </c>
      <c r="C42" s="264" t="s">
        <v>721</v>
      </c>
      <c r="D42" s="265">
        <f>NOTES!E744</f>
        <v>2104</v>
      </c>
      <c r="E42" s="265">
        <f>NOTES!F744</f>
        <v>1650</v>
      </c>
      <c r="F42" s="265">
        <f>NOTES!G744</f>
        <v>1702</v>
      </c>
      <c r="G42" s="265">
        <v>1223</v>
      </c>
      <c r="H42" s="265">
        <v>9375</v>
      </c>
      <c r="I42" s="771">
        <f>$H$42/'INCOME STATEMENT'!$L$3*'INCOME STATEMENT'!M3</f>
        <v>9618.9421935421069</v>
      </c>
      <c r="J42" s="771">
        <f>$H$42/'INCOME STATEMENT'!$L$3*'INCOME STATEMENT'!N3</f>
        <v>9993.75</v>
      </c>
      <c r="K42" s="771">
        <f>$H$42/'INCOME STATEMENT'!$L$3*'INCOME STATEMENT'!O3</f>
        <v>10009.850184773779</v>
      </c>
      <c r="L42" s="771">
        <f>$H$42/'INCOME STATEMENT'!$L$3*'INCOME STATEMENT'!P3</f>
        <v>10034.5875</v>
      </c>
      <c r="M42" s="771">
        <f>$H$42/'INCOME STATEMENT'!$L$3*'INCOME STATEMENT'!Q3</f>
        <v>10035.65011219507</v>
      </c>
      <c r="Q42" s="528"/>
    </row>
    <row r="43" spans="2:25" ht="14.5" thickBot="1" x14ac:dyDescent="0.35">
      <c r="B43" s="268" t="s">
        <v>204</v>
      </c>
      <c r="C43" s="267" t="s">
        <v>722</v>
      </c>
      <c r="D43" s="252">
        <f>NOTES!E751</f>
        <v>62</v>
      </c>
      <c r="E43" s="252">
        <f>NOTES!F751</f>
        <v>121</v>
      </c>
      <c r="F43" s="252">
        <f>NOTES!G751</f>
        <v>161</v>
      </c>
      <c r="G43" s="252">
        <f>NOTES!H751</f>
        <v>231</v>
      </c>
      <c r="H43" s="252">
        <f>NOTES!I751</f>
        <v>337</v>
      </c>
      <c r="I43" s="771">
        <f>$H$43/'INCOME STATEMENT'!$L$3*'INCOME STATEMENT'!M3</f>
        <v>345.7689087171936</v>
      </c>
      <c r="J43" s="771">
        <f>$H$43/'INCOME STATEMENT'!$L$3*'INCOME STATEMENT'!N3</f>
        <v>359.24200000000002</v>
      </c>
      <c r="K43" s="771">
        <f>$H$43/'INCOME STATEMENT'!$L$3*'INCOME STATEMENT'!O3</f>
        <v>359.82074797533477</v>
      </c>
      <c r="L43" s="771">
        <f>$H$43/'INCOME STATEMENT'!$L$3*'INCOME STATEMENT'!P3</f>
        <v>360.70997199999999</v>
      </c>
      <c r="M43" s="771">
        <f>$H$43/'INCOME STATEMENT'!$L$3*'INCOME STATEMENT'!Q3</f>
        <v>360.74816936637211</v>
      </c>
      <c r="Q43" s="528"/>
    </row>
    <row r="44" spans="2:25" ht="14.5" thickBot="1" x14ac:dyDescent="0.35">
      <c r="B44" s="268" t="s">
        <v>211</v>
      </c>
      <c r="C44" s="267" t="s">
        <v>707</v>
      </c>
      <c r="D44" s="252">
        <f>NOTES!E781</f>
        <v>1906</v>
      </c>
      <c r="E44" s="252">
        <f>NOTES!F781</f>
        <v>2736</v>
      </c>
      <c r="F44" s="265">
        <f>NOTES!G781</f>
        <v>2434</v>
      </c>
      <c r="G44" s="265">
        <f>NOTES!H781</f>
        <v>2651</v>
      </c>
      <c r="H44" s="252">
        <f>NOTES!I781</f>
        <v>2955</v>
      </c>
      <c r="I44" s="771">
        <f>$H$44/ANALYTICAL!$H$13*ANALYTICAL!I13</f>
        <v>3372.9426243314688</v>
      </c>
      <c r="J44" s="771">
        <f>$H$44/ANALYTICAL!$H$13*ANALYTICAL!J13</f>
        <v>2508.1051611246185</v>
      </c>
      <c r="K44" s="771">
        <f>$H$44/ANALYTICAL!$H$13*ANALYTICAL!K13</f>
        <v>3104.0374474187988</v>
      </c>
      <c r="L44" s="771">
        <f>$H$44/ANALYTICAL!$H$13*ANALYTICAL!L13</f>
        <v>3104.8351064611352</v>
      </c>
      <c r="M44" s="771">
        <f>$H$44/ANALYTICAL!$H$13*ANALYTICAL!M13</f>
        <v>3128.3008208948308</v>
      </c>
      <c r="Q44" s="528"/>
    </row>
    <row r="45" spans="2:25" ht="14.5" thickBot="1" x14ac:dyDescent="0.35">
      <c r="B45" s="268" t="s">
        <v>867</v>
      </c>
      <c r="C45" s="267"/>
      <c r="D45" s="252">
        <v>0</v>
      </c>
      <c r="E45" s="252">
        <v>0</v>
      </c>
      <c r="F45" s="265">
        <v>0</v>
      </c>
      <c r="G45" s="265">
        <v>290</v>
      </c>
      <c r="H45" s="252">
        <v>450</v>
      </c>
      <c r="I45" s="771">
        <f>$H$45/ANALYTICAL!$H$13*ANALYTICAL!I13</f>
        <v>513.64608492357388</v>
      </c>
      <c r="J45" s="771">
        <f>$H$45/ANALYTICAL!$H$13*ANALYTICAL!J13</f>
        <v>381.94494839461191</v>
      </c>
      <c r="K45" s="771">
        <f>$H$45/ANALYTICAL!$H$13*ANALYTICAL!K13</f>
        <v>472.69605798255816</v>
      </c>
      <c r="L45" s="771">
        <f>$H$45/ANALYTICAL!$H$13*ANALYTICAL!L13</f>
        <v>472.81752890271088</v>
      </c>
      <c r="M45" s="771">
        <f>$H$45/ANALYTICAL!$H$13*ANALYTICAL!M13</f>
        <v>476.39098795352754</v>
      </c>
      <c r="Q45" s="528"/>
    </row>
    <row r="46" spans="2:25" ht="14.5" thickBot="1" x14ac:dyDescent="0.35">
      <c r="B46" s="271" t="s">
        <v>699</v>
      </c>
      <c r="C46" s="272"/>
      <c r="D46" s="274">
        <f>SUM(D41:D45)</f>
        <v>35195</v>
      </c>
      <c r="E46" s="274">
        <f t="shared" ref="E46:G46" si="7">SUM(E41:E45)</f>
        <v>39509</v>
      </c>
      <c r="F46" s="274">
        <f t="shared" si="7"/>
        <v>44040</v>
      </c>
      <c r="G46" s="274">
        <f t="shared" si="7"/>
        <v>51589</v>
      </c>
      <c r="H46" s="274">
        <f>SUM(H41:H45)</f>
        <v>75297</v>
      </c>
      <c r="I46" s="274">
        <f>SUM(I41:I45)</f>
        <v>77649.254541588802</v>
      </c>
      <c r="J46" s="274">
        <f t="shared" ref="J46:M46" si="8">SUM(J41:J45)</f>
        <v>87591.672931325535</v>
      </c>
      <c r="K46" s="274">
        <f t="shared" si="8"/>
        <v>90229.62385617262</v>
      </c>
      <c r="L46" s="274">
        <f t="shared" si="8"/>
        <v>102871.6137464318</v>
      </c>
      <c r="M46" s="274">
        <f t="shared" si="8"/>
        <v>105212.94146399254</v>
      </c>
      <c r="Q46" s="528"/>
    </row>
    <row r="47" spans="2:25" ht="14.5" thickBot="1" x14ac:dyDescent="0.35">
      <c r="B47" s="270" t="s">
        <v>175</v>
      </c>
      <c r="C47" s="252"/>
      <c r="D47" s="252"/>
      <c r="E47" s="252"/>
      <c r="F47" s="252"/>
      <c r="G47" s="252"/>
      <c r="H47" s="252"/>
      <c r="I47" s="770"/>
      <c r="J47" s="770"/>
      <c r="K47" s="770"/>
      <c r="L47" s="770"/>
      <c r="M47" s="770"/>
      <c r="Q47" s="528"/>
    </row>
    <row r="48" spans="2:25" ht="14.5" thickBot="1" x14ac:dyDescent="0.35">
      <c r="B48" s="268" t="s">
        <v>201</v>
      </c>
      <c r="C48" s="252"/>
      <c r="D48" s="252"/>
      <c r="E48" s="252"/>
      <c r="F48" s="252"/>
      <c r="G48" s="252"/>
      <c r="H48" s="252"/>
      <c r="I48" s="770"/>
      <c r="J48" s="770"/>
      <c r="K48" s="770"/>
      <c r="L48" s="770"/>
      <c r="M48" s="770"/>
      <c r="Q48" s="528"/>
    </row>
    <row r="49" spans="1:17" ht="14.5" thickBot="1" x14ac:dyDescent="0.35">
      <c r="A49" s="17" t="s">
        <v>968</v>
      </c>
      <c r="B49" s="268" t="s">
        <v>202</v>
      </c>
      <c r="C49" s="267" t="s">
        <v>893</v>
      </c>
      <c r="D49" s="265">
        <f>NOTES!E793</f>
        <v>21241</v>
      </c>
      <c r="E49" s="265">
        <f>NOTES!F793</f>
        <v>21408</v>
      </c>
      <c r="F49" s="265">
        <f>NOTES!G793</f>
        <v>29335</v>
      </c>
      <c r="G49" s="265">
        <f>NOTES!H793</f>
        <v>34914</v>
      </c>
      <c r="H49" s="265">
        <f>NOTES!I793</f>
        <v>24089</v>
      </c>
      <c r="I49" s="771">
        <f>$H$49/'INCOME STATEMENT'!$L$3*'INCOME STATEMENT'!M3</f>
        <v>24715.807840025154</v>
      </c>
      <c r="J49" s="771">
        <f>H49+(H49*I117)</f>
        <v>27040.447386920161</v>
      </c>
      <c r="K49" s="771">
        <f t="shared" ref="K49:M49" si="9">I49+(I49*J117)</f>
        <v>24715.807840025154</v>
      </c>
      <c r="L49" s="771">
        <f t="shared" si="9"/>
        <v>27040.447386920161</v>
      </c>
      <c r="M49" s="771">
        <f t="shared" si="9"/>
        <v>24715.807840025154</v>
      </c>
      <c r="Q49" s="528"/>
    </row>
    <row r="50" spans="1:17" ht="14.5" thickBot="1" x14ac:dyDescent="0.35">
      <c r="A50" s="17" t="s">
        <v>969</v>
      </c>
      <c r="B50" s="268" t="s">
        <v>205</v>
      </c>
      <c r="C50" s="267" t="s">
        <v>723</v>
      </c>
      <c r="D50" s="265">
        <f>NOTES!E800</f>
        <v>9126</v>
      </c>
      <c r="E50" s="265">
        <f>NOTES!F800</f>
        <v>9230</v>
      </c>
      <c r="F50" s="265">
        <f>NOTES!G800</f>
        <v>13542</v>
      </c>
      <c r="G50" s="265">
        <f>NOTES!H800</f>
        <v>12530</v>
      </c>
      <c r="H50" s="265">
        <f>NOTES!I800</f>
        <v>12249</v>
      </c>
      <c r="I50" s="771">
        <f>$H$50/'INCOME STATEMENT'!$L$3*'INCOME STATEMENT'!M3</f>
        <v>12567.725112394375</v>
      </c>
      <c r="J50" s="771">
        <f>$H$50/'INCOME STATEMENT'!$L$3*'INCOME STATEMENT'!N3</f>
        <v>13057.434000000001</v>
      </c>
      <c r="K50" s="771">
        <f>$H$50/'INCOME STATEMENT'!$L$3*'INCOME STATEMENT'!O3</f>
        <v>13078.469857418029</v>
      </c>
      <c r="L50" s="771">
        <f>$H$50/'INCOME STATEMENT'!$L$3*'INCOME STATEMENT'!P3</f>
        <v>13110.790644000001</v>
      </c>
      <c r="M50" s="771">
        <f>$H$50/'INCOME STATEMENT'!$L$3*'INCOME STATEMENT'!Q3</f>
        <v>13112.179010589591</v>
      </c>
      <c r="Q50" s="528"/>
    </row>
    <row r="51" spans="1:17" ht="14.5" thickBot="1" x14ac:dyDescent="0.35">
      <c r="A51" s="17" t="s">
        <v>970</v>
      </c>
      <c r="B51" s="268" t="s">
        <v>206</v>
      </c>
      <c r="C51" s="267" t="s">
        <v>724</v>
      </c>
      <c r="D51" s="265">
        <f>NOTES!E814</f>
        <v>5785</v>
      </c>
      <c r="E51" s="265">
        <f>NOTES!F814</f>
        <v>7241</v>
      </c>
      <c r="F51" s="265">
        <f>NOTES!G814</f>
        <v>15710</v>
      </c>
      <c r="G51" s="265">
        <f>NOTES!H814</f>
        <v>14332</v>
      </c>
      <c r="H51" s="265">
        <f>NOTES!I814</f>
        <v>21153</v>
      </c>
      <c r="I51" s="771">
        <f>$H$51/'INCOME STATEMENT'!$L$3*'INCOME STATEMENT'!M3</f>
        <v>21703.411650132926</v>
      </c>
      <c r="J51" s="771">
        <f>$H$51/'INCOME STATEMENT'!$L$3*'INCOME STATEMENT'!N3</f>
        <v>22549.098000000002</v>
      </c>
      <c r="K51" s="771">
        <f>$H$51/'INCOME STATEMENT'!$L$3*'INCOME STATEMENT'!O3</f>
        <v>22585.425168908772</v>
      </c>
      <c r="L51" s="771">
        <f>$H$51/'INCOME STATEMENT'!$L$3*'INCOME STATEMENT'!P3</f>
        <v>22641.240468</v>
      </c>
      <c r="M51" s="771">
        <f>$H$51/'INCOME STATEMENT'!$L$3*'INCOME STATEMENT'!Q3</f>
        <v>22643.63806114798</v>
      </c>
      <c r="Q51" s="528"/>
    </row>
    <row r="52" spans="1:17" ht="14.5" thickBot="1" x14ac:dyDescent="0.35">
      <c r="B52" s="268" t="s">
        <v>207</v>
      </c>
      <c r="C52" s="267" t="s">
        <v>725</v>
      </c>
      <c r="D52" s="265">
        <f>NOTES!E823</f>
        <v>46492</v>
      </c>
      <c r="E52" s="265">
        <f>NOTES!F823</f>
        <v>43415</v>
      </c>
      <c r="F52" s="265">
        <f>NOTES!G823</f>
        <v>35739</v>
      </c>
      <c r="G52" s="265">
        <f>NOTES!H823</f>
        <v>127401</v>
      </c>
      <c r="H52" s="265">
        <f>NOTES!I823</f>
        <v>103923</v>
      </c>
      <c r="I52" s="771">
        <f>$H$52/'INCOME STATEMENT'!$L$3*'INCOME STATEMENT'!M3</f>
        <v>106627.12848847746</v>
      </c>
      <c r="J52" s="771">
        <f>$H$52/'INCOME STATEMENT'!$L$3*'INCOME STATEMENT'!N3</f>
        <v>110781.91800000001</v>
      </c>
      <c r="K52" s="771">
        <f>$H$52/'INCOME STATEMENT'!$L$3*'INCOME STATEMENT'!O3</f>
        <v>110960.39048023951</v>
      </c>
      <c r="L52" s="771">
        <f>$H$52/'INCOME STATEMENT'!$L$3*'INCOME STATEMENT'!P3</f>
        <v>111234.606588</v>
      </c>
      <c r="M52" s="771">
        <f>$H$52/'INCOME STATEMENT'!$L$3*'INCOME STATEMENT'!Q3</f>
        <v>111246.3857716958</v>
      </c>
      <c r="Q52" s="528"/>
    </row>
    <row r="53" spans="1:17" ht="14.5" thickBot="1" x14ac:dyDescent="0.35">
      <c r="B53" s="268" t="s">
        <v>208</v>
      </c>
      <c r="C53" s="267" t="s">
        <v>726</v>
      </c>
      <c r="D53" s="265">
        <f>NOTES!E833</f>
        <v>1360</v>
      </c>
      <c r="E53" s="265">
        <f>NOTES!F833</f>
        <v>2003</v>
      </c>
      <c r="F53" s="265">
        <f>NOTES!G833</f>
        <v>1357</v>
      </c>
      <c r="G53" s="265">
        <f>NOTES!H833</f>
        <v>2468</v>
      </c>
      <c r="H53" s="265">
        <f>NOTES!I833</f>
        <v>4755</v>
      </c>
      <c r="I53" s="771">
        <f>$H$53/'INCOME STATEMENT'!$L$3*'INCOME STATEMENT'!M3</f>
        <v>4878.7274805645557</v>
      </c>
      <c r="J53" s="771">
        <f>$H$53/'INCOME STATEMENT'!$L$3*'INCOME STATEMENT'!N3</f>
        <v>5068.83</v>
      </c>
      <c r="K53" s="771">
        <f>$H$53/'INCOME STATEMENT'!$L$3*'INCOME STATEMENT'!O3</f>
        <v>5076.9960137172602</v>
      </c>
      <c r="L53" s="771">
        <f>$H$53/'INCOME STATEMENT'!$L$3*'INCOME STATEMENT'!P3</f>
        <v>5089.5427799999998</v>
      </c>
      <c r="M53" s="771">
        <f>$H$53/'INCOME STATEMENT'!$L$3*'INCOME STATEMENT'!Q3</f>
        <v>5090.0817369053393</v>
      </c>
      <c r="Q53" s="528"/>
    </row>
    <row r="54" spans="1:17" ht="14.5" thickBot="1" x14ac:dyDescent="0.35">
      <c r="B54" s="268" t="s">
        <v>212</v>
      </c>
      <c r="C54" s="252"/>
      <c r="D54" s="252">
        <v>1224</v>
      </c>
      <c r="E54" s="252">
        <v>335</v>
      </c>
      <c r="F54" s="252">
        <v>366</v>
      </c>
      <c r="G54" s="252">
        <v>362</v>
      </c>
      <c r="H54" s="252">
        <v>364</v>
      </c>
      <c r="I54" s="771">
        <f>$H$54/'INCOME STATEMENT'!$L$3*'INCOME STATEMENT'!M3</f>
        <v>373.47146223459481</v>
      </c>
      <c r="J54" s="771">
        <f>$H$54/'INCOME STATEMENT'!$L$3*'INCOME STATEMENT'!N3</f>
        <v>388.024</v>
      </c>
      <c r="K54" s="771">
        <f>$H$54/'INCOME STATEMENT'!$L$3*'INCOME STATEMENT'!O3</f>
        <v>388.64911650748326</v>
      </c>
      <c r="L54" s="771">
        <f>$H$54/'INCOME STATEMENT'!$L$3*'INCOME STATEMENT'!P3</f>
        <v>389.60958399999993</v>
      </c>
      <c r="M54" s="771">
        <f>$H$54/'INCOME STATEMENT'!$L$3*'INCOME STATEMENT'!Q3</f>
        <v>389.65084168949386</v>
      </c>
      <c r="Q54" s="528"/>
    </row>
    <row r="55" spans="1:17" ht="14.5" thickBot="1" x14ac:dyDescent="0.35">
      <c r="B55" s="271" t="s">
        <v>700</v>
      </c>
      <c r="C55" s="272"/>
      <c r="D55" s="273">
        <f>SUM(D49:D54)</f>
        <v>85228</v>
      </c>
      <c r="E55" s="273">
        <f t="shared" ref="E55:M55" si="10">SUM(E49:E54)</f>
        <v>83632</v>
      </c>
      <c r="F55" s="273">
        <f t="shared" si="10"/>
        <v>96049</v>
      </c>
      <c r="G55" s="273">
        <f t="shared" si="10"/>
        <v>192007</v>
      </c>
      <c r="H55" s="273">
        <f t="shared" si="10"/>
        <v>166533</v>
      </c>
      <c r="I55" s="273">
        <f t="shared" si="10"/>
        <v>170866.27203382907</v>
      </c>
      <c r="J55" s="273">
        <f t="shared" si="10"/>
        <v>178885.75138692016</v>
      </c>
      <c r="K55" s="273">
        <f t="shared" si="10"/>
        <v>176805.73847681619</v>
      </c>
      <c r="L55" s="273">
        <f t="shared" si="10"/>
        <v>179506.23745092013</v>
      </c>
      <c r="M55" s="273">
        <f t="shared" si="10"/>
        <v>177197.74326205335</v>
      </c>
      <c r="Q55" s="528"/>
    </row>
    <row r="56" spans="1:17" ht="14.5" thickBot="1" x14ac:dyDescent="0.35">
      <c r="B56" s="276" t="s">
        <v>701</v>
      </c>
      <c r="C56" s="277"/>
      <c r="D56" s="279">
        <f>SUM(D55,D46,D38)</f>
        <v>164688</v>
      </c>
      <c r="E56" s="279">
        <f t="shared" ref="E56:M56" si="11">SUM(E55,E46,E38)</f>
        <v>169316</v>
      </c>
      <c r="F56" s="279">
        <f t="shared" si="11"/>
        <v>189716</v>
      </c>
      <c r="G56" s="279">
        <f t="shared" si="11"/>
        <v>286982</v>
      </c>
      <c r="H56" s="279">
        <f t="shared" si="11"/>
        <v>297716</v>
      </c>
      <c r="I56" s="279">
        <f t="shared" si="11"/>
        <v>305685.69210487785</v>
      </c>
      <c r="J56" s="279">
        <f t="shared" si="11"/>
        <v>306565.25582269148</v>
      </c>
      <c r="K56" s="279">
        <f t="shared" si="11"/>
        <v>314118.98058626597</v>
      </c>
      <c r="L56" s="279">
        <f t="shared" si="11"/>
        <v>329666.57483885076</v>
      </c>
      <c r="M56" s="279">
        <f t="shared" si="11"/>
        <v>323339.79339708289</v>
      </c>
      <c r="Q56" s="528"/>
    </row>
    <row r="57" spans="1:17" ht="14.5" thickBot="1" x14ac:dyDescent="0.35">
      <c r="B57" s="268"/>
      <c r="C57" s="252"/>
      <c r="D57" s="280">
        <f>D56-D31</f>
        <v>0</v>
      </c>
      <c r="E57" s="280">
        <f>E31-E56</f>
        <v>0</v>
      </c>
      <c r="F57" s="280">
        <f t="shared" ref="F57:M57" si="12">F31-F56</f>
        <v>0</v>
      </c>
      <c r="G57" s="280">
        <f t="shared" si="12"/>
        <v>0</v>
      </c>
      <c r="H57" s="280">
        <f t="shared" si="12"/>
        <v>0</v>
      </c>
      <c r="I57" s="849">
        <f t="shared" si="12"/>
        <v>0</v>
      </c>
      <c r="J57" s="849">
        <f t="shared" si="12"/>
        <v>0</v>
      </c>
      <c r="K57" s="849">
        <f t="shared" si="12"/>
        <v>0</v>
      </c>
      <c r="L57" s="849">
        <f t="shared" si="12"/>
        <v>0</v>
      </c>
      <c r="M57" s="849">
        <f t="shared" si="12"/>
        <v>0</v>
      </c>
    </row>
    <row r="58" spans="1:17" ht="14.5" thickBot="1" x14ac:dyDescent="0.35">
      <c r="B58" s="252"/>
      <c r="C58" s="252"/>
      <c r="D58" s="252"/>
      <c r="E58" s="252"/>
      <c r="F58" s="252"/>
      <c r="G58" s="252"/>
      <c r="H58" s="252"/>
      <c r="I58" s="770"/>
      <c r="J58" s="770"/>
      <c r="K58" s="770"/>
      <c r="L58" s="770"/>
      <c r="M58" s="770"/>
    </row>
    <row r="61" spans="1:17" ht="14.5" thickBot="1" x14ac:dyDescent="0.35"/>
    <row r="62" spans="1:17" x14ac:dyDescent="0.3">
      <c r="B62" s="6" t="s">
        <v>703</v>
      </c>
      <c r="C62" s="281"/>
      <c r="D62" s="282">
        <f>SUM(D6,D10,D16,D17,D18,D21,D24,D25,D26,D29)</f>
        <v>101400</v>
      </c>
      <c r="E62" s="282">
        <f>SUM(E6,E10,E16,E17,E18,E21,E24,E25,E26,E29)</f>
        <v>100800</v>
      </c>
      <c r="F62" s="282">
        <f>SUM(F6,F10,F16,F17,F18,F21,F24,F25,F26,F29)</f>
        <v>103680</v>
      </c>
      <c r="G62" s="283">
        <f>SUM(G6,G10,G16,G17,G18,G21,G24,G25,G26,G29)</f>
        <v>196779</v>
      </c>
      <c r="H62" s="283">
        <f>SUM(H6,H10,H16,H17,H18,H21,H24,H25,H26,H29)</f>
        <v>182706</v>
      </c>
      <c r="I62" s="283">
        <f t="shared" ref="I62:M62" si="13">SUM(I6,I10,I16,I17,I18,I21,I24,I25,I26,I29)</f>
        <v>187414.29451749343</v>
      </c>
      <c r="J62" s="283">
        <f t="shared" si="13"/>
        <v>186417.3767325205</v>
      </c>
      <c r="K62" s="283">
        <f t="shared" si="13"/>
        <v>202257.40950001703</v>
      </c>
      <c r="L62" s="283">
        <f t="shared" si="13"/>
        <v>214494.32571645995</v>
      </c>
      <c r="M62" s="283">
        <f t="shared" si="13"/>
        <v>208253.62594183479</v>
      </c>
    </row>
    <row r="63" spans="1:17" x14ac:dyDescent="0.3">
      <c r="B63" s="451" t="s">
        <v>704</v>
      </c>
      <c r="C63" s="152"/>
      <c r="D63" s="840">
        <f>SUM(D42,D43,D44,D50,D52,D53,D54)</f>
        <v>62274</v>
      </c>
      <c r="E63" s="840">
        <f>SUM(E42,E43,E44,E50,E52,E53,E54)</f>
        <v>59490</v>
      </c>
      <c r="F63" s="840">
        <f>SUM(F42,F43,F44,F50,F52,F53,F54)</f>
        <v>55301</v>
      </c>
      <c r="G63" s="841">
        <f>SUM(G42,G43,G44,G50,G52,G53,G54)</f>
        <v>146866</v>
      </c>
      <c r="H63" s="841">
        <f>SUM(H42,H43,H44,H50,H52,H53,H54)</f>
        <v>133958</v>
      </c>
      <c r="I63" s="841">
        <f t="shared" ref="I63:M63" si="14">SUM(I42,I43,I44,I50,I52,I53,I54)</f>
        <v>137784.70627026175</v>
      </c>
      <c r="J63" s="841">
        <f t="shared" si="14"/>
        <v>142157.30316112461</v>
      </c>
      <c r="K63" s="841">
        <f t="shared" si="14"/>
        <v>142978.21384805019</v>
      </c>
      <c r="L63" s="841">
        <f t="shared" si="14"/>
        <v>143324.68217446111</v>
      </c>
      <c r="M63" s="841">
        <f t="shared" si="14"/>
        <v>143362.99646333649</v>
      </c>
    </row>
    <row r="64" spans="1:17" x14ac:dyDescent="0.3">
      <c r="B64" s="19" t="s">
        <v>1034</v>
      </c>
      <c r="C64" s="19"/>
      <c r="D64" s="107">
        <f>D30-D55</f>
        <v>14211</v>
      </c>
      <c r="E64" s="107">
        <f t="shared" ref="E64:M64" si="15">E30-E55</f>
        <v>11275</v>
      </c>
      <c r="F64" s="107">
        <f t="shared" si="15"/>
        <v>-5619</v>
      </c>
      <c r="G64" s="107">
        <f t="shared" si="15"/>
        <v>-20947</v>
      </c>
      <c r="H64" s="107">
        <f t="shared" si="15"/>
        <v>-15857</v>
      </c>
      <c r="I64" s="107">
        <f t="shared" si="15"/>
        <v>-17355.705027976306</v>
      </c>
      <c r="J64" s="107">
        <f t="shared" si="15"/>
        <v>-24318.568252070632</v>
      </c>
      <c r="K64" s="107">
        <f t="shared" si="15"/>
        <v>-8608.0853787233937</v>
      </c>
      <c r="L64" s="107">
        <f t="shared" si="15"/>
        <v>869.22276836930541</v>
      </c>
      <c r="M64" s="107">
        <f t="shared" si="15"/>
        <v>-3150.9614506677317</v>
      </c>
    </row>
    <row r="65" spans="2:25" x14ac:dyDescent="0.3">
      <c r="D65" s="46"/>
      <c r="E65" s="46"/>
      <c r="F65" s="46"/>
      <c r="G65" s="46"/>
      <c r="H65" s="46"/>
    </row>
    <row r="66" spans="2:25" x14ac:dyDescent="0.3">
      <c r="D66" s="46"/>
      <c r="E66" s="46"/>
      <c r="F66" s="46"/>
      <c r="G66" s="46"/>
      <c r="H66" s="46"/>
    </row>
    <row r="67" spans="2:25" x14ac:dyDescent="0.3">
      <c r="D67" s="46"/>
      <c r="E67" s="46"/>
      <c r="F67" s="46"/>
      <c r="G67" s="46"/>
      <c r="H67" s="46"/>
    </row>
    <row r="68" spans="2:25" ht="14.5" thickBot="1" x14ac:dyDescent="0.35">
      <c r="D68" s="46"/>
      <c r="E68" s="46"/>
      <c r="F68" s="46"/>
      <c r="G68" s="46"/>
      <c r="H68" s="46"/>
    </row>
    <row r="69" spans="2:25" ht="14.5" customHeight="1" x14ac:dyDescent="0.35">
      <c r="B69" s="1016" t="s">
        <v>942</v>
      </c>
      <c r="P69" s="1012" t="s">
        <v>943</v>
      </c>
      <c r="Q69" s="1012"/>
      <c r="R69" s="1012"/>
      <c r="S69" s="1012"/>
      <c r="T69" s="1012"/>
      <c r="U69"/>
      <c r="V69"/>
      <c r="W69"/>
      <c r="X69"/>
      <c r="Y69"/>
    </row>
    <row r="70" spans="2:25" ht="15" customHeight="1" thickBot="1" x14ac:dyDescent="0.4">
      <c r="B70" s="1017"/>
      <c r="P70" s="1013"/>
      <c r="Q70" s="1013"/>
      <c r="R70" s="1013"/>
      <c r="S70" s="1013"/>
      <c r="T70" s="1013"/>
      <c r="U70"/>
      <c r="V70"/>
      <c r="W70"/>
      <c r="X70"/>
      <c r="Y70"/>
    </row>
    <row r="71" spans="2:25" ht="15" thickBot="1" x14ac:dyDescent="0.4">
      <c r="B71" s="252" t="s">
        <v>169</v>
      </c>
      <c r="C71" s="252" t="s">
        <v>7</v>
      </c>
      <c r="D71" s="29" t="s">
        <v>931</v>
      </c>
      <c r="E71" s="29" t="s">
        <v>410</v>
      </c>
      <c r="F71" s="30" t="s">
        <v>152</v>
      </c>
      <c r="G71" s="29" t="s">
        <v>153</v>
      </c>
      <c r="H71" s="31" t="s">
        <v>868</v>
      </c>
      <c r="I71" s="32"/>
      <c r="J71"/>
      <c r="K71"/>
      <c r="L71"/>
      <c r="M71"/>
      <c r="P71" s="29" t="s">
        <v>931</v>
      </c>
      <c r="Q71" s="530" t="s">
        <v>410</v>
      </c>
      <c r="R71" s="30" t="s">
        <v>152</v>
      </c>
      <c r="S71" s="29" t="s">
        <v>153</v>
      </c>
      <c r="T71" s="31" t="s">
        <v>868</v>
      </c>
      <c r="U71"/>
      <c r="V71"/>
      <c r="W71"/>
      <c r="X71"/>
      <c r="Y71"/>
    </row>
    <row r="72" spans="2:25" ht="15" thickBot="1" x14ac:dyDescent="0.4">
      <c r="B72" s="261" t="s">
        <v>170</v>
      </c>
      <c r="C72" s="252"/>
      <c r="D72" s="252"/>
      <c r="E72" s="252"/>
      <c r="F72" s="252"/>
      <c r="G72" s="251"/>
      <c r="H72" s="252"/>
      <c r="I72" s="120"/>
      <c r="J72"/>
      <c r="K72"/>
      <c r="L72"/>
      <c r="M72"/>
      <c r="P72" s="263"/>
      <c r="Q72" s="531"/>
      <c r="R72" s="263"/>
      <c r="S72" s="269"/>
      <c r="T72" s="263"/>
      <c r="U72"/>
      <c r="V72"/>
      <c r="W72"/>
      <c r="X72"/>
      <c r="Y72"/>
    </row>
    <row r="73" spans="2:25" ht="15" thickBot="1" x14ac:dyDescent="0.4">
      <c r="B73" s="262" t="s">
        <v>171</v>
      </c>
      <c r="C73" s="252"/>
      <c r="D73" s="263"/>
      <c r="E73" s="263"/>
      <c r="F73" s="263"/>
      <c r="G73" s="252"/>
      <c r="H73" s="120"/>
      <c r="I73" s="252"/>
      <c r="J73"/>
      <c r="K73"/>
      <c r="L73"/>
      <c r="M73"/>
      <c r="P73" s="263"/>
      <c r="Q73" s="531"/>
      <c r="R73" s="263"/>
      <c r="S73" s="263"/>
      <c r="T73" s="532"/>
      <c r="U73"/>
      <c r="V73"/>
      <c r="W73"/>
      <c r="X73"/>
      <c r="Y73"/>
    </row>
    <row r="74" spans="2:25" ht="15" thickBot="1" x14ac:dyDescent="0.4">
      <c r="B74" s="268" t="s">
        <v>176</v>
      </c>
      <c r="C74" s="264" t="s">
        <v>727</v>
      </c>
      <c r="D74" s="527">
        <f>(D6/$D$31)</f>
        <v>3.7695521228019044E-2</v>
      </c>
      <c r="E74" s="527">
        <f>E6/$E$31</f>
        <v>3.5891469205509223E-2</v>
      </c>
      <c r="F74" s="527">
        <f>F6/$F$31</f>
        <v>6.7184633873790298E-2</v>
      </c>
      <c r="G74" s="527">
        <f>G6/$G$31</f>
        <v>6.9136740283362724E-2</v>
      </c>
      <c r="H74" s="527">
        <f>H6/$H$31</f>
        <v>7.6455413884373033E-2</v>
      </c>
      <c r="I74" s="252"/>
      <c r="J74"/>
      <c r="K74"/>
      <c r="L74"/>
      <c r="M74"/>
      <c r="P74" s="527">
        <f>(E6-D6)/D6</f>
        <v>-2.1101804123711342E-2</v>
      </c>
      <c r="Q74" s="527">
        <f t="shared" ref="Q74:S74" si="16">(F6-E6)/E6</f>
        <v>1.0974164883988811</v>
      </c>
      <c r="R74" s="527">
        <f t="shared" si="16"/>
        <v>0.55664522203044098</v>
      </c>
      <c r="S74" s="527">
        <f t="shared" si="16"/>
        <v>0.14722040219746987</v>
      </c>
      <c r="T74" s="527">
        <f>(I6-H6)/H6</f>
        <v>2.6020500644491448E-2</v>
      </c>
      <c r="U74"/>
      <c r="V74"/>
      <c r="W74"/>
      <c r="X74"/>
      <c r="Y74"/>
    </row>
    <row r="75" spans="2:25" ht="15" thickBot="1" x14ac:dyDescent="0.4">
      <c r="B75" s="266" t="s">
        <v>177</v>
      </c>
      <c r="C75" s="267"/>
      <c r="D75" s="527">
        <f t="shared" ref="D75:D99" si="17">(D7/$D$31)</f>
        <v>5.9621830370154477E-2</v>
      </c>
      <c r="E75" s="527">
        <f t="shared" ref="E75:E99" si="18">E7/$E$31</f>
        <v>0.10602660114814902</v>
      </c>
      <c r="F75" s="527">
        <f t="shared" ref="F75:F99" si="19">F7/$F$31</f>
        <v>0.13220287166079825</v>
      </c>
      <c r="G75" s="527">
        <f t="shared" ref="G75:G99" si="20">G7/$G$31</f>
        <v>5.7320668195217819E-2</v>
      </c>
      <c r="H75" s="527">
        <f t="shared" ref="H75:H99" si="21">H7/$H$31</f>
        <v>7.1984710260785442E-2</v>
      </c>
      <c r="I75" s="252"/>
      <c r="J75"/>
      <c r="K75"/>
      <c r="L75"/>
      <c r="M75"/>
      <c r="P75" s="527">
        <f t="shared" ref="P75:P124" si="22">(E7-D7)/D7</f>
        <v>0.82829208677054689</v>
      </c>
      <c r="Q75" s="527">
        <f t="shared" ref="Q75:Q124" si="23">(F7-E7)/E7</f>
        <v>0.39711452762923349</v>
      </c>
      <c r="R75" s="527">
        <f t="shared" ref="R75:R124" si="24">(G7-F7)/F7</f>
        <v>-0.34412503488696622</v>
      </c>
      <c r="S75" s="527">
        <f t="shared" ref="S75:S124" si="25">(H7-G7)/G7</f>
        <v>0.30279635258358661</v>
      </c>
      <c r="T75" s="527">
        <f t="shared" ref="T75:T124" si="26">(I7-H7)/H7</f>
        <v>2.602050064449149E-2</v>
      </c>
      <c r="U75"/>
      <c r="V75"/>
      <c r="W75"/>
      <c r="X75"/>
      <c r="Y75"/>
    </row>
    <row r="76" spans="2:25" ht="15" thickBot="1" x14ac:dyDescent="0.4">
      <c r="B76" s="268" t="s">
        <v>178</v>
      </c>
      <c r="C76" s="267" t="s">
        <v>683</v>
      </c>
      <c r="D76" s="527">
        <f t="shared" si="17"/>
        <v>0.16896191586515108</v>
      </c>
      <c r="E76" s="527">
        <f t="shared" si="18"/>
        <v>0.15964232559238348</v>
      </c>
      <c r="F76" s="527">
        <f t="shared" si="19"/>
        <v>0.18675283054671193</v>
      </c>
      <c r="G76" s="527">
        <f t="shared" si="20"/>
        <v>0.15435811305238656</v>
      </c>
      <c r="H76" s="527">
        <f t="shared" si="21"/>
        <v>0.2077651184350186</v>
      </c>
      <c r="I76" s="252"/>
      <c r="J76"/>
      <c r="K76"/>
      <c r="L76"/>
      <c r="M76"/>
      <c r="P76" s="527">
        <f t="shared" si="22"/>
        <v>-2.8606339394810609E-2</v>
      </c>
      <c r="Q76" s="527">
        <f t="shared" si="23"/>
        <v>0.31076581576026635</v>
      </c>
      <c r="R76" s="527">
        <f t="shared" si="24"/>
        <v>0.25029635901778152</v>
      </c>
      <c r="S76" s="527">
        <f t="shared" si="25"/>
        <v>0.3963384351437988</v>
      </c>
      <c r="T76" s="527">
        <f t="shared" si="26"/>
        <v>2.6020500644491247E-2</v>
      </c>
      <c r="U76"/>
      <c r="V76"/>
      <c r="W76"/>
      <c r="X76"/>
      <c r="Y76"/>
    </row>
    <row r="77" spans="2:25" ht="15" thickBot="1" x14ac:dyDescent="0.4">
      <c r="B77" s="268" t="s">
        <v>179</v>
      </c>
      <c r="C77" s="267" t="s">
        <v>730</v>
      </c>
      <c r="D77" s="527">
        <f t="shared" si="17"/>
        <v>1.8635237540075778E-2</v>
      </c>
      <c r="E77" s="527">
        <f t="shared" si="18"/>
        <v>1.8125871152165181E-2</v>
      </c>
      <c r="F77" s="527">
        <f t="shared" si="19"/>
        <v>1.6176811655316366E-2</v>
      </c>
      <c r="G77" s="527">
        <f t="shared" si="20"/>
        <v>1.0694050497940637E-2</v>
      </c>
      <c r="H77" s="527">
        <f t="shared" si="21"/>
        <v>1.7355466283303551E-2</v>
      </c>
      <c r="I77" s="265"/>
      <c r="J77"/>
      <c r="K77"/>
      <c r="L77"/>
      <c r="M77"/>
      <c r="P77" s="527">
        <f t="shared" si="22"/>
        <v>0</v>
      </c>
      <c r="Q77" s="527">
        <f t="shared" si="23"/>
        <v>0</v>
      </c>
      <c r="R77" s="527">
        <f t="shared" si="24"/>
        <v>0</v>
      </c>
      <c r="S77" s="527">
        <f t="shared" si="25"/>
        <v>0.68361029651352234</v>
      </c>
      <c r="T77" s="527">
        <f t="shared" si="26"/>
        <v>2.6020500644491299E-2</v>
      </c>
      <c r="U77"/>
      <c r="V77"/>
      <c r="W77"/>
      <c r="X77"/>
      <c r="Y77"/>
    </row>
    <row r="78" spans="2:25" ht="15" thickBot="1" x14ac:dyDescent="0.4">
      <c r="B78" s="268" t="s">
        <v>180</v>
      </c>
      <c r="C78" s="267" t="s">
        <v>732</v>
      </c>
      <c r="D78" s="527">
        <f t="shared" si="17"/>
        <v>2.5502768872048967E-4</v>
      </c>
      <c r="E78" s="527">
        <f t="shared" si="18"/>
        <v>2.7758746958350065E-4</v>
      </c>
      <c r="F78" s="527">
        <f t="shared" si="19"/>
        <v>5.4291678087246202E-4</v>
      </c>
      <c r="G78" s="527">
        <f t="shared" si="20"/>
        <v>4.0420653560153599E-4</v>
      </c>
      <c r="H78" s="527">
        <f t="shared" si="21"/>
        <v>2.4184121780488789E-4</v>
      </c>
      <c r="I78" s="252"/>
      <c r="J78"/>
      <c r="K78"/>
      <c r="L78"/>
      <c r="M78"/>
      <c r="P78" s="527">
        <f t="shared" si="22"/>
        <v>0.11904761904761904</v>
      </c>
      <c r="Q78" s="527">
        <f t="shared" si="23"/>
        <v>1.1914893617021276</v>
      </c>
      <c r="R78" s="527">
        <f t="shared" si="24"/>
        <v>0.12621359223300971</v>
      </c>
      <c r="S78" s="527">
        <f t="shared" si="25"/>
        <v>-0.37931034482758619</v>
      </c>
      <c r="T78" s="527">
        <f t="shared" si="26"/>
        <v>0.65303302881612479</v>
      </c>
      <c r="U78"/>
      <c r="V78"/>
      <c r="W78"/>
      <c r="X78"/>
      <c r="Y78"/>
    </row>
    <row r="79" spans="2:25" ht="15" thickBot="1" x14ac:dyDescent="0.4">
      <c r="B79" s="268" t="s">
        <v>892</v>
      </c>
      <c r="C79" s="267"/>
      <c r="D79" s="527">
        <f t="shared" si="17"/>
        <v>0</v>
      </c>
      <c r="E79" s="527">
        <f t="shared" si="18"/>
        <v>0</v>
      </c>
      <c r="F79" s="527">
        <f t="shared" si="19"/>
        <v>0</v>
      </c>
      <c r="G79" s="527">
        <f t="shared" si="20"/>
        <v>0</v>
      </c>
      <c r="H79" s="527">
        <f t="shared" si="21"/>
        <v>0</v>
      </c>
      <c r="I79" s="252"/>
      <c r="J79"/>
      <c r="K79"/>
      <c r="L79"/>
      <c r="M79"/>
      <c r="P79" s="527"/>
      <c r="Q79" s="527"/>
      <c r="R79" s="527"/>
      <c r="S79" s="527"/>
      <c r="T79" s="527"/>
      <c r="U79"/>
      <c r="V79"/>
      <c r="W79"/>
      <c r="X79"/>
      <c r="Y79"/>
    </row>
    <row r="80" spans="2:25" ht="15" thickBot="1" x14ac:dyDescent="0.4">
      <c r="B80" s="270" t="s">
        <v>181</v>
      </c>
      <c r="C80" s="252"/>
      <c r="D80" s="527">
        <f t="shared" si="17"/>
        <v>0</v>
      </c>
      <c r="E80" s="527">
        <f t="shared" si="18"/>
        <v>0</v>
      </c>
      <c r="F80" s="527">
        <f t="shared" si="19"/>
        <v>0</v>
      </c>
      <c r="G80" s="527">
        <f t="shared" si="20"/>
        <v>0</v>
      </c>
      <c r="H80" s="527">
        <f t="shared" si="21"/>
        <v>0</v>
      </c>
      <c r="I80" s="252"/>
      <c r="J80"/>
      <c r="K80"/>
      <c r="L80"/>
      <c r="M80"/>
      <c r="P80" s="527"/>
      <c r="Q80" s="527"/>
      <c r="R80" s="527"/>
      <c r="S80" s="527"/>
      <c r="T80" s="527"/>
      <c r="U80"/>
      <c r="V80"/>
      <c r="W80"/>
      <c r="X80"/>
      <c r="Y80"/>
    </row>
    <row r="81" spans="2:25" ht="15" thickBot="1" x14ac:dyDescent="0.4">
      <c r="B81" s="268" t="s">
        <v>182</v>
      </c>
      <c r="C81" s="267" t="s">
        <v>891</v>
      </c>
      <c r="D81" s="527">
        <f t="shared" si="17"/>
        <v>1.7596910521713787E-2</v>
      </c>
      <c r="E81" s="527">
        <f t="shared" si="18"/>
        <v>2.036428925795554E-2</v>
      </c>
      <c r="F81" s="527">
        <f t="shared" si="19"/>
        <v>2.2322840456260939E-2</v>
      </c>
      <c r="G81" s="527">
        <f t="shared" si="20"/>
        <v>2.7106229659003004E-2</v>
      </c>
      <c r="H81" s="527">
        <f t="shared" si="21"/>
        <v>2.6495048972846606E-2</v>
      </c>
      <c r="I81" s="252"/>
      <c r="J81"/>
      <c r="K81"/>
      <c r="L81"/>
      <c r="M81"/>
      <c r="P81" s="527">
        <f t="shared" si="22"/>
        <v>0.18978605935127674</v>
      </c>
      <c r="Q81" s="527">
        <f t="shared" si="23"/>
        <v>0.22824825986078887</v>
      </c>
      <c r="R81" s="527">
        <f t="shared" si="24"/>
        <v>0.83683589138134595</v>
      </c>
      <c r="S81" s="527">
        <f t="shared" si="25"/>
        <v>1.4012083815400436E-2</v>
      </c>
      <c r="T81" s="527">
        <f t="shared" si="26"/>
        <v>2.6020500644491355E-2</v>
      </c>
      <c r="U81"/>
      <c r="V81"/>
      <c r="W81"/>
      <c r="X81"/>
      <c r="Y81"/>
    </row>
    <row r="82" spans="2:25" ht="15" thickBot="1" x14ac:dyDescent="0.4">
      <c r="B82" s="268" t="s">
        <v>183</v>
      </c>
      <c r="C82" s="264" t="s">
        <v>706</v>
      </c>
      <c r="D82" s="527">
        <f t="shared" si="17"/>
        <v>5.962790245798115E-2</v>
      </c>
      <c r="E82" s="527">
        <f t="shared" si="18"/>
        <v>5.3869687448321484E-2</v>
      </c>
      <c r="F82" s="527">
        <f t="shared" si="19"/>
        <v>4.7987518185076641E-2</v>
      </c>
      <c r="G82" s="527">
        <f t="shared" si="20"/>
        <v>3.1510687081419742E-2</v>
      </c>
      <c r="H82" s="527">
        <f t="shared" si="21"/>
        <v>4.0478173830093112E-2</v>
      </c>
      <c r="I82" s="252"/>
      <c r="J82"/>
      <c r="K82"/>
      <c r="L82"/>
      <c r="M82"/>
      <c r="P82" s="527">
        <f t="shared" si="22"/>
        <v>-7.1181262729124242E-2</v>
      </c>
      <c r="Q82" s="527">
        <f t="shared" si="23"/>
        <v>-1.8638307203157549E-3</v>
      </c>
      <c r="R82" s="527">
        <f t="shared" si="24"/>
        <v>-6.7003514938488579E-3</v>
      </c>
      <c r="S82" s="527">
        <f t="shared" si="25"/>
        <v>0.33263297578237311</v>
      </c>
      <c r="T82" s="527">
        <f t="shared" si="26"/>
        <v>2.7607310468027651E-2</v>
      </c>
      <c r="U82"/>
      <c r="V82"/>
      <c r="W82"/>
      <c r="X82"/>
      <c r="Y82"/>
    </row>
    <row r="83" spans="2:25" ht="15" thickBot="1" x14ac:dyDescent="0.4">
      <c r="B83" s="268" t="s">
        <v>184</v>
      </c>
      <c r="C83" s="267" t="s">
        <v>705</v>
      </c>
      <c r="D83" s="527">
        <f t="shared" si="17"/>
        <v>7.5172447294277666E-3</v>
      </c>
      <c r="E83" s="527">
        <f t="shared" si="18"/>
        <v>8.2449384582673809E-3</v>
      </c>
      <c r="F83" s="527">
        <f t="shared" si="19"/>
        <v>9.5616605874043314E-3</v>
      </c>
      <c r="G83" s="527">
        <f t="shared" si="20"/>
        <v>6.4568509523245362E-3</v>
      </c>
      <c r="H83" s="527">
        <f t="shared" si="21"/>
        <v>4.1045828910774027E-3</v>
      </c>
      <c r="I83" s="252"/>
      <c r="J83"/>
      <c r="K83"/>
      <c r="L83"/>
      <c r="M83"/>
      <c r="P83" s="527">
        <f t="shared" si="22"/>
        <v>0.12762520193861066</v>
      </c>
      <c r="Q83" s="527">
        <f t="shared" si="23"/>
        <v>0.29942693409742122</v>
      </c>
      <c r="R83" s="527">
        <f t="shared" si="24"/>
        <v>2.1499448732083794E-2</v>
      </c>
      <c r="S83" s="527">
        <f t="shared" si="25"/>
        <v>-0.34052887209929844</v>
      </c>
      <c r="T83" s="527">
        <f t="shared" si="26"/>
        <v>2.7005678167204422E-2</v>
      </c>
      <c r="U83"/>
      <c r="V83"/>
      <c r="W83"/>
      <c r="X83"/>
      <c r="Y83"/>
    </row>
    <row r="84" spans="2:25" ht="15" thickBot="1" x14ac:dyDescent="0.4">
      <c r="B84" s="268" t="s">
        <v>209</v>
      </c>
      <c r="C84" s="267" t="s">
        <v>707</v>
      </c>
      <c r="D84" s="527">
        <f t="shared" si="17"/>
        <v>5.5863208005440591E-4</v>
      </c>
      <c r="E84" s="527">
        <f t="shared" si="18"/>
        <v>5.9888020033546738E-3</v>
      </c>
      <c r="F84" s="527">
        <f t="shared" si="19"/>
        <v>3.6422863648822449E-3</v>
      </c>
      <c r="G84" s="527">
        <f t="shared" si="20"/>
        <v>2.22104522234844E-2</v>
      </c>
      <c r="H84" s="527">
        <f t="shared" si="21"/>
        <v>1.8944228728049552E-2</v>
      </c>
      <c r="I84" s="252"/>
      <c r="J84"/>
      <c r="K84"/>
      <c r="L84"/>
      <c r="M84"/>
      <c r="P84" s="527">
        <f t="shared" si="22"/>
        <v>10.021739130434783</v>
      </c>
      <c r="Q84" s="527">
        <f t="shared" si="23"/>
        <v>-0.31854043392504933</v>
      </c>
      <c r="R84" s="527">
        <f t="shared" si="24"/>
        <v>8.2243125904486245</v>
      </c>
      <c r="S84" s="527">
        <f t="shared" si="25"/>
        <v>-0.1151553184813304</v>
      </c>
      <c r="T84" s="527">
        <f t="shared" si="26"/>
        <v>0.14143574427460873</v>
      </c>
      <c r="U84"/>
      <c r="V84"/>
      <c r="W84"/>
      <c r="X84"/>
      <c r="Y84"/>
    </row>
    <row r="85" spans="2:25" ht="15" thickBot="1" x14ac:dyDescent="0.4">
      <c r="B85" s="268" t="s">
        <v>210</v>
      </c>
      <c r="C85" s="252"/>
      <c r="D85" s="527">
        <f t="shared" si="17"/>
        <v>1.1852715437676091E-2</v>
      </c>
      <c r="E85" s="527">
        <f t="shared" si="18"/>
        <v>1.2018946821328168E-2</v>
      </c>
      <c r="F85" s="527">
        <f t="shared" si="19"/>
        <v>1.4642939973433975E-2</v>
      </c>
      <c r="G85" s="527">
        <f t="shared" si="20"/>
        <v>1.2631454237547999E-2</v>
      </c>
      <c r="H85" s="527">
        <f t="shared" si="21"/>
        <v>1.7247981297612489E-2</v>
      </c>
      <c r="I85" s="252"/>
      <c r="J85"/>
      <c r="K85"/>
      <c r="L85"/>
      <c r="M85"/>
      <c r="P85" s="527">
        <f t="shared" si="22"/>
        <v>4.2520491803278687E-2</v>
      </c>
      <c r="Q85" s="527">
        <f t="shared" si="23"/>
        <v>0.36511056511056511</v>
      </c>
      <c r="R85" s="527">
        <f t="shared" si="24"/>
        <v>0.30489560835133189</v>
      </c>
      <c r="S85" s="527">
        <f t="shared" si="25"/>
        <v>0.41655172413793101</v>
      </c>
      <c r="T85" s="527">
        <f t="shared" si="26"/>
        <v>0.14143574427460873</v>
      </c>
      <c r="U85"/>
      <c r="V85"/>
      <c r="W85"/>
      <c r="X85"/>
      <c r="Y85"/>
    </row>
    <row r="86" spans="2:25" ht="15" thickBot="1" x14ac:dyDescent="0.4">
      <c r="B86" s="266" t="s">
        <v>185</v>
      </c>
      <c r="C86" s="267" t="s">
        <v>708</v>
      </c>
      <c r="D86" s="527">
        <f t="shared" si="17"/>
        <v>1.3874720683959972E-2</v>
      </c>
      <c r="E86" s="527">
        <f t="shared" si="18"/>
        <v>1.9017694724656854E-2</v>
      </c>
      <c r="F86" s="527">
        <f t="shared" si="19"/>
        <v>2.2322840456260939E-2</v>
      </c>
      <c r="G86" s="527">
        <f t="shared" si="20"/>
        <v>1.2105288833446E-2</v>
      </c>
      <c r="H86" s="527">
        <f t="shared" si="21"/>
        <v>1.2820943449461903E-2</v>
      </c>
      <c r="I86" s="252"/>
      <c r="J86"/>
      <c r="K86"/>
      <c r="L86"/>
      <c r="M86"/>
      <c r="P86" s="527">
        <f t="shared" si="22"/>
        <v>0.40919037199124725</v>
      </c>
      <c r="Q86" s="527">
        <f t="shared" si="23"/>
        <v>0.31521739130434784</v>
      </c>
      <c r="R86" s="527">
        <f t="shared" si="24"/>
        <v>-0.17969303423848879</v>
      </c>
      <c r="S86" s="527">
        <f t="shared" si="25"/>
        <v>9.8733448474381119E-2</v>
      </c>
      <c r="T86" s="527">
        <f t="shared" si="26"/>
        <v>2.602050064449141E-2</v>
      </c>
      <c r="U86"/>
      <c r="V86"/>
      <c r="W86"/>
      <c r="X86"/>
      <c r="Y86"/>
    </row>
    <row r="87" spans="2:25" ht="15" thickBot="1" x14ac:dyDescent="0.4">
      <c r="B87" s="271" t="s">
        <v>697</v>
      </c>
      <c r="C87" s="252"/>
      <c r="D87" s="527">
        <f t="shared" si="17"/>
        <v>0.39619765860293404</v>
      </c>
      <c r="E87" s="527">
        <f t="shared" si="18"/>
        <v>0.43946821328167451</v>
      </c>
      <c r="F87" s="527">
        <f t="shared" si="19"/>
        <v>0.5233401505408084</v>
      </c>
      <c r="G87" s="527">
        <f t="shared" si="20"/>
        <v>0.40393474155173498</v>
      </c>
      <c r="H87" s="527">
        <f t="shared" si="21"/>
        <v>0.49389350925042658</v>
      </c>
      <c r="I87" s="252"/>
      <c r="J87"/>
      <c r="K87"/>
      <c r="L87"/>
      <c r="M87"/>
      <c r="P87" s="527">
        <f t="shared" si="22"/>
        <v>0.14038529326119942</v>
      </c>
      <c r="Q87" s="527">
        <f t="shared" si="23"/>
        <v>0.33432783668642235</v>
      </c>
      <c r="R87" s="527">
        <f t="shared" si="24"/>
        <v>0.16755635235582056</v>
      </c>
      <c r="S87" s="527">
        <f t="shared" si="25"/>
        <v>0.26843912285847382</v>
      </c>
      <c r="T87" s="527">
        <f t="shared" si="26"/>
        <v>3.4923320858440458E-2</v>
      </c>
      <c r="U87"/>
      <c r="V87"/>
      <c r="W87"/>
      <c r="X87"/>
      <c r="Y87"/>
    </row>
    <row r="88" spans="2:25" ht="15" thickBot="1" x14ac:dyDescent="0.4">
      <c r="B88" s="270" t="s">
        <v>186</v>
      </c>
      <c r="C88" s="252"/>
      <c r="D88" s="527">
        <f t="shared" si="17"/>
        <v>0</v>
      </c>
      <c r="E88" s="527">
        <f t="shared" si="18"/>
        <v>0</v>
      </c>
      <c r="F88" s="527">
        <f t="shared" si="19"/>
        <v>0</v>
      </c>
      <c r="G88" s="527">
        <f t="shared" si="20"/>
        <v>0</v>
      </c>
      <c r="H88" s="527">
        <f t="shared" si="21"/>
        <v>0</v>
      </c>
      <c r="I88" s="252"/>
      <c r="J88"/>
      <c r="K88"/>
      <c r="L88"/>
      <c r="M88"/>
      <c r="P88" s="527"/>
      <c r="Q88" s="527"/>
      <c r="R88" s="527"/>
      <c r="S88" s="527"/>
      <c r="T88" s="527"/>
      <c r="U88"/>
      <c r="V88"/>
      <c r="W88"/>
      <c r="X88"/>
      <c r="Y88"/>
    </row>
    <row r="89" spans="2:25" ht="15" thickBot="1" x14ac:dyDescent="0.4">
      <c r="B89" s="275" t="s">
        <v>187</v>
      </c>
      <c r="C89" s="267" t="s">
        <v>709</v>
      </c>
      <c r="D89" s="527">
        <f t="shared" si="17"/>
        <v>0.40772855338579617</v>
      </c>
      <c r="E89" s="527">
        <f t="shared" si="18"/>
        <v>0.3952314016395379</v>
      </c>
      <c r="F89" s="527">
        <f t="shared" si="19"/>
        <v>0.30111851398933143</v>
      </c>
      <c r="G89" s="527">
        <f t="shared" si="20"/>
        <v>0.45822037619084122</v>
      </c>
      <c r="H89" s="527">
        <f t="shared" si="21"/>
        <v>0.38207553507369441</v>
      </c>
      <c r="I89" s="252"/>
      <c r="J89"/>
      <c r="K89"/>
      <c r="L89"/>
      <c r="M89"/>
      <c r="P89" s="527">
        <f t="shared" si="22"/>
        <v>-3.4103770775004466E-3</v>
      </c>
      <c r="Q89" s="527">
        <f t="shared" si="23"/>
        <v>-0.14632615550142711</v>
      </c>
      <c r="R89" s="527">
        <f t="shared" si="24"/>
        <v>1.3019062789924205</v>
      </c>
      <c r="S89" s="527">
        <f t="shared" si="25"/>
        <v>-0.13498756663447425</v>
      </c>
      <c r="T89" s="527">
        <f t="shared" si="26"/>
        <v>2.6020500644491372E-2</v>
      </c>
      <c r="U89"/>
      <c r="V89"/>
      <c r="W89"/>
      <c r="X89"/>
      <c r="Y89"/>
    </row>
    <row r="90" spans="2:25" ht="15" thickBot="1" x14ac:dyDescent="0.4">
      <c r="B90" s="270" t="s">
        <v>188</v>
      </c>
      <c r="C90" s="252"/>
      <c r="D90" s="527">
        <f t="shared" si="17"/>
        <v>0</v>
      </c>
      <c r="E90" s="527">
        <f t="shared" si="18"/>
        <v>0</v>
      </c>
      <c r="F90" s="527">
        <f t="shared" si="19"/>
        <v>0</v>
      </c>
      <c r="G90" s="527">
        <f t="shared" si="20"/>
        <v>0</v>
      </c>
      <c r="H90" s="527">
        <f t="shared" si="21"/>
        <v>0</v>
      </c>
      <c r="I90" s="252"/>
      <c r="J90"/>
      <c r="K90"/>
      <c r="L90"/>
      <c r="M90"/>
      <c r="P90" s="527"/>
      <c r="Q90" s="527"/>
      <c r="R90" s="527"/>
      <c r="S90" s="527"/>
      <c r="T90" s="527"/>
      <c r="U90"/>
      <c r="V90"/>
      <c r="W90"/>
      <c r="X90"/>
      <c r="Y90"/>
    </row>
    <row r="91" spans="2:25" ht="15" thickBot="1" x14ac:dyDescent="0.4">
      <c r="B91" s="268" t="s">
        <v>182</v>
      </c>
      <c r="C91" s="267" t="s">
        <v>710</v>
      </c>
      <c r="D91" s="527">
        <f t="shared" si="17"/>
        <v>1.3546827941319343E-2</v>
      </c>
      <c r="E91" s="527">
        <f t="shared" si="18"/>
        <v>6.0832998653405465E-4</v>
      </c>
      <c r="F91" s="527">
        <f t="shared" si="19"/>
        <v>5.8508507453245903E-4</v>
      </c>
      <c r="G91" s="527">
        <f t="shared" si="20"/>
        <v>1.7422695500066207E-5</v>
      </c>
      <c r="H91" s="527">
        <f t="shared" si="21"/>
        <v>1.6794529014228327E-5</v>
      </c>
      <c r="I91" s="252"/>
      <c r="J91"/>
      <c r="K91"/>
      <c r="L91"/>
      <c r="M91"/>
      <c r="P91" s="527">
        <f t="shared" si="22"/>
        <v>-0.95383236216943079</v>
      </c>
      <c r="Q91" s="527">
        <f t="shared" si="23"/>
        <v>7.7669902912621352E-2</v>
      </c>
      <c r="R91" s="527">
        <f t="shared" si="24"/>
        <v>-0.95495495495495497</v>
      </c>
      <c r="S91" s="527">
        <f t="shared" si="25"/>
        <v>0</v>
      </c>
      <c r="T91" s="527">
        <f t="shared" si="26"/>
        <v>2.6020500644491483E-2</v>
      </c>
      <c r="U91"/>
      <c r="V91"/>
      <c r="W91"/>
      <c r="X91"/>
      <c r="Y91"/>
    </row>
    <row r="92" spans="2:25" ht="15" thickBot="1" x14ac:dyDescent="0.4">
      <c r="B92" s="268" t="s">
        <v>189</v>
      </c>
      <c r="C92" s="267" t="s">
        <v>711</v>
      </c>
      <c r="D92" s="527">
        <f t="shared" si="17"/>
        <v>6.937967550762654E-2</v>
      </c>
      <c r="E92" s="527">
        <f t="shared" si="18"/>
        <v>5.9397812374495026E-2</v>
      </c>
      <c r="F92" s="527">
        <f t="shared" si="19"/>
        <v>5.0839149043833944E-2</v>
      </c>
      <c r="G92" s="527">
        <f t="shared" si="20"/>
        <v>5.7648214870619066E-2</v>
      </c>
      <c r="H92" s="527">
        <f t="shared" si="21"/>
        <v>4.9594244179016242E-2</v>
      </c>
      <c r="I92" s="252"/>
      <c r="J92"/>
      <c r="K92"/>
      <c r="L92"/>
      <c r="M92"/>
      <c r="P92" s="527">
        <f t="shared" si="22"/>
        <v>-0.11981445825310695</v>
      </c>
      <c r="Q92" s="527">
        <f t="shared" si="23"/>
        <v>-4.0966491001292633E-2</v>
      </c>
      <c r="R92" s="527">
        <f t="shared" si="24"/>
        <v>0.71529289787454642</v>
      </c>
      <c r="S92" s="527">
        <f t="shared" si="25"/>
        <v>-0.10753143133462283</v>
      </c>
      <c r="T92" s="527">
        <f t="shared" si="26"/>
        <v>2.6020500644491355E-2</v>
      </c>
      <c r="U92"/>
      <c r="V92"/>
      <c r="W92"/>
      <c r="X92"/>
      <c r="Y92"/>
    </row>
    <row r="93" spans="2:25" ht="15" thickBot="1" x14ac:dyDescent="0.4">
      <c r="B93" s="268" t="s">
        <v>190</v>
      </c>
      <c r="C93" s="267" t="s">
        <v>712</v>
      </c>
      <c r="D93" s="527">
        <f t="shared" si="17"/>
        <v>2.5168804041581658E-2</v>
      </c>
      <c r="E93" s="527">
        <f t="shared" si="18"/>
        <v>1.9318906659736824E-2</v>
      </c>
      <c r="F93" s="527">
        <f t="shared" si="19"/>
        <v>1.8617301650888696E-2</v>
      </c>
      <c r="G93" s="527">
        <f t="shared" si="20"/>
        <v>2.2754040323086467E-2</v>
      </c>
      <c r="H93" s="527">
        <f t="shared" si="21"/>
        <v>2.6390922892958388E-2</v>
      </c>
      <c r="I93" s="252"/>
      <c r="J93"/>
      <c r="K93"/>
      <c r="L93"/>
      <c r="M93"/>
      <c r="P93" s="527">
        <f t="shared" si="22"/>
        <v>-0.21085645355850421</v>
      </c>
      <c r="Q93" s="527">
        <f t="shared" si="23"/>
        <v>7.9792112503821455E-2</v>
      </c>
      <c r="R93" s="527">
        <f t="shared" si="24"/>
        <v>0.84881087202718009</v>
      </c>
      <c r="S93" s="527">
        <f t="shared" si="25"/>
        <v>0.20321592649310874</v>
      </c>
      <c r="T93" s="527">
        <f t="shared" si="26"/>
        <v>7.1764247769630723E-2</v>
      </c>
      <c r="U93"/>
      <c r="V93"/>
      <c r="W93"/>
      <c r="X93"/>
      <c r="Y93"/>
    </row>
    <row r="94" spans="2:25" ht="15" thickBot="1" x14ac:dyDescent="0.4">
      <c r="B94" s="268" t="s">
        <v>191</v>
      </c>
      <c r="C94" s="267" t="s">
        <v>714</v>
      </c>
      <c r="D94" s="527">
        <f t="shared" si="17"/>
        <v>2.7870883124453513E-3</v>
      </c>
      <c r="E94" s="527">
        <f t="shared" si="18"/>
        <v>3.5023270098514022E-3</v>
      </c>
      <c r="F94" s="527">
        <f t="shared" si="19"/>
        <v>2.0309304433996079E-2</v>
      </c>
      <c r="G94" s="527">
        <f t="shared" si="20"/>
        <v>2.0663316863078519E-3</v>
      </c>
      <c r="H94" s="527">
        <f t="shared" si="21"/>
        <v>5.5455534804981933E-3</v>
      </c>
      <c r="I94" s="252"/>
      <c r="J94"/>
      <c r="K94"/>
      <c r="L94"/>
      <c r="M94"/>
      <c r="P94" s="527">
        <f t="shared" si="22"/>
        <v>0.29193899782135074</v>
      </c>
      <c r="Q94" s="527">
        <f t="shared" si="23"/>
        <v>5.4974704890387862</v>
      </c>
      <c r="R94" s="527">
        <f t="shared" si="24"/>
        <v>-0.84609395276407995</v>
      </c>
      <c r="S94" s="527">
        <f t="shared" si="25"/>
        <v>1.7841483979763912</v>
      </c>
      <c r="T94" s="527">
        <f t="shared" si="26"/>
        <v>-1</v>
      </c>
      <c r="U94"/>
      <c r="V94"/>
      <c r="W94"/>
      <c r="X94"/>
      <c r="Y94"/>
    </row>
    <row r="95" spans="2:25" ht="15" thickBot="1" x14ac:dyDescent="0.4">
      <c r="B95" s="268" t="s">
        <v>192</v>
      </c>
      <c r="C95" s="267" t="s">
        <v>713</v>
      </c>
      <c r="D95" s="527">
        <f t="shared" si="17"/>
        <v>3.5958904109589039E-2</v>
      </c>
      <c r="E95" s="527">
        <f t="shared" si="18"/>
        <v>3.5129580193248126E-2</v>
      </c>
      <c r="F95" s="527">
        <f t="shared" si="19"/>
        <v>3.7250416411899891E-2</v>
      </c>
      <c r="G95" s="527">
        <f t="shared" si="20"/>
        <v>2.5224578544995855E-2</v>
      </c>
      <c r="H95" s="527">
        <f t="shared" si="21"/>
        <v>1.7365543000712087E-2</v>
      </c>
      <c r="I95" s="252"/>
      <c r="J95"/>
      <c r="K95"/>
      <c r="L95"/>
      <c r="M95"/>
      <c r="P95" s="527">
        <f t="shared" si="22"/>
        <v>4.3904086457277943E-3</v>
      </c>
      <c r="Q95" s="527">
        <f t="shared" si="23"/>
        <v>0.18813046402151984</v>
      </c>
      <c r="R95" s="527">
        <f t="shared" si="24"/>
        <v>2.4338474600254706E-2</v>
      </c>
      <c r="S95" s="527">
        <f t="shared" si="25"/>
        <v>-0.28581295759082748</v>
      </c>
      <c r="T95" s="527">
        <f t="shared" si="26"/>
        <v>2.7607310468027724E-2</v>
      </c>
      <c r="U95"/>
      <c r="V95"/>
      <c r="W95"/>
      <c r="X95"/>
      <c r="Y95"/>
    </row>
    <row r="96" spans="2:25" ht="15" thickBot="1" x14ac:dyDescent="0.4">
      <c r="B96" s="268" t="s">
        <v>193</v>
      </c>
      <c r="C96" s="267" t="s">
        <v>715</v>
      </c>
      <c r="D96" s="527">
        <f t="shared" si="17"/>
        <v>2.823520839405421E-3</v>
      </c>
      <c r="E96" s="527">
        <f t="shared" si="18"/>
        <v>2.6518462519785489E-3</v>
      </c>
      <c r="F96" s="527">
        <f t="shared" si="19"/>
        <v>6.5887958843745384E-4</v>
      </c>
      <c r="G96" s="527">
        <f t="shared" si="20"/>
        <v>1.6272797597061837E-3</v>
      </c>
      <c r="H96" s="527">
        <f t="shared" si="21"/>
        <v>7.4231818242889193E-4</v>
      </c>
      <c r="I96" s="252"/>
      <c r="J96"/>
      <c r="K96"/>
      <c r="L96"/>
      <c r="M96"/>
      <c r="P96" s="527">
        <f t="shared" si="22"/>
        <v>-3.4408602150537634E-2</v>
      </c>
      <c r="Q96" s="527">
        <f t="shared" si="23"/>
        <v>-0.72160356347438748</v>
      </c>
      <c r="R96" s="527">
        <f t="shared" si="24"/>
        <v>2.7360000000000002</v>
      </c>
      <c r="S96" s="527">
        <f t="shared" si="25"/>
        <v>-0.52676659528907921</v>
      </c>
      <c r="T96" s="527">
        <f t="shared" si="26"/>
        <v>1.1131221719457014</v>
      </c>
      <c r="U96"/>
      <c r="V96"/>
      <c r="W96"/>
      <c r="X96"/>
      <c r="Y96"/>
    </row>
    <row r="97" spans="2:25" ht="15" thickBot="1" x14ac:dyDescent="0.4">
      <c r="B97" s="268" t="s">
        <v>194</v>
      </c>
      <c r="C97" s="267" t="s">
        <v>716</v>
      </c>
      <c r="D97" s="527">
        <f t="shared" si="17"/>
        <v>4.6408967259302436E-2</v>
      </c>
      <c r="E97" s="527">
        <f t="shared" si="18"/>
        <v>4.4691582602943605E-2</v>
      </c>
      <c r="F97" s="527">
        <f t="shared" si="19"/>
        <v>4.7281199266271688E-2</v>
      </c>
      <c r="G97" s="527">
        <f t="shared" si="20"/>
        <v>2.8507014377208328E-2</v>
      </c>
      <c r="H97" s="527">
        <f t="shared" si="21"/>
        <v>2.437557941125099E-2</v>
      </c>
      <c r="I97" s="252"/>
      <c r="J97"/>
      <c r="K97"/>
      <c r="L97"/>
      <c r="M97"/>
      <c r="P97" s="527">
        <f t="shared" si="22"/>
        <v>-9.9437393693575828E-3</v>
      </c>
      <c r="Q97" s="527">
        <f t="shared" si="23"/>
        <v>0.18541033434650456</v>
      </c>
      <c r="R97" s="527">
        <f t="shared" si="24"/>
        <v>-8.7959866220735788E-2</v>
      </c>
      <c r="S97" s="527">
        <f t="shared" si="25"/>
        <v>-0.11294462779611295</v>
      </c>
      <c r="T97" s="527">
        <f t="shared" si="26"/>
        <v>2.6020500644491355E-2</v>
      </c>
      <c r="U97"/>
      <c r="V97"/>
      <c r="W97"/>
      <c r="X97"/>
      <c r="Y97"/>
    </row>
    <row r="98" spans="2:25" ht="15" thickBot="1" x14ac:dyDescent="0.4">
      <c r="B98" s="271" t="s">
        <v>698</v>
      </c>
      <c r="C98" s="252"/>
      <c r="D98" s="527">
        <f t="shared" si="17"/>
        <v>0.60380234139706601</v>
      </c>
      <c r="E98" s="527">
        <f t="shared" si="18"/>
        <v>0.56053178671832549</v>
      </c>
      <c r="F98" s="527">
        <f t="shared" si="19"/>
        <v>0.47665984945919165</v>
      </c>
      <c r="G98" s="527">
        <f t="shared" si="20"/>
        <v>0.59606525844826508</v>
      </c>
      <c r="H98" s="527">
        <f t="shared" si="21"/>
        <v>0.50610649074957337</v>
      </c>
      <c r="I98" s="252"/>
      <c r="J98"/>
      <c r="K98"/>
      <c r="L98"/>
      <c r="M98"/>
      <c r="P98" s="527">
        <f t="shared" si="22"/>
        <v>-4.5575679562344755E-2</v>
      </c>
      <c r="Q98" s="527">
        <f t="shared" si="23"/>
        <v>-4.71724951794915E-2</v>
      </c>
      <c r="R98" s="527">
        <f t="shared" si="24"/>
        <v>0.89162888421983855</v>
      </c>
      <c r="S98" s="527">
        <f t="shared" si="25"/>
        <v>-0.11916286683035192</v>
      </c>
      <c r="T98" s="527">
        <f t="shared" si="26"/>
        <v>1.8812332460728724E-2</v>
      </c>
      <c r="U98"/>
      <c r="V98"/>
      <c r="W98"/>
      <c r="X98"/>
      <c r="Y98"/>
    </row>
    <row r="99" spans="2:25" ht="15" thickBot="1" x14ac:dyDescent="0.4">
      <c r="B99" s="276" t="s">
        <v>195</v>
      </c>
      <c r="C99" s="252"/>
      <c r="D99" s="527">
        <f t="shared" si="17"/>
        <v>1</v>
      </c>
      <c r="E99" s="527">
        <f t="shared" si="18"/>
        <v>1</v>
      </c>
      <c r="F99" s="527">
        <f t="shared" si="19"/>
        <v>1</v>
      </c>
      <c r="G99" s="527">
        <f t="shared" si="20"/>
        <v>1</v>
      </c>
      <c r="H99" s="527">
        <f t="shared" si="21"/>
        <v>1</v>
      </c>
      <c r="I99" s="252"/>
      <c r="J99"/>
      <c r="K99"/>
      <c r="L99"/>
      <c r="M99"/>
      <c r="P99" s="527">
        <f t="shared" si="22"/>
        <v>2.8101622461867287E-2</v>
      </c>
      <c r="Q99" s="527">
        <f t="shared" si="23"/>
        <v>0.12048477403198753</v>
      </c>
      <c r="R99" s="527">
        <f t="shared" si="24"/>
        <v>0.51269265639165906</v>
      </c>
      <c r="S99" s="527">
        <f t="shared" si="25"/>
        <v>3.740304269954213E-2</v>
      </c>
      <c r="T99" s="527">
        <f t="shared" si="26"/>
        <v>2.6769445057967477E-2</v>
      </c>
      <c r="U99"/>
      <c r="V99"/>
      <c r="W99"/>
      <c r="X99"/>
      <c r="Y99"/>
    </row>
    <row r="100" spans="2:25" ht="15" thickBot="1" x14ac:dyDescent="0.4">
      <c r="B100" s="270" t="s">
        <v>172</v>
      </c>
      <c r="C100" s="252"/>
      <c r="D100" s="252"/>
      <c r="E100" s="252"/>
      <c r="F100" s="252"/>
      <c r="G100" s="252"/>
      <c r="H100" s="252"/>
      <c r="I100" s="252"/>
      <c r="J100"/>
      <c r="K100"/>
      <c r="L100"/>
      <c r="M100"/>
      <c r="P100" s="527"/>
      <c r="Q100" s="527"/>
      <c r="R100" s="527"/>
      <c r="S100" s="527"/>
      <c r="T100" s="527"/>
      <c r="U100"/>
      <c r="V100"/>
      <c r="W100"/>
      <c r="X100"/>
      <c r="Y100"/>
    </row>
    <row r="101" spans="2:25" ht="15" thickBot="1" x14ac:dyDescent="0.4">
      <c r="B101" s="270" t="s">
        <v>173</v>
      </c>
      <c r="C101" s="252"/>
      <c r="D101" s="252"/>
      <c r="E101" s="252"/>
      <c r="F101" s="252"/>
      <c r="G101" s="252"/>
      <c r="H101" s="252"/>
      <c r="I101" s="252"/>
      <c r="J101"/>
      <c r="K101"/>
      <c r="L101"/>
      <c r="M101"/>
      <c r="P101" s="527"/>
      <c r="Q101" s="527"/>
      <c r="R101" s="527"/>
      <c r="S101" s="527"/>
      <c r="T101" s="527"/>
      <c r="U101"/>
      <c r="V101"/>
      <c r="W101"/>
      <c r="X101"/>
      <c r="Y101"/>
    </row>
    <row r="102" spans="2:25" ht="15" thickBot="1" x14ac:dyDescent="0.4">
      <c r="B102" s="268" t="s">
        <v>196</v>
      </c>
      <c r="C102" s="267" t="s">
        <v>717</v>
      </c>
      <c r="D102" s="527">
        <f>D34/$D$56</f>
        <v>2.2770329350043719E-2</v>
      </c>
      <c r="E102" s="527">
        <f>E34/$E$56</f>
        <v>2.2147936402938884E-2</v>
      </c>
      <c r="F102" s="527">
        <f>F34/$F$56</f>
        <v>1.9766387653123618E-2</v>
      </c>
      <c r="G102" s="527">
        <f>G34/$G$56</f>
        <v>1.3067021625049654E-2</v>
      </c>
      <c r="H102" s="527">
        <f>H34/$H$56</f>
        <v>1.3465853363608272E-2</v>
      </c>
      <c r="I102" s="252"/>
      <c r="J102"/>
      <c r="K102"/>
      <c r="L102"/>
      <c r="M102"/>
      <c r="P102" s="527">
        <f t="shared" si="22"/>
        <v>0</v>
      </c>
      <c r="Q102" s="527">
        <f t="shared" si="23"/>
        <v>0</v>
      </c>
      <c r="R102" s="527">
        <f t="shared" si="24"/>
        <v>0</v>
      </c>
      <c r="S102" s="527">
        <f t="shared" si="25"/>
        <v>6.9066666666666665E-2</v>
      </c>
      <c r="T102" s="527">
        <f t="shared" si="26"/>
        <v>0</v>
      </c>
      <c r="U102"/>
      <c r="V102"/>
      <c r="W102"/>
      <c r="X102"/>
      <c r="Y102"/>
    </row>
    <row r="103" spans="2:25" ht="15" thickBot="1" x14ac:dyDescent="0.4">
      <c r="B103" s="268" t="s">
        <v>197</v>
      </c>
      <c r="C103" s="267" t="s">
        <v>718</v>
      </c>
      <c r="D103" s="527">
        <f t="shared" ref="D103:D124" si="27">D35/$D$56</f>
        <v>0.23225128728261926</v>
      </c>
      <c r="E103" s="527">
        <f t="shared" ref="E103:E124" si="28">E35/$E$56</f>
        <v>0.23859528928158</v>
      </c>
      <c r="F103" s="527">
        <f t="shared" ref="F103:F124" si="29">F35/$F$56</f>
        <v>0.22969596660271141</v>
      </c>
      <c r="G103" s="527">
        <f t="shared" ref="G103:G124" si="30">G35/$G$56</f>
        <v>0.13421050797611001</v>
      </c>
      <c r="H103" s="527">
        <f t="shared" ref="H103:H124" si="31">H35/$H$56</f>
        <v>0.16657821548052507</v>
      </c>
      <c r="I103" s="252"/>
      <c r="J103"/>
      <c r="K103"/>
      <c r="L103"/>
      <c r="M103"/>
      <c r="P103" s="527">
        <f t="shared" si="22"/>
        <v>5.6184475411121856E-2</v>
      </c>
      <c r="Q103" s="527">
        <f t="shared" si="23"/>
        <v>7.8692014456161197E-2</v>
      </c>
      <c r="R103" s="527">
        <f t="shared" si="24"/>
        <v>-0.11613924776831815</v>
      </c>
      <c r="S103" s="527">
        <f t="shared" si="25"/>
        <v>0.28759476581161075</v>
      </c>
      <c r="T103" s="527">
        <f t="shared" si="26"/>
        <v>2.4695717258241455E-2</v>
      </c>
      <c r="U103"/>
      <c r="V103"/>
      <c r="W103"/>
      <c r="X103"/>
      <c r="Y103"/>
    </row>
    <row r="104" spans="2:25" ht="15" thickBot="1" x14ac:dyDescent="0.4">
      <c r="B104" s="271" t="s">
        <v>198</v>
      </c>
      <c r="C104" s="252"/>
      <c r="D104" s="527">
        <f t="shared" si="27"/>
        <v>0.25502161663266298</v>
      </c>
      <c r="E104" s="527">
        <f t="shared" si="28"/>
        <v>0.26074322568451891</v>
      </c>
      <c r="F104" s="527">
        <f t="shared" si="29"/>
        <v>0.24946235425583504</v>
      </c>
      <c r="G104" s="527">
        <f t="shared" si="30"/>
        <v>0.14727752960115967</v>
      </c>
      <c r="H104" s="527">
        <f t="shared" si="31"/>
        <v>0.18004406884413335</v>
      </c>
      <c r="I104" s="252"/>
      <c r="J104"/>
      <c r="K104"/>
      <c r="L104"/>
      <c r="M104"/>
      <c r="P104" s="527">
        <f t="shared" si="22"/>
        <v>5.1167884949641661E-2</v>
      </c>
      <c r="Q104" s="527">
        <f t="shared" si="23"/>
        <v>7.2007791972456284E-2</v>
      </c>
      <c r="R104" s="527">
        <f t="shared" si="24"/>
        <v>-0.10693684366218015</v>
      </c>
      <c r="S104" s="527">
        <f t="shared" si="25"/>
        <v>0.26820612312497044</v>
      </c>
      <c r="T104" s="527">
        <f t="shared" si="26"/>
        <v>2.2848675534270523E-2</v>
      </c>
      <c r="U104"/>
      <c r="V104"/>
      <c r="W104"/>
      <c r="X104"/>
      <c r="Y104"/>
    </row>
    <row r="105" spans="2:25" ht="15" thickBot="1" x14ac:dyDescent="0.4">
      <c r="B105" s="268" t="s">
        <v>199</v>
      </c>
      <c r="C105" s="267" t="s">
        <v>719</v>
      </c>
      <c r="D105" s="527">
        <f t="shared" si="27"/>
        <v>1.3759351015253085E-2</v>
      </c>
      <c r="E105" s="527">
        <f t="shared" si="28"/>
        <v>1.1971697890335231E-2</v>
      </c>
      <c r="F105" s="527">
        <f t="shared" si="29"/>
        <v>1.2123384427249152E-2</v>
      </c>
      <c r="G105" s="527">
        <f t="shared" si="30"/>
        <v>3.9026837920148301E-3</v>
      </c>
      <c r="H105" s="527">
        <f t="shared" si="31"/>
        <v>7.6717408536994989E-3</v>
      </c>
      <c r="I105" s="252"/>
      <c r="J105"/>
      <c r="K105"/>
      <c r="L105"/>
      <c r="M105"/>
      <c r="P105" s="527">
        <f t="shared" si="22"/>
        <v>-0.10547219770520741</v>
      </c>
      <c r="Q105" s="527">
        <f t="shared" si="23"/>
        <v>0.13468179575727676</v>
      </c>
      <c r="R105" s="527">
        <f t="shared" si="24"/>
        <v>-0.5130434782608696</v>
      </c>
      <c r="S105" s="527">
        <f t="shared" si="25"/>
        <v>1.0392857142857144</v>
      </c>
      <c r="T105" s="527">
        <f t="shared" si="26"/>
        <v>2.6020500644491396E-2</v>
      </c>
      <c r="U105"/>
      <c r="V105"/>
      <c r="W105"/>
      <c r="X105"/>
      <c r="Y105"/>
    </row>
    <row r="106" spans="2:25" ht="15" thickBot="1" x14ac:dyDescent="0.4">
      <c r="B106" s="276" t="s">
        <v>200</v>
      </c>
      <c r="C106" s="252"/>
      <c r="D106" s="527">
        <f t="shared" si="27"/>
        <v>0.26878096764791604</v>
      </c>
      <c r="E106" s="527">
        <f t="shared" si="28"/>
        <v>0.27271492357485411</v>
      </c>
      <c r="F106" s="527">
        <f t="shared" si="29"/>
        <v>0.26158573868308421</v>
      </c>
      <c r="G106" s="527">
        <f t="shared" si="30"/>
        <v>0.15118021339317447</v>
      </c>
      <c r="H106" s="527">
        <f t="shared" si="31"/>
        <v>0.18771580969783283</v>
      </c>
      <c r="I106" s="252"/>
      <c r="J106"/>
      <c r="K106"/>
      <c r="L106"/>
      <c r="M106"/>
      <c r="P106" s="527">
        <f t="shared" si="22"/>
        <v>4.3149214955382355E-2</v>
      </c>
      <c r="Q106" s="527">
        <f t="shared" si="23"/>
        <v>7.4759068760151592E-2</v>
      </c>
      <c r="R106" s="527">
        <f t="shared" si="24"/>
        <v>-0.12575815584258568</v>
      </c>
      <c r="S106" s="527">
        <f t="shared" si="25"/>
        <v>0.28811137233208867</v>
      </c>
      <c r="T106" s="527">
        <f t="shared" si="26"/>
        <v>2.2978304574669581E-2</v>
      </c>
      <c r="U106"/>
      <c r="V106"/>
      <c r="W106"/>
      <c r="X106"/>
      <c r="Y106"/>
    </row>
    <row r="107" spans="2:25" ht="15" thickBot="1" x14ac:dyDescent="0.4">
      <c r="B107" s="262" t="s">
        <v>174</v>
      </c>
      <c r="C107" s="252"/>
      <c r="D107" s="527">
        <f t="shared" si="27"/>
        <v>0</v>
      </c>
      <c r="E107" s="527">
        <f t="shared" si="28"/>
        <v>0</v>
      </c>
      <c r="F107" s="527">
        <f t="shared" si="29"/>
        <v>0</v>
      </c>
      <c r="G107" s="527">
        <f t="shared" si="30"/>
        <v>0</v>
      </c>
      <c r="H107" s="527">
        <f t="shared" si="31"/>
        <v>0</v>
      </c>
      <c r="I107" s="252"/>
      <c r="J107"/>
      <c r="K107"/>
      <c r="L107"/>
      <c r="M107"/>
      <c r="P107" s="527"/>
      <c r="Q107" s="527"/>
      <c r="R107" s="527"/>
      <c r="S107" s="527"/>
      <c r="T107" s="527"/>
      <c r="U107"/>
      <c r="V107"/>
      <c r="W107"/>
      <c r="X107"/>
      <c r="Y107"/>
    </row>
    <row r="108" spans="2:25" ht="15" thickBot="1" x14ac:dyDescent="0.4">
      <c r="B108" s="268" t="s">
        <v>201</v>
      </c>
      <c r="C108" s="252"/>
      <c r="D108" s="527">
        <f t="shared" si="27"/>
        <v>0</v>
      </c>
      <c r="E108" s="527">
        <f t="shared" si="28"/>
        <v>0</v>
      </c>
      <c r="F108" s="527">
        <f t="shared" si="29"/>
        <v>0</v>
      </c>
      <c r="G108" s="527">
        <f t="shared" si="30"/>
        <v>0</v>
      </c>
      <c r="H108" s="527">
        <f t="shared" si="31"/>
        <v>0</v>
      </c>
      <c r="I108" s="252"/>
      <c r="J108"/>
      <c r="K108"/>
      <c r="L108"/>
      <c r="M108"/>
      <c r="P108" s="527"/>
      <c r="Q108" s="527"/>
      <c r="R108" s="527"/>
      <c r="S108" s="527"/>
      <c r="T108" s="527"/>
      <c r="U108"/>
      <c r="V108"/>
      <c r="W108"/>
      <c r="X108"/>
      <c r="Y108"/>
    </row>
    <row r="109" spans="2:25" ht="15" thickBot="1" x14ac:dyDescent="0.4">
      <c r="B109" s="268" t="s">
        <v>202</v>
      </c>
      <c r="C109" s="264" t="s">
        <v>720</v>
      </c>
      <c r="D109" s="527">
        <f t="shared" si="27"/>
        <v>0.18898158942970952</v>
      </c>
      <c r="E109" s="527">
        <f t="shared" si="28"/>
        <v>0.20672588532684449</v>
      </c>
      <c r="F109" s="527">
        <f t="shared" si="29"/>
        <v>0.20948681186615783</v>
      </c>
      <c r="G109" s="527">
        <f t="shared" si="30"/>
        <v>0.1644493382860249</v>
      </c>
      <c r="H109" s="527">
        <f t="shared" si="31"/>
        <v>0.20885676282094345</v>
      </c>
      <c r="I109" s="848">
        <f>AVERAGE(D109:H109)</f>
        <v>0.19570007754593605</v>
      </c>
      <c r="J109"/>
      <c r="K109"/>
      <c r="L109"/>
      <c r="M109"/>
      <c r="P109" s="527">
        <f t="shared" si="22"/>
        <v>0.12463451466760916</v>
      </c>
      <c r="Q109" s="527">
        <f t="shared" si="23"/>
        <v>0.13544940289126337</v>
      </c>
      <c r="R109" s="527">
        <f t="shared" si="24"/>
        <v>0.18747955614825251</v>
      </c>
      <c r="S109" s="527">
        <f t="shared" si="25"/>
        <v>0.31754036530067381</v>
      </c>
      <c r="T109" s="527">
        <f>(I41-H41)/H41</f>
        <v>2.6020500644491268E-2</v>
      </c>
      <c r="U109"/>
      <c r="V109"/>
      <c r="W109"/>
      <c r="X109"/>
      <c r="Y109"/>
    </row>
    <row r="110" spans="2:25" ht="15" thickBot="1" x14ac:dyDescent="0.4">
      <c r="B110" s="268" t="s">
        <v>203</v>
      </c>
      <c r="C110" s="264" t="s">
        <v>721</v>
      </c>
      <c r="D110" s="527">
        <f t="shared" si="27"/>
        <v>1.2775672787331195E-2</v>
      </c>
      <c r="E110" s="527">
        <f t="shared" si="28"/>
        <v>9.7450920172931083E-3</v>
      </c>
      <c r="F110" s="527">
        <f t="shared" si="29"/>
        <v>8.9713044761643712E-3</v>
      </c>
      <c r="G110" s="527">
        <f t="shared" si="30"/>
        <v>4.2615913193161936E-3</v>
      </c>
      <c r="H110" s="527">
        <f t="shared" si="31"/>
        <v>3.1489741901678109E-2</v>
      </c>
      <c r="I110" s="252"/>
      <c r="J110"/>
      <c r="K110"/>
      <c r="L110"/>
      <c r="M110"/>
      <c r="P110" s="527">
        <f t="shared" si="22"/>
        <v>-0.21577946768060838</v>
      </c>
      <c r="Q110" s="527">
        <f t="shared" si="23"/>
        <v>3.1515151515151517E-2</v>
      </c>
      <c r="R110" s="527">
        <f t="shared" si="24"/>
        <v>-0.28143360752056407</v>
      </c>
      <c r="S110" s="527">
        <f t="shared" si="25"/>
        <v>6.6655764513491418</v>
      </c>
      <c r="T110" s="527">
        <f t="shared" si="26"/>
        <v>2.6020500644491403E-2</v>
      </c>
      <c r="U110"/>
      <c r="V110"/>
      <c r="W110"/>
      <c r="X110"/>
      <c r="Y110"/>
    </row>
    <row r="111" spans="2:25" ht="15" thickBot="1" x14ac:dyDescent="0.4">
      <c r="B111" s="268" t="s">
        <v>204</v>
      </c>
      <c r="C111" s="267" t="s">
        <v>722</v>
      </c>
      <c r="D111" s="527">
        <f t="shared" si="27"/>
        <v>3.7646944525405616E-4</v>
      </c>
      <c r="E111" s="527">
        <f t="shared" si="28"/>
        <v>7.1464008126816126E-4</v>
      </c>
      <c r="F111" s="527">
        <f t="shared" si="29"/>
        <v>8.4863690990744057E-4</v>
      </c>
      <c r="G111" s="527">
        <f t="shared" si="30"/>
        <v>8.0492853210305877E-4</v>
      </c>
      <c r="H111" s="527">
        <f t="shared" si="31"/>
        <v>1.1319512555589891E-3</v>
      </c>
      <c r="I111" s="252"/>
      <c r="J111"/>
      <c r="K111"/>
      <c r="L111"/>
      <c r="M111"/>
      <c r="P111" s="527">
        <f t="shared" si="22"/>
        <v>0.95161290322580649</v>
      </c>
      <c r="Q111" s="527">
        <f t="shared" si="23"/>
        <v>0.33057851239669422</v>
      </c>
      <c r="R111" s="527">
        <f t="shared" si="24"/>
        <v>0.43478260869565216</v>
      </c>
      <c r="S111" s="527">
        <f t="shared" si="25"/>
        <v>0.45887445887445888</v>
      </c>
      <c r="T111" s="527">
        <f t="shared" si="26"/>
        <v>2.6020500644491386E-2</v>
      </c>
      <c r="U111"/>
      <c r="V111"/>
      <c r="W111"/>
      <c r="X111"/>
      <c r="Y111"/>
    </row>
    <row r="112" spans="2:25" ht="15" thickBot="1" x14ac:dyDescent="0.4">
      <c r="B112" s="268" t="s">
        <v>211</v>
      </c>
      <c r="C112" s="267" t="s">
        <v>707</v>
      </c>
      <c r="D112" s="527">
        <f t="shared" si="27"/>
        <v>1.1573399397648888E-2</v>
      </c>
      <c r="E112" s="527">
        <f t="shared" si="28"/>
        <v>1.6159134399584208E-2</v>
      </c>
      <c r="F112" s="527">
        <f t="shared" si="29"/>
        <v>1.2829703346054102E-2</v>
      </c>
      <c r="G112" s="527">
        <f t="shared" si="30"/>
        <v>9.2375131541351033E-3</v>
      </c>
      <c r="H112" s="527">
        <f t="shared" si="31"/>
        <v>9.9255666474089392E-3</v>
      </c>
      <c r="I112" s="252"/>
      <c r="J112"/>
      <c r="K112"/>
      <c r="L112"/>
      <c r="M112"/>
      <c r="P112" s="527">
        <f t="shared" si="22"/>
        <v>0.4354669464847849</v>
      </c>
      <c r="Q112" s="527">
        <f t="shared" si="23"/>
        <v>-0.11038011695906433</v>
      </c>
      <c r="R112" s="527">
        <f t="shared" si="24"/>
        <v>8.9153656532456868E-2</v>
      </c>
      <c r="S112" s="527">
        <f t="shared" si="25"/>
        <v>0.11467370803470389</v>
      </c>
      <c r="T112" s="527">
        <f t="shared" si="26"/>
        <v>0.14143574427460873</v>
      </c>
      <c r="U112"/>
      <c r="V112"/>
      <c r="W112"/>
      <c r="X112"/>
      <c r="Y112"/>
    </row>
    <row r="113" spans="2:25" ht="15" thickBot="1" x14ac:dyDescent="0.4">
      <c r="B113" s="268" t="s">
        <v>867</v>
      </c>
      <c r="C113" s="267"/>
      <c r="D113" s="527">
        <f t="shared" si="27"/>
        <v>0</v>
      </c>
      <c r="E113" s="527">
        <f t="shared" si="28"/>
        <v>0</v>
      </c>
      <c r="F113" s="527">
        <f t="shared" si="29"/>
        <v>0</v>
      </c>
      <c r="G113" s="527">
        <f t="shared" si="30"/>
        <v>1.0105163390038399E-3</v>
      </c>
      <c r="H113" s="527">
        <f t="shared" si="31"/>
        <v>1.5115076112805492E-3</v>
      </c>
      <c r="I113" s="252"/>
      <c r="J113"/>
      <c r="K113"/>
      <c r="L113"/>
      <c r="M113"/>
      <c r="P113" s="527" t="e">
        <f t="shared" si="22"/>
        <v>#DIV/0!</v>
      </c>
      <c r="Q113" s="527" t="e">
        <f t="shared" si="23"/>
        <v>#DIV/0!</v>
      </c>
      <c r="R113" s="527" t="e">
        <f t="shared" si="24"/>
        <v>#DIV/0!</v>
      </c>
      <c r="S113" s="527">
        <f t="shared" si="25"/>
        <v>0.55172413793103448</v>
      </c>
      <c r="T113" s="527">
        <f t="shared" si="26"/>
        <v>0.14143574427460862</v>
      </c>
      <c r="U113"/>
      <c r="V113"/>
      <c r="W113"/>
      <c r="X113"/>
      <c r="Y113"/>
    </row>
    <row r="114" spans="2:25" ht="15" thickBot="1" x14ac:dyDescent="0.4">
      <c r="B114" s="271" t="s">
        <v>699</v>
      </c>
      <c r="C114" s="252"/>
      <c r="D114" s="527">
        <f t="shared" si="27"/>
        <v>0.21370713105994366</v>
      </c>
      <c r="E114" s="527">
        <f t="shared" si="28"/>
        <v>0.23334475182498995</v>
      </c>
      <c r="F114" s="527">
        <f t="shared" si="29"/>
        <v>0.23213645659828375</v>
      </c>
      <c r="G114" s="527">
        <f t="shared" si="30"/>
        <v>0.1797638876305831</v>
      </c>
      <c r="H114" s="527">
        <f t="shared" si="31"/>
        <v>0.25291553023687002</v>
      </c>
      <c r="I114" s="252"/>
      <c r="J114"/>
      <c r="K114"/>
      <c r="L114"/>
      <c r="M114"/>
      <c r="P114" s="527">
        <f t="shared" si="22"/>
        <v>0.1225742292939338</v>
      </c>
      <c r="Q114" s="527">
        <f t="shared" si="23"/>
        <v>0.11468273051709738</v>
      </c>
      <c r="R114" s="527">
        <f t="shared" si="24"/>
        <v>0.17141235240690281</v>
      </c>
      <c r="S114" s="527">
        <f t="shared" si="25"/>
        <v>0.4595553315629301</v>
      </c>
      <c r="T114" s="527">
        <f t="shared" si="26"/>
        <v>3.1239684736294959E-2</v>
      </c>
      <c r="U114"/>
      <c r="V114"/>
      <c r="W114"/>
      <c r="X114"/>
      <c r="Y114"/>
    </row>
    <row r="115" spans="2:25" ht="15" thickBot="1" x14ac:dyDescent="0.4">
      <c r="B115" s="270" t="s">
        <v>175</v>
      </c>
      <c r="C115" s="252"/>
      <c r="D115" s="527">
        <f t="shared" si="27"/>
        <v>0</v>
      </c>
      <c r="E115" s="527">
        <f t="shared" si="28"/>
        <v>0</v>
      </c>
      <c r="F115" s="527">
        <f t="shared" si="29"/>
        <v>0</v>
      </c>
      <c r="G115" s="527">
        <f t="shared" si="30"/>
        <v>0</v>
      </c>
      <c r="H115" s="527">
        <f t="shared" si="31"/>
        <v>0</v>
      </c>
      <c r="I115" s="252"/>
      <c r="J115"/>
      <c r="K115"/>
      <c r="L115"/>
      <c r="M115"/>
      <c r="P115" s="527"/>
      <c r="Q115" s="527"/>
      <c r="R115" s="527"/>
      <c r="S115" s="527"/>
      <c r="T115" s="527"/>
      <c r="U115"/>
      <c r="V115"/>
      <c r="W115"/>
      <c r="X115"/>
      <c r="Y115"/>
    </row>
    <row r="116" spans="2:25" ht="15" thickBot="1" x14ac:dyDescent="0.4">
      <c r="B116" s="268" t="s">
        <v>201</v>
      </c>
      <c r="C116" s="252"/>
      <c r="D116" s="527">
        <f t="shared" si="27"/>
        <v>0</v>
      </c>
      <c r="E116" s="527">
        <f t="shared" si="28"/>
        <v>0</v>
      </c>
      <c r="F116" s="527">
        <f t="shared" si="29"/>
        <v>0</v>
      </c>
      <c r="G116" s="527">
        <f t="shared" si="30"/>
        <v>0</v>
      </c>
      <c r="H116" s="527">
        <f t="shared" si="31"/>
        <v>0</v>
      </c>
      <c r="I116" s="252"/>
      <c r="J116"/>
      <c r="K116"/>
      <c r="L116"/>
      <c r="M116"/>
      <c r="P116" s="527"/>
      <c r="Q116" s="527"/>
      <c r="R116" s="527"/>
      <c r="S116" s="527"/>
      <c r="T116" s="527"/>
      <c r="U116"/>
      <c r="V116"/>
      <c r="W116"/>
      <c r="X116"/>
      <c r="Y116"/>
    </row>
    <row r="117" spans="2:25" ht="15" thickBot="1" x14ac:dyDescent="0.4">
      <c r="B117" s="268" t="s">
        <v>202</v>
      </c>
      <c r="C117" s="267" t="s">
        <v>893</v>
      </c>
      <c r="D117" s="527">
        <f t="shared" si="27"/>
        <v>0.12897721752647431</v>
      </c>
      <c r="E117" s="527">
        <f t="shared" si="28"/>
        <v>0.12643813933709749</v>
      </c>
      <c r="F117" s="527">
        <f t="shared" si="29"/>
        <v>0.15462586181450166</v>
      </c>
      <c r="G117" s="527">
        <f t="shared" si="30"/>
        <v>0.1216591981378623</v>
      </c>
      <c r="H117" s="527">
        <f t="shared" si="31"/>
        <v>8.0912681884749219E-2</v>
      </c>
      <c r="I117" s="848">
        <f>AVERAGE(D117:H117)</f>
        <v>0.12252261974013701</v>
      </c>
      <c r="J117"/>
      <c r="K117"/>
      <c r="L117"/>
      <c r="M117"/>
      <c r="P117" s="527">
        <f t="shared" si="22"/>
        <v>7.8621533826091043E-3</v>
      </c>
      <c r="Q117" s="527">
        <f t="shared" si="23"/>
        <v>0.37028213751868461</v>
      </c>
      <c r="R117" s="527">
        <f t="shared" si="24"/>
        <v>0.19018237600136356</v>
      </c>
      <c r="S117" s="527">
        <f t="shared" si="25"/>
        <v>-0.31004754539726187</v>
      </c>
      <c r="T117" s="527">
        <f t="shared" si="26"/>
        <v>2.6020500644491441E-2</v>
      </c>
      <c r="U117"/>
      <c r="V117"/>
      <c r="W117"/>
      <c r="X117"/>
      <c r="Y117"/>
    </row>
    <row r="118" spans="2:25" ht="15" thickBot="1" x14ac:dyDescent="0.4">
      <c r="B118" s="268" t="s">
        <v>205</v>
      </c>
      <c r="C118" s="267" t="s">
        <v>723</v>
      </c>
      <c r="D118" s="527">
        <f t="shared" si="27"/>
        <v>5.5413873506266392E-2</v>
      </c>
      <c r="E118" s="527">
        <f t="shared" si="28"/>
        <v>5.4513454133100242E-2</v>
      </c>
      <c r="F118" s="527">
        <f t="shared" si="29"/>
        <v>7.1380379092960008E-2</v>
      </c>
      <c r="G118" s="527">
        <f t="shared" si="30"/>
        <v>4.3661274923165912E-2</v>
      </c>
      <c r="H118" s="527">
        <f t="shared" si="31"/>
        <v>4.1143237179056553E-2</v>
      </c>
      <c r="I118" s="252"/>
      <c r="J118"/>
      <c r="K118"/>
      <c r="L118"/>
      <c r="M118"/>
      <c r="P118" s="527">
        <f t="shared" si="22"/>
        <v>1.1396011396011397E-2</v>
      </c>
      <c r="Q118" s="527">
        <f t="shared" si="23"/>
        <v>0.46717226435536297</v>
      </c>
      <c r="R118" s="527">
        <f t="shared" si="24"/>
        <v>-7.4730468173091119E-2</v>
      </c>
      <c r="S118" s="527">
        <f t="shared" si="25"/>
        <v>-2.2426177174780525E-2</v>
      </c>
      <c r="T118" s="527">
        <f t="shared" si="26"/>
        <v>2.60205006444914E-2</v>
      </c>
      <c r="U118"/>
      <c r="V118"/>
      <c r="W118"/>
      <c r="X118"/>
      <c r="Y118"/>
    </row>
    <row r="119" spans="2:25" ht="15" thickBot="1" x14ac:dyDescent="0.4">
      <c r="B119" s="268" t="s">
        <v>206</v>
      </c>
      <c r="C119" s="267" t="s">
        <v>724</v>
      </c>
      <c r="D119" s="527">
        <f t="shared" si="27"/>
        <v>3.5127028077334109E-2</v>
      </c>
      <c r="E119" s="527">
        <f t="shared" si="28"/>
        <v>4.2766188664981455E-2</v>
      </c>
      <c r="F119" s="527">
        <f t="shared" si="29"/>
        <v>8.2807986674819201E-2</v>
      </c>
      <c r="G119" s="527">
        <f t="shared" si="30"/>
        <v>4.9940414381389776E-2</v>
      </c>
      <c r="H119" s="527">
        <f t="shared" si="31"/>
        <v>7.1050934447594347E-2</v>
      </c>
      <c r="I119" s="252"/>
      <c r="J119"/>
      <c r="K119"/>
      <c r="L119"/>
      <c r="M119"/>
      <c r="P119" s="527">
        <f t="shared" si="22"/>
        <v>0.25168539325842698</v>
      </c>
      <c r="Q119" s="527">
        <f t="shared" si="23"/>
        <v>1.1695898356580583</v>
      </c>
      <c r="R119" s="527">
        <f t="shared" si="24"/>
        <v>-8.771483131763208E-2</v>
      </c>
      <c r="S119" s="527">
        <f t="shared" si="25"/>
        <v>0.47592799330170249</v>
      </c>
      <c r="T119" s="527">
        <f t="shared" si="26"/>
        <v>2.6020500644491386E-2</v>
      </c>
      <c r="U119"/>
      <c r="V119"/>
      <c r="W119"/>
      <c r="X119"/>
      <c r="Y119"/>
    </row>
    <row r="120" spans="2:25" ht="15" thickBot="1" x14ac:dyDescent="0.4">
      <c r="B120" s="268" t="s">
        <v>207</v>
      </c>
      <c r="C120" s="267" t="s">
        <v>725</v>
      </c>
      <c r="D120" s="527">
        <f t="shared" si="27"/>
        <v>0.28230350723792869</v>
      </c>
      <c r="E120" s="527">
        <f t="shared" si="28"/>
        <v>0.2564140423822911</v>
      </c>
      <c r="F120" s="527">
        <f t="shared" si="29"/>
        <v>0.18838158088932933</v>
      </c>
      <c r="G120" s="527">
        <f t="shared" si="30"/>
        <v>0.44393376588078692</v>
      </c>
      <c r="H120" s="527">
        <f t="shared" si="31"/>
        <v>0.34906756774913006</v>
      </c>
      <c r="I120" s="252"/>
      <c r="J120"/>
      <c r="K120"/>
      <c r="L120"/>
      <c r="M120"/>
      <c r="P120" s="527">
        <f t="shared" si="22"/>
        <v>-6.6183429407209837E-2</v>
      </c>
      <c r="Q120" s="527">
        <f t="shared" si="23"/>
        <v>-0.17680525164113786</v>
      </c>
      <c r="R120" s="527">
        <f t="shared" si="24"/>
        <v>2.5647611852598002</v>
      </c>
      <c r="S120" s="527">
        <f t="shared" si="25"/>
        <v>-0.1842842677843973</v>
      </c>
      <c r="T120" s="527">
        <f t="shared" si="26"/>
        <v>2.6020500644491257E-2</v>
      </c>
      <c r="U120"/>
      <c r="V120"/>
      <c r="W120"/>
      <c r="X120"/>
      <c r="Y120"/>
    </row>
    <row r="121" spans="2:25" ht="15" thickBot="1" x14ac:dyDescent="0.4">
      <c r="B121" s="268" t="s">
        <v>208</v>
      </c>
      <c r="C121" s="267" t="s">
        <v>726</v>
      </c>
      <c r="D121" s="527">
        <f t="shared" si="27"/>
        <v>8.2580394442825222E-3</v>
      </c>
      <c r="E121" s="527">
        <f t="shared" si="28"/>
        <v>1.1829951097356422E-2</v>
      </c>
      <c r="F121" s="527">
        <f t="shared" si="29"/>
        <v>7.1527968120769997E-3</v>
      </c>
      <c r="G121" s="527">
        <f t="shared" si="30"/>
        <v>8.5998424988326799E-3</v>
      </c>
      <c r="H121" s="527">
        <f t="shared" si="31"/>
        <v>1.5971597092531136E-2</v>
      </c>
      <c r="I121" s="252"/>
      <c r="J121"/>
      <c r="K121"/>
      <c r="L121"/>
      <c r="M121"/>
      <c r="P121" s="527">
        <f t="shared" si="22"/>
        <v>0.47279411764705881</v>
      </c>
      <c r="Q121" s="527">
        <f t="shared" si="23"/>
        <v>-0.32251622566150773</v>
      </c>
      <c r="R121" s="527">
        <f t="shared" si="24"/>
        <v>0.8187177597641857</v>
      </c>
      <c r="S121" s="527">
        <f t="shared" si="25"/>
        <v>0.9266612641815235</v>
      </c>
      <c r="T121" s="527">
        <f t="shared" si="26"/>
        <v>2.6020500644491202E-2</v>
      </c>
      <c r="U121"/>
      <c r="V121"/>
      <c r="W121"/>
      <c r="X121"/>
      <c r="Y121"/>
    </row>
    <row r="122" spans="2:25" ht="15" thickBot="1" x14ac:dyDescent="0.4">
      <c r="B122" s="268" t="s">
        <v>212</v>
      </c>
      <c r="C122" s="252"/>
      <c r="D122" s="527">
        <f t="shared" si="27"/>
        <v>7.4322354998542697E-3</v>
      </c>
      <c r="E122" s="527">
        <f t="shared" si="28"/>
        <v>1.9785489853292068E-3</v>
      </c>
      <c r="F122" s="527">
        <f t="shared" si="29"/>
        <v>1.929199434944865E-3</v>
      </c>
      <c r="G122" s="527">
        <f t="shared" si="30"/>
        <v>1.2614031542047934E-3</v>
      </c>
      <c r="H122" s="527">
        <f t="shared" si="31"/>
        <v>1.222641712235822E-3</v>
      </c>
      <c r="I122" s="252"/>
      <c r="J122"/>
      <c r="K122"/>
      <c r="L122"/>
      <c r="M122"/>
      <c r="P122" s="527">
        <f t="shared" si="22"/>
        <v>-0.72630718954248363</v>
      </c>
      <c r="Q122" s="527">
        <f t="shared" si="23"/>
        <v>9.2537313432835819E-2</v>
      </c>
      <c r="R122" s="527">
        <f t="shared" si="24"/>
        <v>-1.092896174863388E-2</v>
      </c>
      <c r="S122" s="527">
        <f t="shared" si="25"/>
        <v>5.5248618784530384E-3</v>
      </c>
      <c r="T122" s="527">
        <f t="shared" si="26"/>
        <v>2.6020500644491237E-2</v>
      </c>
      <c r="U122"/>
      <c r="V122"/>
      <c r="W122"/>
      <c r="X122"/>
      <c r="Y122"/>
    </row>
    <row r="123" spans="2:25" ht="15" thickBot="1" x14ac:dyDescent="0.4">
      <c r="B123" s="271" t="s">
        <v>700</v>
      </c>
      <c r="C123" s="252"/>
      <c r="D123" s="527">
        <f t="shared" si="27"/>
        <v>0.51751190129214031</v>
      </c>
      <c r="E123" s="527">
        <f t="shared" si="28"/>
        <v>0.49394032460015591</v>
      </c>
      <c r="F123" s="527">
        <f t="shared" si="29"/>
        <v>0.50627780471863204</v>
      </c>
      <c r="G123" s="527">
        <f t="shared" si="30"/>
        <v>0.6690558989762424</v>
      </c>
      <c r="H123" s="527">
        <f t="shared" si="31"/>
        <v>0.55936866006529717</v>
      </c>
      <c r="I123" s="252"/>
      <c r="J123"/>
      <c r="K123"/>
      <c r="L123"/>
      <c r="M123"/>
      <c r="P123" s="527">
        <f t="shared" si="22"/>
        <v>-1.872624020275027E-2</v>
      </c>
      <c r="Q123" s="527">
        <f t="shared" si="23"/>
        <v>0.14847187679357185</v>
      </c>
      <c r="R123" s="527">
        <f t="shared" si="24"/>
        <v>0.99905256691896849</v>
      </c>
      <c r="S123" s="527">
        <f t="shared" si="25"/>
        <v>-0.13267224632435276</v>
      </c>
      <c r="T123" s="527">
        <f t="shared" si="26"/>
        <v>2.6020500644491285E-2</v>
      </c>
      <c r="U123"/>
      <c r="V123"/>
      <c r="W123"/>
      <c r="X123"/>
      <c r="Y123"/>
    </row>
    <row r="124" spans="2:25" ht="15" thickBot="1" x14ac:dyDescent="0.4">
      <c r="B124" s="276" t="s">
        <v>701</v>
      </c>
      <c r="C124" s="252"/>
      <c r="D124" s="527">
        <f t="shared" si="27"/>
        <v>1</v>
      </c>
      <c r="E124" s="527">
        <f t="shared" si="28"/>
        <v>1</v>
      </c>
      <c r="F124" s="527">
        <f t="shared" si="29"/>
        <v>1</v>
      </c>
      <c r="G124" s="527">
        <f t="shared" si="30"/>
        <v>1</v>
      </c>
      <c r="H124" s="527">
        <f t="shared" si="31"/>
        <v>1</v>
      </c>
      <c r="I124" s="252"/>
      <c r="J124"/>
      <c r="K124"/>
      <c r="L124"/>
      <c r="M124"/>
      <c r="P124" s="527">
        <f t="shared" si="22"/>
        <v>2.8101622461867287E-2</v>
      </c>
      <c r="Q124" s="527">
        <f t="shared" si="23"/>
        <v>0.12048477403198753</v>
      </c>
      <c r="R124" s="527">
        <f t="shared" si="24"/>
        <v>0.51269265639165906</v>
      </c>
      <c r="S124" s="527">
        <f t="shared" si="25"/>
        <v>3.740304269954213E-2</v>
      </c>
      <c r="T124" s="527">
        <f t="shared" si="26"/>
        <v>2.6769445057967477E-2</v>
      </c>
      <c r="U124"/>
      <c r="V124"/>
      <c r="W124"/>
      <c r="X124"/>
      <c r="Y124"/>
    </row>
    <row r="125" spans="2:25" ht="15" thickBot="1" x14ac:dyDescent="0.4">
      <c r="B125" s="268"/>
      <c r="C125" s="252"/>
      <c r="D125" s="527"/>
      <c r="E125" s="280"/>
      <c r="F125" s="280"/>
      <c r="G125" s="280"/>
      <c r="H125" s="280"/>
      <c r="I125" s="252"/>
      <c r="J125"/>
      <c r="K125"/>
      <c r="L125"/>
      <c r="M125"/>
      <c r="P125" s="531"/>
      <c r="Q125" s="531"/>
      <c r="R125" s="263"/>
      <c r="S125" s="263"/>
      <c r="T125" s="263"/>
      <c r="U125"/>
      <c r="V125"/>
      <c r="W125"/>
      <c r="X125"/>
      <c r="Y125"/>
    </row>
    <row r="126" spans="2:25" ht="15" thickBot="1" x14ac:dyDescent="0.4">
      <c r="B126" s="252"/>
      <c r="C126" s="252"/>
      <c r="D126" s="527"/>
      <c r="E126" s="252"/>
      <c r="F126" s="252"/>
      <c r="G126" s="252"/>
      <c r="H126" s="252"/>
      <c r="I126" s="252"/>
      <c r="J126"/>
      <c r="K126"/>
      <c r="L126"/>
      <c r="M126"/>
      <c r="P126" s="531"/>
      <c r="Q126" s="533"/>
      <c r="R126" s="263"/>
      <c r="S126" s="263"/>
      <c r="T126" s="263"/>
      <c r="U126"/>
      <c r="V126"/>
      <c r="W126"/>
      <c r="X126"/>
      <c r="Y126"/>
    </row>
  </sheetData>
  <mergeCells count="9">
    <mergeCell ref="P69:T70"/>
    <mergeCell ref="B2:G2"/>
    <mergeCell ref="I2:M2"/>
    <mergeCell ref="B69:B70"/>
    <mergeCell ref="I25:I26"/>
    <mergeCell ref="J25:J26"/>
    <mergeCell ref="K25:K26"/>
    <mergeCell ref="L25:L26"/>
    <mergeCell ref="M25:M26"/>
  </mergeCells>
  <phoneticPr fontId="2" type="noConversion"/>
  <hyperlinks>
    <hyperlink ref="C6" location="NOTES!C1028" display="Note No. 35" xr:uid="{00000000-0004-0000-0100-000000000000}"/>
    <hyperlink ref="C8" location="NOTES!C922" display="Note No.36" xr:uid="{00000000-0004-0000-0100-000001000000}"/>
    <hyperlink ref="C41" location="NOTES!C724" display="Note  No. 26" xr:uid="{00000000-0004-0000-0100-000002000000}"/>
    <hyperlink ref="C42" location="NOTES!C737" display="Note No. 27" xr:uid="{00000000-0004-0000-0100-000003000000}"/>
    <hyperlink ref="C15" location="NOTES!C373" display="Note No. 13" xr:uid="{00000000-0004-0000-0100-000004000000}"/>
    <hyperlink ref="C14" location="NOTES!C349" display="Note No.12" xr:uid="{00000000-0004-0000-0100-000005000000}"/>
    <hyperlink ref="C16" location="NOTES!C751" display="Note No.29" xr:uid="{00000000-0004-0000-0100-000006000000}"/>
    <hyperlink ref="C18" location="NOTES!C393" display="Note No.14" xr:uid="{00000000-0004-0000-0100-000007000000}"/>
    <hyperlink ref="C21" location="NOTES!C415" display="Note No.15" xr:uid="{00000000-0004-0000-0100-000008000000}"/>
    <hyperlink ref="C23" location="NOTES!C425" display="Note N0.16" xr:uid="{00000000-0004-0000-0100-000009000000}"/>
    <hyperlink ref="C24" location="NOTES!C459" display="Note No.17" xr:uid="{00000000-0004-0000-0100-00000A000000}"/>
    <hyperlink ref="C25" location="NOTES!C479" display="Note No.18" xr:uid="{00000000-0004-0000-0100-00000B000000}"/>
    <hyperlink ref="C27" location="NOTES!C502" display="Note No.19" xr:uid="{00000000-0004-0000-0100-00000C000000}"/>
    <hyperlink ref="C26" location="NOTES!C525" display="Note No. 20" xr:uid="{00000000-0004-0000-0100-00000D000000}"/>
    <hyperlink ref="C28" location="NOTES!C533" display="Note No.21" xr:uid="{00000000-0004-0000-0100-00000E000000}"/>
    <hyperlink ref="C29" location="NOTES!C550" display="Note No.22" xr:uid="{00000000-0004-0000-0100-00000F000000}"/>
    <hyperlink ref="C34" location="NOTES!C569" display="Note No.23" xr:uid="{00000000-0004-0000-0100-000010000000}"/>
    <hyperlink ref="C35" location="NOTES!C594" display="Note No.24" xr:uid="{00000000-0004-0000-0100-000011000000}"/>
    <hyperlink ref="C37" location="NOTES!C594" display="Note No.25" xr:uid="{00000000-0004-0000-0100-000012000000}"/>
    <hyperlink ref="C43" location="NOTES!C744" display="Note No.28" xr:uid="{00000000-0004-0000-0100-000013000000}"/>
    <hyperlink ref="C44" location="NOTES!C751" display="Note No.29" xr:uid="{00000000-0004-0000-0100-000014000000}"/>
    <hyperlink ref="C49" location="NOTES!C781" display="             " xr:uid="{00000000-0004-0000-0100-000015000000}"/>
    <hyperlink ref="C50" location="NOTES!C794" display="Note No.31" xr:uid="{00000000-0004-0000-0100-000016000000}"/>
    <hyperlink ref="C51" location="NOTES!C799" display="Note No.32" xr:uid="{00000000-0004-0000-0100-000017000000}"/>
    <hyperlink ref="C52" location="NOTES!C813" display="Note No.33" xr:uid="{00000000-0004-0000-0100-000018000000}"/>
    <hyperlink ref="C53" location="NOTES!C822" display="Note No.34" xr:uid="{00000000-0004-0000-0100-000019000000}"/>
    <hyperlink ref="C9" location="NOTES!C850" display="Note No38" xr:uid="{00000000-0004-0000-0100-00001A000000}"/>
    <hyperlink ref="C10" location="NOTES!C1083" display="Note No.37" xr:uid="{00000000-0004-0000-0100-00001B000000}"/>
    <hyperlink ref="C13" location="NOTES!C228" display="NOTES!C228" xr:uid="{03E89ACD-7468-4355-9196-77FDD2250AF9}"/>
    <hyperlink ref="C74" location="NOTES!C859" display="Note No. 35" xr:uid="{07660F8A-1E40-457A-87CF-39DF1A9CD284}"/>
    <hyperlink ref="C76" location="NOTES!C1018" display="Note No.36" xr:uid="{0D046E15-8FD2-4940-8F3B-12E672FD7F97}"/>
    <hyperlink ref="C109" location="NOTES!C724" display="Note  No. 26" xr:uid="{CEC2035A-512E-42A3-92EF-F30CC2F7F0D3}"/>
    <hyperlink ref="C110" location="NOTES!C737" display="Note No. 27" xr:uid="{15B70059-B183-44B0-BC5A-F4C919FD6224}"/>
    <hyperlink ref="C83" location="NOTES!C373" display="Note No. 13" xr:uid="{7550A558-CA98-449A-B7FF-3D70401B2B65}"/>
    <hyperlink ref="C82" location="NOTES!C349" display="Note No.12" xr:uid="{43494935-8D55-42B6-A53B-3A89A61927CD}"/>
    <hyperlink ref="C84" location="NOTES!C751" display="Note No.29" xr:uid="{AD94079E-BA4D-456F-975B-C74B7A099B1F}"/>
    <hyperlink ref="C86" location="NOTES!C393" display="Note No.14" xr:uid="{95668707-FE07-4656-AEA6-ED2E75C10A6C}"/>
    <hyperlink ref="C89" location="NOTES!C415" display="Note No.15" xr:uid="{742629CB-D39A-40FB-8E1B-4CF5B2764B07}"/>
    <hyperlink ref="C91" location="NOTES!C425" display="Note N0.16" xr:uid="{1FED6EEE-E681-4556-9353-AD2C895D82C4}"/>
    <hyperlink ref="C92" location="NOTES!C459" display="Note No.17" xr:uid="{B7C73F18-0FC1-4072-9AD2-53D494B882DC}"/>
    <hyperlink ref="C93" location="NOTES!C479" display="Note No.18" xr:uid="{648AAE48-E697-470E-BC26-584DC8C00AF1}"/>
    <hyperlink ref="C95" location="NOTES!C502" display="Note No.19" xr:uid="{629DAA1C-944A-4440-806B-53BE08BE598A}"/>
    <hyperlink ref="C94" location="NOTES!C525" display="Note No. 20" xr:uid="{C2CBD631-62EB-4E6F-8CD1-EE6A7FC4E783}"/>
    <hyperlink ref="C96" location="NOTES!C533" display="Note No.21" xr:uid="{C60F4EE1-D74B-437F-837E-A3AEC3CA5606}"/>
    <hyperlink ref="C97" location="NOTES!C550" display="Note No.22" xr:uid="{49B44847-E099-4C78-91F9-8D1844D9549D}"/>
    <hyperlink ref="C102" location="NOTES!C569" display="Note No.23" xr:uid="{9C55D692-F92D-49CF-887E-05A63D7D96F3}"/>
    <hyperlink ref="C103" location="NOTES!C594" display="Note No.24" xr:uid="{CC46CADD-9DF6-4987-A452-B172B0BB5F09}"/>
    <hyperlink ref="C105" location="NOTES!C594" display="Note No.25" xr:uid="{9B8CBFAD-97F6-4C20-BE38-31D9A0BE34C0}"/>
    <hyperlink ref="C111" location="NOTES!C744" display="Note No.28" xr:uid="{1D94729D-64C4-4558-9DD0-8AA327D90EF1}"/>
    <hyperlink ref="C112" location="NOTES!C751" display="Note No.29" xr:uid="{CD60F52C-AE54-40E0-BABB-AC125B85E6DA}"/>
    <hyperlink ref="C117" location="NOTES!C781" display="             " xr:uid="{91623374-9039-4895-BE77-4033077BCAFC}"/>
    <hyperlink ref="C118" location="NOTES!C794" display="Note No.31" xr:uid="{5590FBA9-EC96-4225-9D09-836F1D206FD7}"/>
    <hyperlink ref="C119" location="NOTES!C799" display="Note No.32" xr:uid="{75AD559E-039C-4EFF-BAC6-536973E2827F}"/>
    <hyperlink ref="C120" location="NOTES!C813" display="Note No.33" xr:uid="{3662C50C-AAA5-4B5F-8D33-E4D9415B284F}"/>
    <hyperlink ref="C121" location="NOTES!C822" display="Note No.34" xr:uid="{3C751DED-7343-418B-9BA1-CF94D846EC05}"/>
    <hyperlink ref="C77" location="NOTES!C850" display="Note No38" xr:uid="{ED88157B-3BA4-463B-AC21-F87ABA0F9F7F}"/>
    <hyperlink ref="C78" location="NOTES!C1083" display="Note No.37" xr:uid="{0A1FDE6D-1249-4C68-B1A0-A0B05436CE18}"/>
    <hyperlink ref="C81" location="NOTES!C228" display="NOTES!C228" xr:uid="{1B41C5B5-3C8A-445D-A7E1-D367FB54BC68}"/>
  </hyperlinks>
  <pageMargins left="0.70866141732283472" right="0.70866141732283472" top="0.74803149606299213" bottom="0.74803149606299213" header="0.31496062992125984" footer="0.31496062992125984"/>
  <pageSetup fitToWidth="12" fitToHeight="1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X38"/>
  <sheetViews>
    <sheetView workbookViewId="0">
      <pane xSplit="2" ySplit="5" topLeftCell="L6" activePane="bottomRight" state="frozen"/>
      <selection pane="topRight" activeCell="C1" sqref="C1"/>
      <selection pane="bottomLeft" activeCell="A6" sqref="A6"/>
      <selection pane="bottomRight" activeCell="B7" sqref="B7:B19"/>
    </sheetView>
  </sheetViews>
  <sheetFormatPr defaultColWidth="14.1796875" defaultRowHeight="14" x14ac:dyDescent="0.3"/>
  <cols>
    <col min="1" max="1" width="14.1796875" style="17"/>
    <col min="2" max="2" width="67.81640625" style="17" bestFit="1" customWidth="1"/>
    <col min="3" max="16384" width="14.1796875" style="17"/>
  </cols>
  <sheetData>
    <row r="3" spans="2:24" x14ac:dyDescent="0.3">
      <c r="C3" s="420"/>
      <c r="D3" s="1021" t="s">
        <v>150</v>
      </c>
      <c r="E3" s="1021"/>
      <c r="F3" s="1021"/>
      <c r="G3" s="1021"/>
      <c r="H3" s="1021"/>
      <c r="I3" s="1021"/>
      <c r="J3" s="1021"/>
      <c r="K3" s="1021"/>
      <c r="L3" s="1021"/>
      <c r="M3" s="1021"/>
    </row>
    <row r="4" spans="2:24" ht="14.5" customHeight="1" x14ac:dyDescent="0.3">
      <c r="B4" s="420"/>
      <c r="C4" s="420"/>
      <c r="D4" s="420">
        <v>10</v>
      </c>
      <c r="E4" s="420"/>
      <c r="F4" s="420"/>
      <c r="G4" s="420"/>
      <c r="O4" s="1012" t="s">
        <v>942</v>
      </c>
      <c r="P4" s="1012"/>
      <c r="Q4" s="1012"/>
      <c r="R4" s="1012"/>
      <c r="S4" s="1012"/>
      <c r="T4" s="1012"/>
      <c r="U4" s="1012"/>
      <c r="V4" s="1012"/>
      <c r="W4" s="1012"/>
      <c r="X4" s="1012"/>
    </row>
    <row r="5" spans="2:24" ht="14.5" thickBot="1" x14ac:dyDescent="0.35"/>
    <row r="6" spans="2:24" ht="14.5" thickBot="1" x14ac:dyDescent="0.35">
      <c r="B6" s="421" t="s">
        <v>29</v>
      </c>
      <c r="C6" s="421" t="s">
        <v>151</v>
      </c>
      <c r="D6" s="985" t="s">
        <v>931</v>
      </c>
      <c r="E6" s="985" t="s">
        <v>410</v>
      </c>
      <c r="F6" s="986" t="s">
        <v>152</v>
      </c>
      <c r="G6" s="985" t="s">
        <v>153</v>
      </c>
      <c r="H6" s="985" t="s">
        <v>868</v>
      </c>
      <c r="I6" s="32" t="s">
        <v>932</v>
      </c>
      <c r="J6" s="32" t="s">
        <v>933</v>
      </c>
      <c r="K6" s="32" t="s">
        <v>934</v>
      </c>
      <c r="L6" s="32" t="s">
        <v>935</v>
      </c>
      <c r="M6" s="33" t="s">
        <v>936</v>
      </c>
      <c r="O6" s="29" t="s">
        <v>931</v>
      </c>
      <c r="P6" s="29" t="s">
        <v>410</v>
      </c>
      <c r="Q6" s="30" t="s">
        <v>152</v>
      </c>
      <c r="R6" s="29" t="s">
        <v>153</v>
      </c>
      <c r="S6" s="31" t="s">
        <v>868</v>
      </c>
      <c r="T6" s="32" t="s">
        <v>932</v>
      </c>
      <c r="U6" s="32" t="s">
        <v>933</v>
      </c>
      <c r="V6" s="32" t="s">
        <v>934</v>
      </c>
      <c r="W6" s="32" t="s">
        <v>935</v>
      </c>
      <c r="X6" s="33" t="s">
        <v>936</v>
      </c>
    </row>
    <row r="7" spans="2:24" ht="14.5" thickBot="1" x14ac:dyDescent="0.35">
      <c r="B7" s="422" t="s">
        <v>154</v>
      </c>
      <c r="C7" s="423"/>
      <c r="D7" s="423">
        <f>'INCOME STATEMENT'!H3</f>
        <v>55310</v>
      </c>
      <c r="E7" s="423">
        <f>'INCOME STATEMENT'!I3</f>
        <v>47745</v>
      </c>
      <c r="F7" s="423">
        <f>'INCOME STATEMENT'!J3</f>
        <v>54986</v>
      </c>
      <c r="G7" s="424">
        <f>'INCOME STATEMENT'!K3</f>
        <v>51719</v>
      </c>
      <c r="H7" s="423">
        <f>'INCOME STATEMENT'!L3</f>
        <v>81248</v>
      </c>
      <c r="I7" s="424">
        <f>'INCOME STATEMENT'!M3</f>
        <v>83362.113636363632</v>
      </c>
      <c r="J7" s="423">
        <f>'INCOME STATEMENT'!N3</f>
        <v>86610.368000000002</v>
      </c>
      <c r="K7" s="424">
        <f>'INCOME STATEMENT'!O3</f>
        <v>86749.8995</v>
      </c>
      <c r="L7" s="423">
        <f>'INCOME STATEMENT'!P3</f>
        <v>86964.284287999995</v>
      </c>
      <c r="M7" s="423">
        <f>'INCOME STATEMENT'!Q3</f>
        <v>86973.493367000003</v>
      </c>
      <c r="O7" s="425">
        <f>D7/$D$7</f>
        <v>1</v>
      </c>
      <c r="P7" s="425">
        <f>E7/$E$7</f>
        <v>1</v>
      </c>
      <c r="Q7" s="425">
        <f t="shared" ref="Q7:Q20" si="0">F7/$F$7</f>
        <v>1</v>
      </c>
      <c r="R7" s="425">
        <f>F7/$F$7</f>
        <v>1</v>
      </c>
      <c r="S7" s="425">
        <f>G7/$G$7</f>
        <v>1</v>
      </c>
      <c r="T7" s="425">
        <f>H7/$H$7</f>
        <v>1</v>
      </c>
      <c r="U7" s="425">
        <f>I7/$I$7</f>
        <v>1</v>
      </c>
      <c r="V7" s="425">
        <f>J7/$J$7</f>
        <v>1</v>
      </c>
      <c r="W7" s="425">
        <f>K7/$K$7</f>
        <v>1</v>
      </c>
      <c r="X7" s="425">
        <f>L7/$L$7</f>
        <v>1</v>
      </c>
    </row>
    <row r="8" spans="2:24" ht="14.5" thickBot="1" x14ac:dyDescent="0.35">
      <c r="B8" s="422" t="s">
        <v>155</v>
      </c>
      <c r="C8" s="423"/>
      <c r="D8" s="423">
        <f>'INCOME STATEMENT'!H7+'INCOME STATEMENT'!H8+'INCOME STATEMENT'!H9+'INCOME STATEMENT'!H10+'INCOME STATEMENT'!H11+'INCOME STATEMENT'!H12+'INCOME STATEMENT'!H13+'INCOME STATEMENT'!H14+'INCOME STATEMENT'!H15</f>
        <v>35131</v>
      </c>
      <c r="E8" s="423">
        <f>'INCOME STATEMENT'!I7+'INCOME STATEMENT'!I8+'INCOME STATEMENT'!I9+'INCOME STATEMENT'!I10+'INCOME STATEMENT'!I11+'INCOME STATEMENT'!I12+'INCOME STATEMENT'!I13+'INCOME STATEMENT'!I14+'INCOME STATEMENT'!I15</f>
        <v>28284</v>
      </c>
      <c r="F8" s="423">
        <f>'INCOME STATEMENT'!J7+'INCOME STATEMENT'!J8+'INCOME STATEMENT'!J9+'INCOME STATEMENT'!J10+'INCOME STATEMENT'!J11+'INCOME STATEMENT'!J12+'INCOME STATEMENT'!J13+'INCOME STATEMENT'!J14+'INCOME STATEMENT'!J15</f>
        <v>35751</v>
      </c>
      <c r="G8" s="424">
        <f>'INCOME STATEMENT'!K7+'INCOME STATEMENT'!K8+'INCOME STATEMENT'!K9+'INCOME STATEMENT'!K10+'INCOME STATEMENT'!K11+'INCOME STATEMENT'!K12+'INCOME STATEMENT'!K13+'INCOME STATEMENT'!K14+'INCOME STATEMENT'!K15</f>
        <v>28599</v>
      </c>
      <c r="H8" s="423">
        <f>'INCOME STATEMENT'!L7+'INCOME STATEMENT'!L8+'INCOME STATEMENT'!L9+'INCOME STATEMENT'!L10+'INCOME STATEMENT'!L11+'INCOME STATEMENT'!L12+'INCOME STATEMENT'!L13+'INCOME STATEMENT'!L14+'INCOME STATEMENT'!L15</f>
        <v>47516</v>
      </c>
      <c r="I8" s="423">
        <f>'INCOME STATEMENT'!M7+'INCOME STATEMENT'!M8+'INCOME STATEMENT'!M9+'INCOME STATEMENT'!M10+'INCOME STATEMENT'!M11+'INCOME STATEMENT'!M12+'INCOME STATEMENT'!M13+'INCOME STATEMENT'!M14+'INCOME STATEMENT'!M15</f>
        <v>48161.729064978441</v>
      </c>
      <c r="J8" s="423">
        <f>'INCOME STATEMENT'!N7+'INCOME STATEMENT'!N8+'INCOME STATEMENT'!N9+'INCOME STATEMENT'!N10+'INCOME STATEMENT'!N11+'INCOME STATEMENT'!N12+'INCOME STATEMENT'!N13+'INCOME STATEMENT'!N14+'INCOME STATEMENT'!N15</f>
        <v>53275.482000000004</v>
      </c>
      <c r="K8" s="423">
        <f>'INCOME STATEMENT'!O7+'INCOME STATEMENT'!O8+'INCOME STATEMENT'!O9+'INCOME STATEMENT'!O10+'INCOME STATEMENT'!O11+'INCOME STATEMENT'!O12+'INCOME STATEMENT'!O13+'INCOME STATEMENT'!O14+'INCOME STATEMENT'!O15</f>
        <v>49977.612724537845</v>
      </c>
      <c r="L8" s="423">
        <f>'INCOME STATEMENT'!P7+'INCOME STATEMENT'!P8+'INCOME STATEMENT'!P9+'INCOME STATEMENT'!P10+'INCOME STATEMENT'!P11+'INCOME STATEMENT'!P12+'INCOME STATEMENT'!P13+'INCOME STATEMENT'!P14+'INCOME STATEMENT'!P15</f>
        <v>50140.415437482123</v>
      </c>
      <c r="M8" s="423">
        <f>'INCOME STATEMENT'!Q7+'INCOME STATEMENT'!Q8+'INCOME STATEMENT'!Q9+'INCOME STATEMENT'!Q10+'INCOME STATEMENT'!Q11+'INCOME STATEMENT'!Q12+'INCOME STATEMENT'!Q13+'INCOME STATEMENT'!Q14+'INCOME STATEMENT'!Q15</f>
        <v>50013.456991693449</v>
      </c>
      <c r="O8" s="425">
        <f t="shared" ref="O8:O20" si="1">D8/$D$7</f>
        <v>0.63516543120593016</v>
      </c>
      <c r="P8" s="425">
        <f t="shared" ref="P8:P20" si="2">E8/$E$7</f>
        <v>0.59239710964498904</v>
      </c>
      <c r="Q8" s="425">
        <f t="shared" si="0"/>
        <v>0.65018368311933949</v>
      </c>
      <c r="R8" s="425">
        <f t="shared" ref="R8:R20" si="3">F8/$F$7</f>
        <v>0.65018368311933949</v>
      </c>
      <c r="S8" s="425">
        <f t="shared" ref="S8:S20" si="4">G8/$G$7</f>
        <v>0.55296892824687249</v>
      </c>
      <c r="T8" s="425">
        <f t="shared" ref="T8:T20" si="5">H8/$H$7</f>
        <v>0.58482670342654586</v>
      </c>
      <c r="U8" s="425">
        <f t="shared" ref="U8:U20" si="6">I8/$I$7</f>
        <v>0.57774121797182543</v>
      </c>
      <c r="V8" s="425">
        <f t="shared" ref="V8:V20" si="7">J8/$J$7</f>
        <v>0.61511667979519502</v>
      </c>
      <c r="W8" s="425">
        <f t="shared" ref="W8:W20" si="8">K8/$K$7</f>
        <v>0.57611147693073517</v>
      </c>
      <c r="X8" s="425">
        <f t="shared" ref="X8:X20" si="9">L8/$L$7</f>
        <v>0.57656330812120404</v>
      </c>
    </row>
    <row r="9" spans="2:24" ht="14.5" thickBot="1" x14ac:dyDescent="0.35">
      <c r="B9" s="426" t="s">
        <v>167</v>
      </c>
      <c r="C9" s="423"/>
      <c r="D9" s="427">
        <f>D7-D8</f>
        <v>20179</v>
      </c>
      <c r="E9" s="427">
        <f>E7-E8</f>
        <v>19461</v>
      </c>
      <c r="F9" s="427">
        <f>F7-F8</f>
        <v>19235</v>
      </c>
      <c r="G9" s="428">
        <f>G7-G8</f>
        <v>23120</v>
      </c>
      <c r="H9" s="427">
        <f>H7-H8</f>
        <v>33732</v>
      </c>
      <c r="I9" s="427">
        <f t="shared" ref="I9:M9" si="10">I7-I8</f>
        <v>35200.384571385192</v>
      </c>
      <c r="J9" s="427">
        <f t="shared" si="10"/>
        <v>33334.885999999999</v>
      </c>
      <c r="K9" s="427">
        <f t="shared" si="10"/>
        <v>36772.286775462155</v>
      </c>
      <c r="L9" s="427">
        <f t="shared" si="10"/>
        <v>36823.868850517872</v>
      </c>
      <c r="M9" s="427">
        <f t="shared" si="10"/>
        <v>36960.036375306554</v>
      </c>
      <c r="O9" s="425">
        <f t="shared" si="1"/>
        <v>0.36483456879406978</v>
      </c>
      <c r="P9" s="425">
        <f t="shared" si="2"/>
        <v>0.40760289035501102</v>
      </c>
      <c r="Q9" s="429">
        <f t="shared" si="0"/>
        <v>0.34981631688066051</v>
      </c>
      <c r="R9" s="425">
        <f t="shared" si="3"/>
        <v>0.34981631688066051</v>
      </c>
      <c r="S9" s="425">
        <f t="shared" si="4"/>
        <v>0.44703107175312745</v>
      </c>
      <c r="T9" s="425">
        <f t="shared" si="5"/>
        <v>0.41517329657345414</v>
      </c>
      <c r="U9" s="425">
        <f t="shared" si="6"/>
        <v>0.42225878202817457</v>
      </c>
      <c r="V9" s="425">
        <f t="shared" si="7"/>
        <v>0.38488332020480504</v>
      </c>
      <c r="W9" s="425">
        <f t="shared" si="8"/>
        <v>0.42388852306926483</v>
      </c>
      <c r="X9" s="425">
        <f t="shared" si="9"/>
        <v>0.42343669187879596</v>
      </c>
    </row>
    <row r="10" spans="2:24" ht="14.5" thickBot="1" x14ac:dyDescent="0.35">
      <c r="B10" s="422" t="s">
        <v>156</v>
      </c>
      <c r="C10" s="423"/>
      <c r="D10" s="423">
        <f>SUM('INCOME STATEMENT'!H16,'INCOME STATEMENT'!H17,'INCOME STATEMENT'!H20)</f>
        <v>9517</v>
      </c>
      <c r="E10" s="423">
        <f>SUM('INCOME STATEMENT'!I16,'INCOME STATEMENT'!I17,'INCOME STATEMENT'!I20)</f>
        <v>10263</v>
      </c>
      <c r="F10" s="423">
        <f>SUM('INCOME STATEMENT'!J16,'INCOME STATEMENT'!J17,'INCOME STATEMENT'!J20)</f>
        <v>6465</v>
      </c>
      <c r="G10" s="424">
        <f>SUM('INCOME STATEMENT'!K16,'INCOME STATEMENT'!K17,'INCOME STATEMENT'!K20)</f>
        <v>8582</v>
      </c>
      <c r="H10" s="423">
        <f>SUM('INCOME STATEMENT'!L16,'INCOME STATEMENT'!L17,'INCOME STATEMENT'!L20)</f>
        <v>10172</v>
      </c>
      <c r="I10" s="423">
        <f>SUM('INCOME STATEMENT'!M16,'INCOME STATEMENT'!M17,'INCOME STATEMENT'!M20)</f>
        <v>9318.1105433542252</v>
      </c>
      <c r="J10" s="423">
        <f>SUM('INCOME STATEMENT'!N16,'INCOME STATEMENT'!N17,'INCOME STATEMENT'!N20)</f>
        <v>10843.351999999999</v>
      </c>
      <c r="K10" s="423">
        <f>SUM('INCOME STATEMENT'!O16,'INCOME STATEMENT'!O17,'INCOME STATEMENT'!O20)</f>
        <v>10860.820915148681</v>
      </c>
      <c r="L10" s="423">
        <f>SUM('INCOME STATEMENT'!P16,'INCOME STATEMENT'!P17,'INCOME STATEMENT'!P20)</f>
        <v>10887.661231999999</v>
      </c>
      <c r="M10" s="423">
        <f>SUM('INCOME STATEMENT'!Q16,'INCOME STATEMENT'!Q17,'INCOME STATEMENT'!Q20)</f>
        <v>10888.814180399813</v>
      </c>
      <c r="O10" s="425">
        <f t="shared" si="1"/>
        <v>0.17206653408063641</v>
      </c>
      <c r="P10" s="425">
        <f t="shared" si="2"/>
        <v>0.21495444549167453</v>
      </c>
      <c r="Q10" s="425">
        <f t="shared" si="0"/>
        <v>0.11757538282471902</v>
      </c>
      <c r="R10" s="425">
        <f t="shared" si="3"/>
        <v>0.11757538282471902</v>
      </c>
      <c r="S10" s="425">
        <f t="shared" si="4"/>
        <v>0.16593514955818944</v>
      </c>
      <c r="T10" s="425">
        <f t="shared" si="5"/>
        <v>0.12519692792437967</v>
      </c>
      <c r="U10" s="425">
        <f t="shared" si="6"/>
        <v>0.1117787222142787</v>
      </c>
      <c r="V10" s="425">
        <f t="shared" si="7"/>
        <v>0.12519692792437967</v>
      </c>
      <c r="W10" s="425">
        <f t="shared" si="8"/>
        <v>0.12519692792437967</v>
      </c>
      <c r="X10" s="425">
        <f t="shared" si="9"/>
        <v>0.12519692792437967</v>
      </c>
    </row>
    <row r="11" spans="2:24" ht="14.5" thickBot="1" x14ac:dyDescent="0.35">
      <c r="B11" s="426" t="s">
        <v>157</v>
      </c>
      <c r="C11" s="423"/>
      <c r="D11" s="427">
        <f>D9-D10</f>
        <v>10662</v>
      </c>
      <c r="E11" s="427">
        <f t="shared" ref="E11:L11" si="11">E9-E10</f>
        <v>9198</v>
      </c>
      <c r="F11" s="427">
        <f t="shared" si="11"/>
        <v>12770</v>
      </c>
      <c r="G11" s="428">
        <f t="shared" si="11"/>
        <v>14538</v>
      </c>
      <c r="H11" s="427">
        <f t="shared" si="11"/>
        <v>23560</v>
      </c>
      <c r="I11" s="427">
        <f t="shared" si="11"/>
        <v>25882.274028030966</v>
      </c>
      <c r="J11" s="427">
        <f t="shared" si="11"/>
        <v>22491.534</v>
      </c>
      <c r="K11" s="427">
        <f t="shared" si="11"/>
        <v>25911.465860313474</v>
      </c>
      <c r="L11" s="427">
        <f t="shared" si="11"/>
        <v>25936.207618517874</v>
      </c>
      <c r="M11" s="427">
        <f t="shared" ref="M11" si="12">M9-M10</f>
        <v>26071.222194906739</v>
      </c>
      <c r="O11" s="425">
        <f t="shared" si="1"/>
        <v>0.19276803471343337</v>
      </c>
      <c r="P11" s="425">
        <f t="shared" si="2"/>
        <v>0.19264844486333649</v>
      </c>
      <c r="Q11" s="429">
        <f t="shared" si="0"/>
        <v>0.23224093405594151</v>
      </c>
      <c r="R11" s="425">
        <f t="shared" si="3"/>
        <v>0.23224093405594151</v>
      </c>
      <c r="S11" s="425">
        <f t="shared" si="4"/>
        <v>0.28109592219493801</v>
      </c>
      <c r="T11" s="425">
        <f t="shared" si="5"/>
        <v>0.28997636864907445</v>
      </c>
      <c r="U11" s="425">
        <f t="shared" si="6"/>
        <v>0.31048005981389587</v>
      </c>
      <c r="V11" s="425">
        <f t="shared" si="7"/>
        <v>0.25968639228042534</v>
      </c>
      <c r="W11" s="425">
        <f t="shared" si="8"/>
        <v>0.29869159514488514</v>
      </c>
      <c r="X11" s="425">
        <f t="shared" si="9"/>
        <v>0.29823976395441631</v>
      </c>
    </row>
    <row r="12" spans="2:24" ht="14.5" thickBot="1" x14ac:dyDescent="0.35">
      <c r="B12" s="934" t="s">
        <v>158</v>
      </c>
      <c r="C12" s="935"/>
      <c r="D12" s="431">
        <f>'INCOME STATEMENT'!H19</f>
        <v>1274</v>
      </c>
      <c r="E12" s="431">
        <f>'INCOME STATEMENT'!I19</f>
        <v>1637</v>
      </c>
      <c r="F12" s="431">
        <f>'INCOME STATEMENT'!J19</f>
        <v>1547</v>
      </c>
      <c r="G12" s="432">
        <f>'INCOME STATEMENT'!K19</f>
        <v>3229</v>
      </c>
      <c r="H12" s="431">
        <f>'INCOME STATEMENT'!L19</f>
        <v>6667</v>
      </c>
      <c r="I12" s="431">
        <f>'INCOME STATEMENT'!M19</f>
        <v>6600</v>
      </c>
      <c r="J12" s="431">
        <f>'INCOME STATEMENT'!N19</f>
        <v>8153.320637266268</v>
      </c>
      <c r="K12" s="431">
        <f>'INCOME STATEMENT'!O19</f>
        <v>8166.4558436482412</v>
      </c>
      <c r="L12" s="431">
        <f>'INCOME STATEMENT'!P19</f>
        <v>8186.6375835101062</v>
      </c>
      <c r="M12" s="431">
        <f>'INCOME STATEMENT'!Q19</f>
        <v>8187.5045071313161</v>
      </c>
      <c r="O12" s="425">
        <f t="shared" si="1"/>
        <v>2.30338094377147E-2</v>
      </c>
      <c r="P12" s="425">
        <f t="shared" si="2"/>
        <v>3.4286312702900827E-2</v>
      </c>
      <c r="Q12" s="430">
        <f t="shared" si="0"/>
        <v>2.8134434219619541E-2</v>
      </c>
      <c r="R12" s="425">
        <f t="shared" si="3"/>
        <v>2.8134434219619541E-2</v>
      </c>
      <c r="S12" s="425">
        <f t="shared" si="4"/>
        <v>6.243353506448307E-2</v>
      </c>
      <c r="T12" s="425">
        <f t="shared" si="5"/>
        <v>8.2057404489956673E-2</v>
      </c>
      <c r="U12" s="425">
        <f t="shared" si="6"/>
        <v>7.9172656643401063E-2</v>
      </c>
      <c r="V12" s="425">
        <f t="shared" si="7"/>
        <v>9.4137928582248578E-2</v>
      </c>
      <c r="W12" s="425">
        <f t="shared" si="8"/>
        <v>9.4137928582248578E-2</v>
      </c>
      <c r="X12" s="425">
        <f t="shared" si="9"/>
        <v>9.4137928582248578E-2</v>
      </c>
    </row>
    <row r="13" spans="2:24" ht="14.5" thickBot="1" x14ac:dyDescent="0.35">
      <c r="B13" s="426" t="s">
        <v>159</v>
      </c>
      <c r="C13" s="423"/>
      <c r="D13" s="427">
        <f>D11-D12</f>
        <v>9388</v>
      </c>
      <c r="E13" s="427">
        <f t="shared" ref="E13:G13" si="13">E11-E12</f>
        <v>7561</v>
      </c>
      <c r="F13" s="427">
        <f t="shared" si="13"/>
        <v>11223</v>
      </c>
      <c r="G13" s="428">
        <f t="shared" si="13"/>
        <v>11309</v>
      </c>
      <c r="H13" s="427">
        <f t="shared" ref="H13:L13" si="14">H11-H12</f>
        <v>16893</v>
      </c>
      <c r="I13" s="427">
        <f t="shared" si="14"/>
        <v>19282.274028030966</v>
      </c>
      <c r="J13" s="427">
        <f t="shared" si="14"/>
        <v>14338.213362733732</v>
      </c>
      <c r="K13" s="427">
        <f t="shared" si="14"/>
        <v>17745.010016665234</v>
      </c>
      <c r="L13" s="427">
        <f t="shared" si="14"/>
        <v>17749.570035007768</v>
      </c>
      <c r="M13" s="427">
        <f t="shared" ref="M13" si="15">M11-M12</f>
        <v>17883.717687775425</v>
      </c>
      <c r="O13" s="425">
        <f t="shared" si="1"/>
        <v>0.16973422527571869</v>
      </c>
      <c r="P13" s="425">
        <f t="shared" si="2"/>
        <v>0.15836213216043565</v>
      </c>
      <c r="Q13" s="429">
        <f t="shared" si="0"/>
        <v>0.20410649983632198</v>
      </c>
      <c r="R13" s="425">
        <f t="shared" si="3"/>
        <v>0.20410649983632198</v>
      </c>
      <c r="S13" s="425">
        <f t="shared" si="4"/>
        <v>0.21866238713045497</v>
      </c>
      <c r="T13" s="425">
        <f t="shared" si="5"/>
        <v>0.20791896415911776</v>
      </c>
      <c r="U13" s="425">
        <f t="shared" si="6"/>
        <v>0.23130740317049481</v>
      </c>
      <c r="V13" s="425">
        <f t="shared" si="7"/>
        <v>0.16554846369817677</v>
      </c>
      <c r="W13" s="425">
        <f t="shared" si="8"/>
        <v>0.20455366656263657</v>
      </c>
      <c r="X13" s="425">
        <f t="shared" si="9"/>
        <v>0.20410183537216772</v>
      </c>
    </row>
    <row r="14" spans="2:24" ht="14.5" thickBot="1" x14ac:dyDescent="0.35">
      <c r="B14" s="934" t="s">
        <v>160</v>
      </c>
      <c r="C14" s="935"/>
      <c r="D14" s="431">
        <f>'INCOME STATEMENT'!H18</f>
        <v>3462</v>
      </c>
      <c r="E14" s="431">
        <f>'INCOME STATEMENT'!I18</f>
        <v>3160</v>
      </c>
      <c r="F14" s="431">
        <f>'INCOME STATEMENT'!J18</f>
        <v>5657</v>
      </c>
      <c r="G14" s="432">
        <f>'INCOME STATEMENT'!K18</f>
        <v>7228</v>
      </c>
      <c r="H14" s="431">
        <f>'INCOME STATEMENT'!L18</f>
        <v>10233</v>
      </c>
      <c r="I14" s="431">
        <f>'INCOME STATEMENT'!M18</f>
        <v>11045.07703855955</v>
      </c>
      <c r="J14" s="431">
        <f>'INCOME STATEMENT'!N18</f>
        <v>12026.503579616061</v>
      </c>
      <c r="K14" s="431">
        <f>'INCOME STATEMENT'!O18</f>
        <v>12635.972588662469</v>
      </c>
      <c r="L14" s="431">
        <f>'INCOME STATEMENT'!P18</f>
        <v>12587.361108924808</v>
      </c>
      <c r="M14" s="431">
        <f>'INCOME STATEMENT'!Q18</f>
        <v>14449.321906865793</v>
      </c>
      <c r="O14" s="425">
        <f t="shared" si="1"/>
        <v>6.2592659555234131E-2</v>
      </c>
      <c r="P14" s="425">
        <f t="shared" si="2"/>
        <v>6.6184940831500685E-2</v>
      </c>
      <c r="Q14" s="430">
        <f t="shared" si="0"/>
        <v>0.10288073327756156</v>
      </c>
      <c r="R14" s="425">
        <f t="shared" si="3"/>
        <v>0.10288073327756156</v>
      </c>
      <c r="S14" s="425">
        <f t="shared" si="4"/>
        <v>0.13975521568475802</v>
      </c>
      <c r="T14" s="425">
        <f t="shared" si="5"/>
        <v>0.12594771563607721</v>
      </c>
      <c r="U14" s="425">
        <f t="shared" si="6"/>
        <v>0.13249516545057399</v>
      </c>
      <c r="V14" s="425">
        <f t="shared" si="7"/>
        <v>0.13885755086060897</v>
      </c>
      <c r="W14" s="425">
        <f t="shared" si="8"/>
        <v>0.14565979512935884</v>
      </c>
      <c r="X14" s="425">
        <f t="shared" si="9"/>
        <v>0.14474173175782359</v>
      </c>
    </row>
    <row r="15" spans="2:24" ht="14.5" thickBot="1" x14ac:dyDescent="0.35">
      <c r="B15" s="934" t="s">
        <v>161</v>
      </c>
      <c r="C15" s="935"/>
      <c r="D15" s="936">
        <f>'INCOME STATEMENT'!H4</f>
        <v>2831</v>
      </c>
      <c r="E15" s="936">
        <f>'INCOME STATEMENT'!I4</f>
        <v>872</v>
      </c>
      <c r="F15" s="936">
        <f>'INCOME STATEMENT'!J4</f>
        <v>679</v>
      </c>
      <c r="G15" s="937">
        <f>'INCOME STATEMENT'!K4</f>
        <v>1122</v>
      </c>
      <c r="H15" s="936">
        <f>'INCOME STATEMENT'!L4</f>
        <v>1185</v>
      </c>
      <c r="I15" s="936">
        <f>'INCOME STATEMENT'!M4</f>
        <v>1346.63978744729</v>
      </c>
      <c r="J15" s="936">
        <f>'INCOME STATEMENT'!N4</f>
        <v>1263.21</v>
      </c>
      <c r="K15" s="936">
        <f>'INCOME STATEMENT'!O4</f>
        <v>1265.2450633554058</v>
      </c>
      <c r="L15" s="937">
        <f>'INCOME STATEMENT'!P4</f>
        <v>1268.37186</v>
      </c>
      <c r="M15" s="937">
        <f>'INCOME STATEMENT'!Q4</f>
        <v>1268.5061741814568</v>
      </c>
      <c r="O15" s="425">
        <f t="shared" si="1"/>
        <v>5.1184234315675287E-2</v>
      </c>
      <c r="P15" s="425">
        <f t="shared" si="2"/>
        <v>1.8263692533249554E-2</v>
      </c>
      <c r="Q15" s="430">
        <f t="shared" si="0"/>
        <v>1.2348597824900883E-2</v>
      </c>
      <c r="R15" s="425">
        <f t="shared" si="3"/>
        <v>1.2348597824900883E-2</v>
      </c>
      <c r="S15" s="425">
        <f t="shared" si="4"/>
        <v>2.1694154952725305E-2</v>
      </c>
      <c r="T15" s="425">
        <f t="shared" si="5"/>
        <v>1.4584974399369831E-2</v>
      </c>
      <c r="U15" s="425">
        <f t="shared" si="6"/>
        <v>1.6154098411198015E-2</v>
      </c>
      <c r="V15" s="425">
        <f t="shared" si="7"/>
        <v>1.4584974399369831E-2</v>
      </c>
      <c r="W15" s="425">
        <f t="shared" si="8"/>
        <v>1.4584974399369833E-2</v>
      </c>
      <c r="X15" s="425">
        <f t="shared" si="9"/>
        <v>1.4584974399369831E-2</v>
      </c>
    </row>
    <row r="16" spans="2:24" ht="14.5" thickBot="1" x14ac:dyDescent="0.35">
      <c r="B16" s="422" t="s">
        <v>168</v>
      </c>
      <c r="C16" s="423"/>
      <c r="D16" s="423">
        <f>'INCOME STATEMENT'!H23</f>
        <v>0</v>
      </c>
      <c r="E16" s="423">
        <f>'INCOME STATEMENT'!I23</f>
        <v>0</v>
      </c>
      <c r="F16" s="423">
        <f>'INCOME STATEMENT'!J23</f>
        <v>0</v>
      </c>
      <c r="G16" s="424">
        <f>'INCOME STATEMENT'!K23</f>
        <v>894</v>
      </c>
      <c r="H16" s="423">
        <f>'INCOME STATEMENT'!L23</f>
        <v>380</v>
      </c>
      <c r="I16" s="423">
        <f>'INCOME STATEMENT'!M23</f>
        <v>0</v>
      </c>
      <c r="J16" s="423">
        <f>'INCOME STATEMENT'!N23</f>
        <v>0</v>
      </c>
      <c r="K16" s="423">
        <f>'INCOME STATEMENT'!O23</f>
        <v>0</v>
      </c>
      <c r="L16" s="423">
        <f>'INCOME STATEMENT'!P23</f>
        <v>0</v>
      </c>
      <c r="M16" s="423">
        <f>'INCOME STATEMENT'!Q23</f>
        <v>0</v>
      </c>
      <c r="O16" s="425">
        <f t="shared" si="1"/>
        <v>0</v>
      </c>
      <c r="P16" s="425">
        <f t="shared" si="2"/>
        <v>0</v>
      </c>
      <c r="Q16" s="425">
        <f t="shared" si="0"/>
        <v>0</v>
      </c>
      <c r="R16" s="425">
        <f t="shared" si="3"/>
        <v>0</v>
      </c>
      <c r="S16" s="425">
        <f t="shared" si="4"/>
        <v>1.7285717047893424E-2</v>
      </c>
      <c r="T16" s="425">
        <f t="shared" si="5"/>
        <v>4.6770382040173296E-3</v>
      </c>
      <c r="U16" s="425">
        <f t="shared" si="6"/>
        <v>0</v>
      </c>
      <c r="V16" s="425">
        <f t="shared" si="7"/>
        <v>0</v>
      </c>
      <c r="W16" s="425">
        <f t="shared" si="8"/>
        <v>0</v>
      </c>
      <c r="X16" s="425">
        <f t="shared" si="9"/>
        <v>0</v>
      </c>
    </row>
    <row r="17" spans="2:24" ht="14.5" thickBot="1" x14ac:dyDescent="0.35">
      <c r="B17" s="422" t="s">
        <v>259</v>
      </c>
      <c r="C17" s="423"/>
      <c r="D17" s="431">
        <f>'INCOME STATEMENT'!H25</f>
        <v>67</v>
      </c>
      <c r="E17" s="431">
        <f>'INCOME STATEMENT'!I25</f>
        <v>121</v>
      </c>
      <c r="F17" s="431">
        <f>'INCOME STATEMENT'!J25</f>
        <v>136</v>
      </c>
      <c r="G17" s="432">
        <f>'INCOME STATEMENT'!K25</f>
        <v>307</v>
      </c>
      <c r="H17" s="431">
        <f>'INCOME STATEMENT'!L25</f>
        <v>44</v>
      </c>
      <c r="I17" s="431">
        <f>'INCOME STATEMENT'!M25</f>
        <v>135</v>
      </c>
      <c r="J17" s="431">
        <f>'INCOME STATEMENT'!N25</f>
        <v>135</v>
      </c>
      <c r="K17" s="431">
        <f>'INCOME STATEMENT'!O25</f>
        <v>135</v>
      </c>
      <c r="L17" s="431">
        <f>'INCOME STATEMENT'!P25</f>
        <v>135</v>
      </c>
      <c r="M17" s="431">
        <f>'INCOME STATEMENT'!Q25</f>
        <v>135</v>
      </c>
      <c r="O17" s="425">
        <f t="shared" si="1"/>
        <v>1.2113541854999097E-3</v>
      </c>
      <c r="P17" s="425">
        <f t="shared" si="2"/>
        <v>2.5342967850036655E-3</v>
      </c>
      <c r="Q17" s="433">
        <f t="shared" si="0"/>
        <v>2.4733568544720473E-3</v>
      </c>
      <c r="R17" s="425">
        <f t="shared" si="3"/>
        <v>2.4733568544720473E-3</v>
      </c>
      <c r="S17" s="425">
        <f t="shared" si="4"/>
        <v>5.9359229683481896E-3</v>
      </c>
      <c r="T17" s="425">
        <f t="shared" si="5"/>
        <v>5.4155179204411186E-4</v>
      </c>
      <c r="U17" s="425">
        <f t="shared" si="6"/>
        <v>1.6194407040695674E-3</v>
      </c>
      <c r="V17" s="425">
        <f t="shared" si="7"/>
        <v>1.5587048423579034E-3</v>
      </c>
      <c r="W17" s="425">
        <f t="shared" si="8"/>
        <v>1.5561977682752243E-3</v>
      </c>
      <c r="X17" s="425">
        <f t="shared" si="9"/>
        <v>1.5523614217639039E-3</v>
      </c>
    </row>
    <row r="18" spans="2:24" ht="14.5" thickBot="1" x14ac:dyDescent="0.35">
      <c r="B18" s="426" t="s">
        <v>162</v>
      </c>
      <c r="C18" s="421"/>
      <c r="D18" s="427">
        <f>D13-D14+D15+D16+D17</f>
        <v>8824</v>
      </c>
      <c r="E18" s="427">
        <f t="shared" ref="E18:G18" si="16">E13-E14+E15+E16+E17</f>
        <v>5394</v>
      </c>
      <c r="F18" s="427">
        <f t="shared" si="16"/>
        <v>6381</v>
      </c>
      <c r="G18" s="428">
        <f t="shared" si="16"/>
        <v>6404</v>
      </c>
      <c r="H18" s="427">
        <f t="shared" ref="H18:L18" si="17">H13-H14+H15+H16+H17</f>
        <v>8269</v>
      </c>
      <c r="I18" s="427">
        <f t="shared" si="17"/>
        <v>9718.8367769187062</v>
      </c>
      <c r="J18" s="427">
        <f t="shared" si="17"/>
        <v>3709.9197831176707</v>
      </c>
      <c r="K18" s="427">
        <f t="shared" si="17"/>
        <v>6509.2824913581699</v>
      </c>
      <c r="L18" s="427">
        <f t="shared" si="17"/>
        <v>6565.58078608296</v>
      </c>
      <c r="M18" s="427">
        <f t="shared" ref="M18" si="18">M13-M14+M15+M16+M17</f>
        <v>4837.9019550910889</v>
      </c>
      <c r="O18" s="425">
        <f t="shared" si="1"/>
        <v>0.15953715422165973</v>
      </c>
      <c r="P18" s="425">
        <f t="shared" si="2"/>
        <v>0.11297518064718819</v>
      </c>
      <c r="Q18" s="425">
        <f t="shared" si="0"/>
        <v>0.11604772123813334</v>
      </c>
      <c r="R18" s="425">
        <f t="shared" si="3"/>
        <v>0.11604772123813334</v>
      </c>
      <c r="S18" s="425">
        <f t="shared" si="4"/>
        <v>0.12382296641466385</v>
      </c>
      <c r="T18" s="425">
        <f t="shared" si="5"/>
        <v>0.10177481291847183</v>
      </c>
      <c r="U18" s="425">
        <f t="shared" si="6"/>
        <v>0.11658577683518839</v>
      </c>
      <c r="V18" s="425">
        <f t="shared" si="7"/>
        <v>4.2834592079295526E-2</v>
      </c>
      <c r="W18" s="425">
        <f t="shared" si="8"/>
        <v>7.5035043600922793E-2</v>
      </c>
      <c r="X18" s="425">
        <f t="shared" si="9"/>
        <v>7.5497439435477876E-2</v>
      </c>
    </row>
    <row r="19" spans="2:24" ht="14.5" thickBot="1" x14ac:dyDescent="0.35">
      <c r="B19" s="422" t="s">
        <v>163</v>
      </c>
      <c r="C19" s="423"/>
      <c r="D19" s="265">
        <f>'INCOME STATEMENT'!H30</f>
        <v>4582</v>
      </c>
      <c r="E19" s="265">
        <f>'INCOME STATEMENT'!I30</f>
        <v>3320</v>
      </c>
      <c r="F19" s="265">
        <f>'INCOME STATEMENT'!J30</f>
        <v>4270</v>
      </c>
      <c r="G19" s="434">
        <f>'INCOME STATEMENT'!K30</f>
        <v>3970</v>
      </c>
      <c r="H19" s="265">
        <f>'INCOME STATEMENT'!L30</f>
        <v>5565.8150000000005</v>
      </c>
      <c r="I19" s="265">
        <f>'INCOME STATEMENT'!M30</f>
        <v>6572.3772461716308</v>
      </c>
      <c r="J19" s="265">
        <f>'INCOME STATEMENT'!N30</f>
        <v>3658.3632864039919</v>
      </c>
      <c r="K19" s="265">
        <f>'INCOME STATEMENT'!O30</f>
        <v>5197.7058121815608</v>
      </c>
      <c r="L19" s="265">
        <f>'INCOME STATEMENT'!P30</f>
        <v>5218.1276665157047</v>
      </c>
      <c r="M19" s="265">
        <f>'INCOME STATEMENT'!Q30</f>
        <v>4636.5765419414201</v>
      </c>
      <c r="O19" s="425">
        <f t="shared" si="1"/>
        <v>8.284216235762068E-2</v>
      </c>
      <c r="P19" s="425">
        <f t="shared" si="2"/>
        <v>6.9536077076133629E-2</v>
      </c>
      <c r="Q19" s="425">
        <f t="shared" si="0"/>
        <v>7.7656130651438546E-2</v>
      </c>
      <c r="R19" s="425">
        <f t="shared" si="3"/>
        <v>7.7656130651438546E-2</v>
      </c>
      <c r="S19" s="425">
        <f t="shared" si="4"/>
        <v>7.6760958255186681E-2</v>
      </c>
      <c r="T19" s="425">
        <f t="shared" si="5"/>
        <v>6.850402471445452E-2</v>
      </c>
      <c r="U19" s="425">
        <f t="shared" si="6"/>
        <v>7.8841298036674001E-2</v>
      </c>
      <c r="V19" s="425">
        <f t="shared" si="7"/>
        <v>4.2239322737942779E-2</v>
      </c>
      <c r="W19" s="425">
        <f t="shared" si="8"/>
        <v>5.9915986556060057E-2</v>
      </c>
      <c r="X19" s="425">
        <f t="shared" si="9"/>
        <v>6.0003111728428753E-2</v>
      </c>
    </row>
    <row r="20" spans="2:24" ht="14.5" thickBot="1" x14ac:dyDescent="0.35">
      <c r="B20" s="435" t="s">
        <v>164</v>
      </c>
      <c r="C20" s="436"/>
      <c r="D20" s="850">
        <f>D18-D19</f>
        <v>4242</v>
      </c>
      <c r="E20" s="850">
        <f t="shared" ref="E20:G20" si="19">E18-E19</f>
        <v>2074</v>
      </c>
      <c r="F20" s="850">
        <f t="shared" si="19"/>
        <v>2111</v>
      </c>
      <c r="G20" s="851">
        <f t="shared" si="19"/>
        <v>2434</v>
      </c>
      <c r="H20" s="852">
        <f t="shared" ref="H20:L20" si="20">H18-H19</f>
        <v>2703.1849999999995</v>
      </c>
      <c r="I20" s="852">
        <f t="shared" si="20"/>
        <v>3146.4595307470754</v>
      </c>
      <c r="J20" s="852">
        <f t="shared" si="20"/>
        <v>51.556496713678825</v>
      </c>
      <c r="K20" s="852">
        <f t="shared" si="20"/>
        <v>1311.5766791766091</v>
      </c>
      <c r="L20" s="852">
        <f t="shared" si="20"/>
        <v>1347.4531195672553</v>
      </c>
      <c r="M20" s="852">
        <f t="shared" ref="M20" si="21">M18-M19</f>
        <v>201.32541314966875</v>
      </c>
      <c r="O20" s="425">
        <f t="shared" si="1"/>
        <v>7.6694991864039053E-2</v>
      </c>
      <c r="P20" s="425">
        <f t="shared" si="2"/>
        <v>4.3439103571054558E-2</v>
      </c>
      <c r="Q20" s="437">
        <f t="shared" si="0"/>
        <v>3.8391590586694793E-2</v>
      </c>
      <c r="R20" s="425">
        <f t="shared" si="3"/>
        <v>3.8391590586694793E-2</v>
      </c>
      <c r="S20" s="425">
        <f t="shared" si="4"/>
        <v>4.7062008159477177E-2</v>
      </c>
      <c r="T20" s="425">
        <f t="shared" si="5"/>
        <v>3.3270788204017326E-2</v>
      </c>
      <c r="U20" s="425">
        <f t="shared" si="6"/>
        <v>3.7744478798514398E-2</v>
      </c>
      <c r="V20" s="425">
        <f t="shared" si="7"/>
        <v>5.9526934135274451E-4</v>
      </c>
      <c r="W20" s="425">
        <f t="shared" si="8"/>
        <v>1.5119057044862733E-2</v>
      </c>
      <c r="X20" s="425">
        <f t="shared" si="9"/>
        <v>1.5494327707049126E-2</v>
      </c>
    </row>
    <row r="22" spans="2:24" x14ac:dyDescent="0.3">
      <c r="B22" s="17" t="s">
        <v>1020</v>
      </c>
      <c r="D22" s="756">
        <v>0.34610000000000002</v>
      </c>
      <c r="E22" s="756">
        <v>0.34610000000000002</v>
      </c>
      <c r="F22" s="756">
        <v>0.34610000000000002</v>
      </c>
      <c r="G22" s="539">
        <v>0.34610000000000002</v>
      </c>
      <c r="H22" s="539">
        <v>0.34610000000000002</v>
      </c>
      <c r="I22" s="539">
        <v>0.34610000000000002</v>
      </c>
      <c r="J22" s="539">
        <v>0.34610000000000002</v>
      </c>
      <c r="K22" s="539">
        <v>0.34610000000000002</v>
      </c>
      <c r="L22" s="539">
        <v>0.34610000000000002</v>
      </c>
      <c r="M22" s="539">
        <v>0.34610000000000002</v>
      </c>
      <c r="O22" s="1020" t="s">
        <v>943</v>
      </c>
      <c r="P22" s="1020"/>
      <c r="Q22" s="1020"/>
      <c r="R22" s="1020"/>
      <c r="S22" s="1020"/>
      <c r="T22" s="1020"/>
      <c r="U22" s="1020"/>
      <c r="V22" s="1020"/>
      <c r="W22" s="1020"/>
      <c r="X22" s="1020"/>
    </row>
    <row r="23" spans="2:24" ht="14.5" thickBot="1" x14ac:dyDescent="0.35"/>
    <row r="24" spans="2:24" x14ac:dyDescent="0.3">
      <c r="O24" s="31" t="s">
        <v>931</v>
      </c>
      <c r="P24" s="31" t="s">
        <v>410</v>
      </c>
      <c r="Q24" s="30" t="s">
        <v>152</v>
      </c>
      <c r="R24" s="31" t="s">
        <v>153</v>
      </c>
      <c r="S24" s="31" t="s">
        <v>868</v>
      </c>
      <c r="T24" s="534" t="s">
        <v>932</v>
      </c>
      <c r="U24" s="534" t="s">
        <v>933</v>
      </c>
      <c r="V24" s="534" t="s">
        <v>934</v>
      </c>
      <c r="W24" s="534" t="s">
        <v>935</v>
      </c>
      <c r="X24" s="535" t="s">
        <v>936</v>
      </c>
    </row>
    <row r="25" spans="2:24" x14ac:dyDescent="0.3">
      <c r="O25" s="19"/>
      <c r="P25" s="21">
        <f>(E7-D7)/D7</f>
        <v>-0.13677454348219129</v>
      </c>
      <c r="Q25" s="21">
        <f>(F7-E7)/E7</f>
        <v>0.15165985967116977</v>
      </c>
      <c r="R25" s="21">
        <f t="shared" ref="R25:S38" si="22">(G7-F7)/F7</f>
        <v>-5.9415123849707201E-2</v>
      </c>
      <c r="S25" s="21">
        <f t="shared" si="22"/>
        <v>0.57095071443763412</v>
      </c>
      <c r="T25" s="21">
        <f t="shared" ref="T25:T38" si="23">(I7-H7)/H7</f>
        <v>2.6020500644491341E-2</v>
      </c>
      <c r="U25" s="21">
        <f t="shared" ref="U25:U38" si="24">(J7-I7)/I7</f>
        <v>3.8965595064032049E-2</v>
      </c>
      <c r="V25" s="21">
        <f t="shared" ref="V25:V38" si="25">(K7-J7)/J7</f>
        <v>1.6110253682330195E-3</v>
      </c>
      <c r="W25" s="21">
        <f t="shared" ref="W25:W38" si="26">(L7-K7)/K7</f>
        <v>2.4712972491685221E-3</v>
      </c>
      <c r="X25" s="21">
        <f t="shared" ref="X25:X38" si="27">(M7-L7)/L7</f>
        <v>1.0589495533027939E-4</v>
      </c>
    </row>
    <row r="26" spans="2:24" x14ac:dyDescent="0.3">
      <c r="O26" s="19"/>
      <c r="P26" s="21">
        <f t="shared" ref="P26:Q38" si="28">(E8-D8)/D8</f>
        <v>-0.19489909197005495</v>
      </c>
      <c r="Q26" s="21">
        <f t="shared" si="28"/>
        <v>0.26400084853627492</v>
      </c>
      <c r="R26" s="21">
        <f t="shared" si="22"/>
        <v>-0.20005034824200721</v>
      </c>
      <c r="S26" s="21">
        <f t="shared" si="22"/>
        <v>0.66145669429001019</v>
      </c>
      <c r="T26" s="21">
        <f t="shared" si="23"/>
        <v>1.3589718515414616E-2</v>
      </c>
      <c r="U26" s="21">
        <f t="shared" si="24"/>
        <v>0.10617876547003186</v>
      </c>
      <c r="V26" s="21">
        <f t="shared" si="25"/>
        <v>-6.1902194999608987E-2</v>
      </c>
      <c r="W26" s="21">
        <f t="shared" si="26"/>
        <v>3.2575127956110976E-3</v>
      </c>
      <c r="X26" s="21">
        <f t="shared" si="27"/>
        <v>-2.5320581148150418E-3</v>
      </c>
    </row>
    <row r="27" spans="2:24" x14ac:dyDescent="0.3">
      <c r="O27" s="19"/>
      <c r="P27" s="21">
        <f t="shared" si="28"/>
        <v>-3.558154517072204E-2</v>
      </c>
      <c r="Q27" s="21">
        <f t="shared" si="28"/>
        <v>-1.1612969528801193E-2</v>
      </c>
      <c r="R27" s="21">
        <f t="shared" si="22"/>
        <v>0.20197556537561737</v>
      </c>
      <c r="S27" s="21">
        <f t="shared" si="22"/>
        <v>0.45899653979238753</v>
      </c>
      <c r="T27" s="21">
        <f t="shared" si="23"/>
        <v>4.3530907487999274E-2</v>
      </c>
      <c r="U27" s="21">
        <f t="shared" si="24"/>
        <v>-5.2996539500925761E-2</v>
      </c>
      <c r="V27" s="21">
        <f t="shared" si="25"/>
        <v>0.10311722006375412</v>
      </c>
      <c r="W27" s="21">
        <f t="shared" si="26"/>
        <v>1.4027431954582172E-3</v>
      </c>
      <c r="X27" s="21">
        <f t="shared" si="27"/>
        <v>3.6978060437222768E-3</v>
      </c>
    </row>
    <row r="28" spans="2:24" x14ac:dyDescent="0.3">
      <c r="O28" s="19"/>
      <c r="P28" s="21">
        <f t="shared" si="28"/>
        <v>7.8386046022906372E-2</v>
      </c>
      <c r="Q28" s="21">
        <f t="shared" si="28"/>
        <v>-0.37006723180356621</v>
      </c>
      <c r="R28" s="21">
        <f t="shared" si="22"/>
        <v>0.3274555297757154</v>
      </c>
      <c r="S28" s="21">
        <f t="shared" si="22"/>
        <v>0.18527149848520158</v>
      </c>
      <c r="T28" s="21">
        <f t="shared" si="23"/>
        <v>-8.3945090114606255E-2</v>
      </c>
      <c r="U28" s="21">
        <f t="shared" si="24"/>
        <v>0.16368570103877894</v>
      </c>
      <c r="V28" s="21">
        <f t="shared" si="25"/>
        <v>1.6110253682331669E-3</v>
      </c>
      <c r="W28" s="21">
        <f t="shared" si="26"/>
        <v>2.4712972491684189E-3</v>
      </c>
      <c r="X28" s="21">
        <f t="shared" si="27"/>
        <v>1.0589495533035744E-4</v>
      </c>
    </row>
    <row r="29" spans="2:24" x14ac:dyDescent="0.3">
      <c r="O29" s="19"/>
      <c r="P29" s="21">
        <f t="shared" si="28"/>
        <v>-0.13731007315700619</v>
      </c>
      <c r="Q29" s="21">
        <f t="shared" si="28"/>
        <v>0.38834529245488147</v>
      </c>
      <c r="R29" s="21">
        <f t="shared" si="22"/>
        <v>0.13844949099451839</v>
      </c>
      <c r="S29" s="21">
        <f t="shared" si="22"/>
        <v>0.62058054753060943</v>
      </c>
      <c r="T29" s="21">
        <f t="shared" si="23"/>
        <v>9.8568507132044403E-2</v>
      </c>
      <c r="U29" s="21">
        <f t="shared" si="24"/>
        <v>-0.13100626414660221</v>
      </c>
      <c r="V29" s="21">
        <f t="shared" si="25"/>
        <v>0.15205418449063876</v>
      </c>
      <c r="W29" s="21">
        <f t="shared" si="26"/>
        <v>9.548575266941935E-4</v>
      </c>
      <c r="X29" s="21">
        <f t="shared" si="27"/>
        <v>5.2056406385514722E-3</v>
      </c>
    </row>
    <row r="30" spans="2:24" x14ac:dyDescent="0.3">
      <c r="O30" s="19"/>
      <c r="P30" s="21">
        <f t="shared" si="28"/>
        <v>0.28492935635792777</v>
      </c>
      <c r="Q30" s="21">
        <f t="shared" si="28"/>
        <v>-5.4978619425778863E-2</v>
      </c>
      <c r="R30" s="21">
        <f t="shared" si="22"/>
        <v>1.0872656755009695</v>
      </c>
      <c r="S30" s="21">
        <f t="shared" si="22"/>
        <v>1.0647259213378755</v>
      </c>
      <c r="T30" s="21">
        <f t="shared" si="23"/>
        <v>-1.0049497525123744E-2</v>
      </c>
      <c r="U30" s="21">
        <f t="shared" si="24"/>
        <v>0.2353516117070103</v>
      </c>
      <c r="V30" s="21">
        <f t="shared" si="25"/>
        <v>1.6110253682329436E-3</v>
      </c>
      <c r="W30" s="21">
        <f t="shared" si="26"/>
        <v>2.4712972491686353E-3</v>
      </c>
      <c r="X30" s="21">
        <f t="shared" si="27"/>
        <v>1.0589495533015063E-4</v>
      </c>
    </row>
    <row r="31" spans="2:24" x14ac:dyDescent="0.3">
      <c r="O31" s="19"/>
      <c r="P31" s="21">
        <f t="shared" si="28"/>
        <v>-0.19461014060502768</v>
      </c>
      <c r="Q31" s="21">
        <f t="shared" si="28"/>
        <v>0.48432746991138736</v>
      </c>
      <c r="R31" s="21">
        <f t="shared" si="22"/>
        <v>7.6628352490421452E-3</v>
      </c>
      <c r="S31" s="21">
        <f t="shared" si="22"/>
        <v>0.4937660270580953</v>
      </c>
      <c r="T31" s="21">
        <f t="shared" si="23"/>
        <v>0.14143574427460878</v>
      </c>
      <c r="U31" s="21">
        <f t="shared" si="24"/>
        <v>-0.2564044395443178</v>
      </c>
      <c r="V31" s="21">
        <f t="shared" si="25"/>
        <v>0.23760259160224689</v>
      </c>
      <c r="W31" s="21">
        <f t="shared" si="26"/>
        <v>2.5697468405210699E-4</v>
      </c>
      <c r="X31" s="21">
        <f t="shared" si="27"/>
        <v>7.5577973158265366E-3</v>
      </c>
    </row>
    <row r="32" spans="2:24" x14ac:dyDescent="0.3">
      <c r="O32" s="19"/>
      <c r="P32" s="21">
        <f t="shared" si="28"/>
        <v>-8.7232813402657428E-2</v>
      </c>
      <c r="Q32" s="21">
        <f t="shared" si="28"/>
        <v>0.79018987341772151</v>
      </c>
      <c r="R32" s="21">
        <f t="shared" si="22"/>
        <v>0.27770903305639033</v>
      </c>
      <c r="S32" s="21">
        <f t="shared" si="22"/>
        <v>0.41574432761483121</v>
      </c>
      <c r="T32" s="21">
        <f t="shared" si="23"/>
        <v>7.9358647372183108E-2</v>
      </c>
      <c r="U32" s="21">
        <f t="shared" si="24"/>
        <v>8.885646859956213E-2</v>
      </c>
      <c r="V32" s="21">
        <f t="shared" si="25"/>
        <v>5.0677156915282372E-2</v>
      </c>
      <c r="W32" s="21">
        <f t="shared" si="26"/>
        <v>-3.8470706862151287E-3</v>
      </c>
      <c r="X32" s="21">
        <f t="shared" si="27"/>
        <v>0.14792304612765897</v>
      </c>
    </row>
    <row r="33" spans="15:24" x14ac:dyDescent="0.3">
      <c r="O33" s="19"/>
      <c r="P33" s="21">
        <f t="shared" si="28"/>
        <v>-0.69198163193217943</v>
      </c>
      <c r="Q33" s="21">
        <f t="shared" si="28"/>
        <v>-0.2213302752293578</v>
      </c>
      <c r="R33" s="21">
        <f t="shared" si="22"/>
        <v>0.65243004418262152</v>
      </c>
      <c r="S33" s="21">
        <f t="shared" si="22"/>
        <v>5.6149732620320858E-2</v>
      </c>
      <c r="T33" s="21">
        <f t="shared" si="23"/>
        <v>0.13640488392176373</v>
      </c>
      <c r="U33" s="21">
        <f t="shared" si="24"/>
        <v>-6.1954049052301285E-2</v>
      </c>
      <c r="V33" s="21">
        <f t="shared" si="25"/>
        <v>1.6110253682331379E-3</v>
      </c>
      <c r="W33" s="21">
        <f t="shared" si="26"/>
        <v>2.4712972491684306E-3</v>
      </c>
      <c r="X33" s="21">
        <f t="shared" si="27"/>
        <v>1.0589495533023717E-4</v>
      </c>
    </row>
    <row r="34" spans="15:24" x14ac:dyDescent="0.3">
      <c r="O34" s="19"/>
      <c r="P34" s="21"/>
      <c r="Q34" s="21"/>
      <c r="R34" s="21"/>
      <c r="S34" s="21">
        <f t="shared" si="22"/>
        <v>-0.57494407158836691</v>
      </c>
      <c r="T34" s="21">
        <f t="shared" si="23"/>
        <v>-1</v>
      </c>
      <c r="U34" s="21" t="e">
        <f t="shared" si="24"/>
        <v>#DIV/0!</v>
      </c>
      <c r="V34" s="21" t="e">
        <f t="shared" si="25"/>
        <v>#DIV/0!</v>
      </c>
      <c r="W34" s="21" t="e">
        <f t="shared" si="26"/>
        <v>#DIV/0!</v>
      </c>
      <c r="X34" s="21" t="e">
        <f t="shared" si="27"/>
        <v>#DIV/0!</v>
      </c>
    </row>
    <row r="35" spans="15:24" x14ac:dyDescent="0.3">
      <c r="O35" s="19"/>
      <c r="P35" s="21">
        <f t="shared" si="28"/>
        <v>0.80597014925373134</v>
      </c>
      <c r="Q35" s="21">
        <f t="shared" si="28"/>
        <v>0.12396694214876033</v>
      </c>
      <c r="R35" s="21">
        <f t="shared" si="22"/>
        <v>1.2573529411764706</v>
      </c>
      <c r="S35" s="21">
        <f t="shared" si="22"/>
        <v>-0.85667752442996747</v>
      </c>
      <c r="T35" s="21">
        <f t="shared" si="23"/>
        <v>2.0681818181818183</v>
      </c>
      <c r="U35" s="21">
        <f t="shared" si="24"/>
        <v>0</v>
      </c>
      <c r="V35" s="21">
        <f t="shared" si="25"/>
        <v>0</v>
      </c>
      <c r="W35" s="21">
        <f t="shared" si="26"/>
        <v>0</v>
      </c>
      <c r="X35" s="21">
        <f t="shared" si="27"/>
        <v>0</v>
      </c>
    </row>
    <row r="36" spans="15:24" x14ac:dyDescent="0.3">
      <c r="O36" s="19"/>
      <c r="P36" s="21">
        <f t="shared" si="28"/>
        <v>-0.38871260199456031</v>
      </c>
      <c r="Q36" s="21">
        <f t="shared" si="28"/>
        <v>0.18298109010011124</v>
      </c>
      <c r="R36" s="21">
        <f t="shared" si="22"/>
        <v>3.6044507130543802E-3</v>
      </c>
      <c r="S36" s="21">
        <f t="shared" si="22"/>
        <v>0.29122423485321675</v>
      </c>
      <c r="T36" s="21">
        <f t="shared" si="23"/>
        <v>0.17533399164574992</v>
      </c>
      <c r="U36" s="21">
        <f t="shared" si="24"/>
        <v>-0.61827532777087379</v>
      </c>
      <c r="V36" s="21">
        <f t="shared" si="25"/>
        <v>0.75456151935663274</v>
      </c>
      <c r="W36" s="21">
        <f t="shared" si="26"/>
        <v>8.6489247930985752E-3</v>
      </c>
      <c r="X36" s="21">
        <f t="shared" si="27"/>
        <v>-0.26314181293055233</v>
      </c>
    </row>
    <row r="37" spans="15:24" x14ac:dyDescent="0.3">
      <c r="O37" s="19"/>
      <c r="P37" s="21">
        <f t="shared" si="28"/>
        <v>-0.27542557835006548</v>
      </c>
      <c r="Q37" s="21">
        <f t="shared" si="28"/>
        <v>0.28614457831325302</v>
      </c>
      <c r="R37" s="21">
        <f t="shared" si="22"/>
        <v>-7.0257611241217793E-2</v>
      </c>
      <c r="S37" s="21">
        <f t="shared" si="22"/>
        <v>0.40196851385390442</v>
      </c>
      <c r="T37" s="21">
        <f t="shared" si="23"/>
        <v>0.18084723372437461</v>
      </c>
      <c r="U37" s="21">
        <f t="shared" si="24"/>
        <v>-0.4433729000362896</v>
      </c>
      <c r="V37" s="21">
        <f t="shared" si="25"/>
        <v>0.42077355507541025</v>
      </c>
      <c r="W37" s="21">
        <f t="shared" si="26"/>
        <v>3.9290131208046556E-3</v>
      </c>
      <c r="X37" s="21">
        <f t="shared" si="27"/>
        <v>-0.11144823617598516</v>
      </c>
    </row>
    <row r="38" spans="15:24" x14ac:dyDescent="0.3">
      <c r="O38" s="19"/>
      <c r="P38" s="21">
        <f t="shared" si="28"/>
        <v>-0.51107967939651111</v>
      </c>
      <c r="Q38" s="21">
        <f t="shared" si="28"/>
        <v>1.7839922854387655E-2</v>
      </c>
      <c r="R38" s="21">
        <f t="shared" si="22"/>
        <v>0.15300805305542398</v>
      </c>
      <c r="S38" s="21">
        <f t="shared" si="22"/>
        <v>0.1105936729663104</v>
      </c>
      <c r="T38" s="21">
        <f t="shared" si="23"/>
        <v>0.16398231373253255</v>
      </c>
      <c r="U38" s="21">
        <f t="shared" si="24"/>
        <v>-0.98361444149849353</v>
      </c>
      <c r="V38" s="21">
        <f t="shared" si="25"/>
        <v>24.43960049226202</v>
      </c>
      <c r="W38" s="21">
        <f t="shared" si="26"/>
        <v>2.7353673605396013E-2</v>
      </c>
      <c r="X38" s="21">
        <f t="shared" si="27"/>
        <v>-0.85058818728006957</v>
      </c>
    </row>
  </sheetData>
  <mergeCells count="3">
    <mergeCell ref="O4:X4"/>
    <mergeCell ref="O22:X22"/>
    <mergeCell ref="D3:M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65"/>
  <sheetViews>
    <sheetView showGridLines="0" zoomScale="86" zoomScaleNormal="85" workbookViewId="0">
      <pane xSplit="2" ySplit="3" topLeftCell="C4" activePane="bottomRight" state="frozen"/>
      <selection pane="topRight" activeCell="C1" sqref="C1"/>
      <selection pane="bottomLeft" activeCell="A4" sqref="A4"/>
      <selection pane="bottomRight" activeCell="D2" sqref="D2"/>
    </sheetView>
  </sheetViews>
  <sheetFormatPr defaultColWidth="9.1796875" defaultRowHeight="14" x14ac:dyDescent="0.3"/>
  <cols>
    <col min="1" max="1" width="9.1796875" style="17"/>
    <col min="2" max="2" width="56.36328125" style="17" bestFit="1" customWidth="1"/>
    <col min="3" max="3" width="11.36328125" style="17" bestFit="1" customWidth="1"/>
    <col min="4" max="4" width="12" style="17" bestFit="1" customWidth="1"/>
    <col min="5" max="6" width="12.6328125" style="17" bestFit="1" customWidth="1"/>
    <col min="7" max="11" width="13.453125" style="17" bestFit="1" customWidth="1"/>
    <col min="12" max="16384" width="9.1796875" style="17"/>
  </cols>
  <sheetData>
    <row r="2" spans="2:11" x14ac:dyDescent="0.3">
      <c r="B2" s="397" t="s">
        <v>408</v>
      </c>
      <c r="C2" s="398"/>
      <c r="D2" s="399"/>
      <c r="E2" s="399"/>
    </row>
    <row r="3" spans="2:11" ht="14.5" thickBot="1" x14ac:dyDescent="0.35"/>
    <row r="4" spans="2:11" x14ac:dyDescent="0.3">
      <c r="B4" s="400" t="s">
        <v>409</v>
      </c>
      <c r="C4" s="29" t="s">
        <v>410</v>
      </c>
      <c r="D4" s="30" t="s">
        <v>152</v>
      </c>
      <c r="E4" s="29" t="s">
        <v>153</v>
      </c>
      <c r="F4" s="31" t="s">
        <v>868</v>
      </c>
      <c r="G4" s="938" t="s">
        <v>932</v>
      </c>
      <c r="H4" s="938" t="s">
        <v>995</v>
      </c>
      <c r="I4" s="938" t="s">
        <v>996</v>
      </c>
      <c r="J4" s="938" t="s">
        <v>997</v>
      </c>
      <c r="K4" s="938" t="s">
        <v>998</v>
      </c>
    </row>
    <row r="5" spans="2:11" x14ac:dyDescent="0.3">
      <c r="B5" s="19"/>
      <c r="C5" s="19"/>
      <c r="D5" s="19"/>
      <c r="E5" s="136"/>
      <c r="F5" s="64"/>
      <c r="G5" s="939"/>
      <c r="H5" s="939"/>
      <c r="I5" s="939"/>
      <c r="J5" s="939"/>
      <c r="K5" s="939"/>
    </row>
    <row r="6" spans="2:11" x14ac:dyDescent="0.3">
      <c r="B6" s="401" t="s">
        <v>411</v>
      </c>
      <c r="C6" s="296">
        <f>'INCOME STATEMENT'!I26-'INCOME STATEMENT'!I30</f>
        <v>2074</v>
      </c>
      <c r="D6" s="296">
        <f>'INCOME STATEMENT'!J26-'INCOME STATEMENT'!J30</f>
        <v>2111</v>
      </c>
      <c r="E6" s="402">
        <f>'INCOME STATEMENT'!K26-'INCOME STATEMENT'!K30</f>
        <v>2434</v>
      </c>
      <c r="F6" s="403">
        <f>'INCOME STATEMENT'!L26-'INCOME STATEMENT'!L30</f>
        <v>2703.1849999999995</v>
      </c>
      <c r="G6" s="940">
        <f>'INCOME STATEMENT'!M26-'INCOME STATEMENT'!M30</f>
        <v>3146.4595307470718</v>
      </c>
      <c r="H6" s="940">
        <f>'INCOME STATEMENT'!N26-'INCOME STATEMENT'!N30</f>
        <v>51.556496713679735</v>
      </c>
      <c r="I6" s="940">
        <f>'INCOME STATEMENT'!O26-'INCOME STATEMENT'!O30</f>
        <v>1311.5766791765964</v>
      </c>
      <c r="J6" s="940">
        <f>'INCOME STATEMENT'!P26-'INCOME STATEMENT'!P30</f>
        <v>1347.4531195672471</v>
      </c>
      <c r="K6" s="940">
        <f>'INCOME STATEMENT'!Q26-'INCOME STATEMENT'!Q30</f>
        <v>201.32541314966875</v>
      </c>
    </row>
    <row r="7" spans="2:11" x14ac:dyDescent="0.3">
      <c r="B7" s="404" t="s">
        <v>412</v>
      </c>
      <c r="C7" s="19"/>
      <c r="D7" s="19"/>
      <c r="E7" s="136"/>
      <c r="F7" s="64"/>
      <c r="G7" s="939"/>
      <c r="H7" s="939"/>
      <c r="I7" s="939"/>
      <c r="J7" s="939"/>
      <c r="K7" s="939"/>
    </row>
    <row r="8" spans="2:11" x14ac:dyDescent="0.3">
      <c r="B8" s="404" t="s">
        <v>413</v>
      </c>
      <c r="C8" s="19"/>
      <c r="D8" s="19"/>
      <c r="E8" s="136"/>
      <c r="F8" s="64"/>
      <c r="G8" s="939"/>
      <c r="H8" s="939"/>
      <c r="I8" s="939"/>
      <c r="J8" s="939"/>
      <c r="K8" s="939"/>
    </row>
    <row r="9" spans="2:11" x14ac:dyDescent="0.3">
      <c r="B9" s="405" t="s">
        <v>414</v>
      </c>
      <c r="C9" s="405">
        <f>SUM(C6:C8)</f>
        <v>2074</v>
      </c>
      <c r="D9" s="405">
        <f>SUM(D6:D8)</f>
        <v>2111</v>
      </c>
      <c r="E9" s="406">
        <f>SUM(E6:E8)</f>
        <v>2434</v>
      </c>
      <c r="F9" s="407">
        <f>SUM(F6:F8)</f>
        <v>2703.1849999999995</v>
      </c>
      <c r="G9" s="941">
        <f>SUM(G6:G8)</f>
        <v>3146.4595307470718</v>
      </c>
      <c r="H9" s="941">
        <f t="shared" ref="H9:K9" si="0">SUM(H6:H8)</f>
        <v>51.556496713679735</v>
      </c>
      <c r="I9" s="941">
        <f t="shared" si="0"/>
        <v>1311.5766791765964</v>
      </c>
      <c r="J9" s="941">
        <f t="shared" si="0"/>
        <v>1347.4531195672471</v>
      </c>
      <c r="K9" s="941">
        <f t="shared" si="0"/>
        <v>201.32541314966875</v>
      </c>
    </row>
    <row r="10" spans="2:11" x14ac:dyDescent="0.3">
      <c r="B10" s="404" t="s">
        <v>415</v>
      </c>
      <c r="C10" s="107">
        <f>ANALYTICAL!E12</f>
        <v>1637</v>
      </c>
      <c r="D10" s="107">
        <f>ANALYTICAL!F12</f>
        <v>1547</v>
      </c>
      <c r="E10" s="408">
        <f>ANALYTICAL!G12</f>
        <v>3229</v>
      </c>
      <c r="F10" s="71">
        <f>ANALYTICAL!H12</f>
        <v>6667</v>
      </c>
      <c r="G10" s="942">
        <f>ANALYTICAL!I12</f>
        <v>6600</v>
      </c>
      <c r="H10" s="942">
        <f>ANALYTICAL!J12</f>
        <v>8153.320637266268</v>
      </c>
      <c r="I10" s="942">
        <f>ANALYTICAL!K12</f>
        <v>8166.4558436482412</v>
      </c>
      <c r="J10" s="942">
        <f>ANALYTICAL!L12</f>
        <v>8186.6375835101062</v>
      </c>
      <c r="K10" s="942">
        <f>ANALYTICAL!M12</f>
        <v>8187.5045071313161</v>
      </c>
    </row>
    <row r="11" spans="2:11" x14ac:dyDescent="0.3">
      <c r="B11" s="404" t="s">
        <v>416</v>
      </c>
      <c r="C11" s="107">
        <f>ANALYTICAL!E14</f>
        <v>3160</v>
      </c>
      <c r="D11" s="107">
        <f>ANALYTICAL!F14</f>
        <v>5657</v>
      </c>
      <c r="E11" s="408">
        <f>ANALYTICAL!G14</f>
        <v>7228</v>
      </c>
      <c r="F11" s="71">
        <f>ANALYTICAL!H14</f>
        <v>10233</v>
      </c>
      <c r="G11" s="942">
        <f>ANALYTICAL!I14</f>
        <v>11045.07703855955</v>
      </c>
      <c r="H11" s="942">
        <f>ANALYTICAL!J14</f>
        <v>12026.503579616061</v>
      </c>
      <c r="I11" s="942">
        <f>ANALYTICAL!K14</f>
        <v>12635.972588662469</v>
      </c>
      <c r="J11" s="942">
        <f>ANALYTICAL!L14</f>
        <v>12587.361108924808</v>
      </c>
      <c r="K11" s="942">
        <f>ANALYTICAL!M14</f>
        <v>14449.321906865793</v>
      </c>
    </row>
    <row r="12" spans="2:11" x14ac:dyDescent="0.3">
      <c r="B12" s="404" t="s">
        <v>10</v>
      </c>
      <c r="C12" s="296">
        <f>-ANALYTICAL!E15</f>
        <v>-872</v>
      </c>
      <c r="D12" s="296">
        <f>-ANALYTICAL!F15</f>
        <v>-679</v>
      </c>
      <c r="E12" s="402">
        <f>-ANALYTICAL!G15</f>
        <v>-1122</v>
      </c>
      <c r="F12" s="95">
        <f>-ANALYTICAL!H15</f>
        <v>-1185</v>
      </c>
      <c r="G12" s="846">
        <f>-ANALYTICAL!I15</f>
        <v>-1346.63978744729</v>
      </c>
      <c r="H12" s="846">
        <f>-ANALYTICAL!J15</f>
        <v>-1263.21</v>
      </c>
      <c r="I12" s="846">
        <f>-ANALYTICAL!K15</f>
        <v>-1265.2450633554058</v>
      </c>
      <c r="J12" s="846">
        <f>-ANALYTICAL!L15</f>
        <v>-1268.37186</v>
      </c>
      <c r="K12" s="846">
        <f>-ANALYTICAL!M15</f>
        <v>-1268.5061741814568</v>
      </c>
    </row>
    <row r="13" spans="2:11" x14ac:dyDescent="0.3">
      <c r="B13" s="409" t="s">
        <v>417</v>
      </c>
      <c r="C13" s="405">
        <f>SUM(C9:C12)</f>
        <v>5999</v>
      </c>
      <c r="D13" s="405">
        <f>SUM(D9:D12)</f>
        <v>8636</v>
      </c>
      <c r="E13" s="406">
        <f>SUM(E9:E12)</f>
        <v>11769</v>
      </c>
      <c r="F13" s="844">
        <f>SUM(F9:F12)</f>
        <v>18418.184999999998</v>
      </c>
      <c r="G13" s="941">
        <f>SUM(G9:G12)</f>
        <v>19444.89678185933</v>
      </c>
      <c r="H13" s="941">
        <f t="shared" ref="H13:K13" si="1">SUM(H9:H12)</f>
        <v>18968.17071359601</v>
      </c>
      <c r="I13" s="941">
        <f t="shared" si="1"/>
        <v>20848.760048131899</v>
      </c>
      <c r="J13" s="941">
        <f t="shared" si="1"/>
        <v>20853.079952002161</v>
      </c>
      <c r="K13" s="941">
        <f t="shared" si="1"/>
        <v>21569.645652965322</v>
      </c>
    </row>
    <row r="14" spans="2:11" x14ac:dyDescent="0.3">
      <c r="B14" s="290" t="s">
        <v>418</v>
      </c>
      <c r="C14" s="296">
        <f>'BALANCES SHEET'!D23-'BALANCES SHEET'!E23</f>
        <v>2128</v>
      </c>
      <c r="D14" s="296">
        <f>'BALANCES SHEET'!E23-'BALANCES SHEET'!F23</f>
        <v>-8</v>
      </c>
      <c r="E14" s="402">
        <f>'BALANCES SHEET'!F23-'BALANCES SHEET'!G23</f>
        <v>106</v>
      </c>
      <c r="F14" s="403">
        <f>'BALANCES SHEET'!G23-'BALANCES SHEET'!H23</f>
        <v>0</v>
      </c>
      <c r="G14" s="940">
        <f>'BALANCES SHEET'!H23-'BALANCES SHEET'!I23</f>
        <v>-0.13010250322245742</v>
      </c>
      <c r="H14" s="940">
        <f>'BALANCES SHEET'!I23-'BALANCES SHEET'!J23</f>
        <v>-0.19989749677754354</v>
      </c>
      <c r="I14" s="940">
        <f>'BALANCES SHEET'!J23-'BALANCES SHEET'!K23</f>
        <v>-8.5867652126818683E-3</v>
      </c>
      <c r="J14" s="940">
        <f>'BALANCES SHEET'!K23-'BALANCES SHEET'!L23</f>
        <v>-1.3193234787316932E-2</v>
      </c>
      <c r="K14" s="940">
        <f>'BALANCES SHEET'!L23-'BALANCES SHEET'!M23</f>
        <v>-5.6672650403744029E-4</v>
      </c>
    </row>
    <row r="15" spans="2:11" x14ac:dyDescent="0.3">
      <c r="B15" s="290" t="s">
        <v>419</v>
      </c>
      <c r="C15" s="296">
        <f>'BALANCES SHEET'!D21-'BALANCES SHEET'!E21</f>
        <v>229</v>
      </c>
      <c r="D15" s="296">
        <f>'BALANCES SHEET'!E21-'BALANCES SHEET'!F21</f>
        <v>9792</v>
      </c>
      <c r="E15" s="402">
        <f>'BALANCES SHEET'!F21-'BALANCES SHEET'!G21</f>
        <v>-74374</v>
      </c>
      <c r="F15" s="403">
        <f>'BALANCES SHEET'!G21-'BALANCES SHEET'!H21</f>
        <v>17751</v>
      </c>
      <c r="G15" s="940">
        <f>'BALANCES SHEET'!H21-'BALANCES SHEET'!I21</f>
        <v>-2959.8319483108935</v>
      </c>
      <c r="H15" s="940">
        <f>'BALANCES SHEET'!I21-'BALANCES SHEET'!J21</f>
        <v>-4547.6680516891065</v>
      </c>
      <c r="I15" s="940">
        <f>'BALANCES SHEET'!J21-'BALANCES SHEET'!K21</f>
        <v>-195.34890858852305</v>
      </c>
      <c r="J15" s="940">
        <f>'BALANCES SHEET'!K21-'BALANCES SHEET'!L21</f>
        <v>-300.1460914114723</v>
      </c>
      <c r="K15" s="940">
        <f>'BALANCES SHEET'!L21-'BALANCES SHEET'!M21</f>
        <v>-12.893027966856607</v>
      </c>
    </row>
    <row r="16" spans="2:11" x14ac:dyDescent="0.3">
      <c r="B16" s="290" t="s">
        <v>420</v>
      </c>
      <c r="C16" s="296">
        <f>'BALANCES SHEET'!D24-'BALANCES SHEET'!E24</f>
        <v>1369</v>
      </c>
      <c r="D16" s="296">
        <f>'BALANCES SHEET'!E24-'BALANCES SHEET'!F24</f>
        <v>412</v>
      </c>
      <c r="E16" s="402">
        <f>'BALANCES SHEET'!F24-'BALANCES SHEET'!G24</f>
        <v>-6899</v>
      </c>
      <c r="F16" s="403">
        <f>'BALANCES SHEET'!G24-'BALANCES SHEET'!H24</f>
        <v>1779</v>
      </c>
      <c r="G16" s="940">
        <f>'BALANCES SHEET'!H24-'BALANCES SHEET'!I24</f>
        <v>-384.19269201591487</v>
      </c>
      <c r="H16" s="940">
        <f>'BALANCES SHEET'!I24-'BALANCES SHEET'!J24</f>
        <v>-590.29730798408491</v>
      </c>
      <c r="I16" s="940">
        <f>'BALANCES SHEET'!J24-'BALANCES SHEET'!K24</f>
        <v>-25.356717673050298</v>
      </c>
      <c r="J16" s="940">
        <f>'BALANCES SHEET'!K24-'BALANCES SHEET'!L24</f>
        <v>-38.959622326949102</v>
      </c>
      <c r="K16" s="940">
        <f>'BALANCES SHEET'!L24-'BALANCES SHEET'!M24</f>
        <v>-1.6735433664216544</v>
      </c>
    </row>
    <row r="17" spans="2:11" x14ac:dyDescent="0.3">
      <c r="B17" s="290" t="s">
        <v>436</v>
      </c>
      <c r="C17" s="296">
        <f>'BALANCES SHEET'!D27-'BALANCES SHEET'!E27</f>
        <v>-26</v>
      </c>
      <c r="D17" s="296">
        <f>'BALANCES SHEET'!E27-'BALANCES SHEET'!F27</f>
        <v>-1119</v>
      </c>
      <c r="E17" s="402">
        <f>'BALANCES SHEET'!F27-'BALANCES SHEET'!G27</f>
        <v>-172</v>
      </c>
      <c r="F17" s="403">
        <f>'BALANCES SHEET'!G27-'BALANCES SHEET'!H27</f>
        <v>2069</v>
      </c>
      <c r="G17" s="940">
        <f>'BALANCES SHEET'!H27-'BALANCES SHEET'!I27</f>
        <v>-142.72979511970334</v>
      </c>
      <c r="H17" s="940">
        <f>'BALANCES SHEET'!I27-'BALANCES SHEET'!J27</f>
        <v>-198.49020488029782</v>
      </c>
      <c r="I17" s="940">
        <f>'BALANCES SHEET'!J27-'BALANCES SHEET'!K27</f>
        <v>-8.8787152299128138</v>
      </c>
      <c r="J17" s="940">
        <f>'BALANCES SHEET'!K27-'BALANCES SHEET'!L27</f>
        <v>-13.64180477008631</v>
      </c>
      <c r="K17" s="940">
        <f>'BALANCES SHEET'!L27-'BALANCES SHEET'!M27</f>
        <v>-0.58599520517418568</v>
      </c>
    </row>
    <row r="18" spans="2:11" x14ac:dyDescent="0.3">
      <c r="B18" s="290" t="s">
        <v>437</v>
      </c>
      <c r="C18" s="296">
        <f>'BALANCES SHEET'!D28-'BALANCES SHEET'!E28</f>
        <v>16</v>
      </c>
      <c r="D18" s="296">
        <f>'BALANCES SHEET'!E28-'BALANCES SHEET'!F28</f>
        <v>324</v>
      </c>
      <c r="E18" s="402">
        <f>'BALANCES SHEET'!F28-'BALANCES SHEET'!G28</f>
        <v>-342</v>
      </c>
      <c r="F18" s="403">
        <f>'BALANCES SHEET'!G28-'BALANCES SHEET'!H28</f>
        <v>246</v>
      </c>
      <c r="G18" s="940">
        <f>'BALANCES SHEET'!H28-'BALANCES SHEET'!I28</f>
        <v>-246</v>
      </c>
      <c r="H18" s="940">
        <f>'BALANCES SHEET'!I28-'BALANCES SHEET'!J28</f>
        <v>231.41400000000002</v>
      </c>
      <c r="I18" s="940">
        <f>'BALANCES SHEET'!J28-'BALANCES SHEET'!K28</f>
        <v>-0.37953502240054604</v>
      </c>
      <c r="J18" s="940">
        <f>'BALANCES SHEET'!K28-'BALANCES SHEET'!L28</f>
        <v>-0.58314097759944161</v>
      </c>
      <c r="K18" s="940">
        <f>'BALANCES SHEET'!L28-'BALANCES SHEET'!M28</f>
        <v>-2.5049311478454683E-2</v>
      </c>
    </row>
    <row r="19" spans="2:11" x14ac:dyDescent="0.3">
      <c r="B19" s="290" t="s">
        <v>421</v>
      </c>
      <c r="C19" s="296">
        <f>'BALANCES SHEET'!D29-'BALANCES SHEET'!E29</f>
        <v>76</v>
      </c>
      <c r="D19" s="296">
        <f>'BALANCES SHEET'!E29-'BALANCES SHEET'!F29</f>
        <v>-1403</v>
      </c>
      <c r="E19" s="402">
        <f>'BALANCES SHEET'!F29-'BALANCES SHEET'!G29</f>
        <v>789</v>
      </c>
      <c r="F19" s="403">
        <f>'BALANCES SHEET'!G29-'BALANCES SHEET'!H29</f>
        <v>924</v>
      </c>
      <c r="G19" s="940">
        <f>'BALANCES SHEET'!H29-'BALANCES SHEET'!I29</f>
        <v>-188.83077317707375</v>
      </c>
      <c r="H19" s="940">
        <f>'BALANCES SHEET'!I29-'BALANCES SHEET'!J29</f>
        <v>-290.13122682292669</v>
      </c>
      <c r="I19" s="940">
        <f>'BALANCES SHEET'!J29-'BALANCES SHEET'!K29</f>
        <v>-12.46283102968664</v>
      </c>
      <c r="J19" s="940">
        <f>'BALANCES SHEET'!K29-'BALANCES SHEET'!L29</f>
        <v>-19.148660970312449</v>
      </c>
      <c r="K19" s="940">
        <f>'BALANCES SHEET'!L29-'BALANCES SHEET'!M29</f>
        <v>-0.82254684796043875</v>
      </c>
    </row>
    <row r="20" spans="2:11" x14ac:dyDescent="0.3">
      <c r="B20" s="290" t="s">
        <v>422</v>
      </c>
      <c r="C20" s="296">
        <f>'BALANCES SHEET'!D16-'BALANCES SHEET'!E16</f>
        <v>-922</v>
      </c>
      <c r="D20" s="296">
        <f>'BALANCES SHEET'!E16-'BALANCES SHEET'!F16</f>
        <v>323</v>
      </c>
      <c r="E20" s="402">
        <f>'BALANCES SHEET'!F16-'BALANCES SHEET'!G16</f>
        <v>-5683</v>
      </c>
      <c r="F20" s="403">
        <f>'BALANCES SHEET'!G16-'BALANCES SHEET'!H16</f>
        <v>734</v>
      </c>
      <c r="G20" s="940">
        <f>'BALANCES SHEET'!H16-'BALANCES SHEET'!I16</f>
        <v>-797.69759770879318</v>
      </c>
      <c r="H20" s="940">
        <f>'BALANCES SHEET'!I16-'BALANCES SHEET'!J16</f>
        <v>1650.6542444963243</v>
      </c>
      <c r="I20" s="940">
        <f>'BALANCES SHEET'!J16-'BALANCES SHEET'!K16</f>
        <v>-1137.4139068355926</v>
      </c>
      <c r="J20" s="940">
        <f>'BALANCES SHEET'!K16-'BALANCES SHEET'!L16</f>
        <v>-1.5224355325817669</v>
      </c>
      <c r="K20" s="940">
        <f>'BALANCES SHEET'!L16-'BALANCES SHEET'!M16</f>
        <v>-44.787353436901867</v>
      </c>
    </row>
    <row r="21" spans="2:11" x14ac:dyDescent="0.3">
      <c r="B21" s="290" t="s">
        <v>438</v>
      </c>
      <c r="C21" s="296">
        <f>'BALANCES SHEET'!E49-'BALANCES SHEET'!D49</f>
        <v>167</v>
      </c>
      <c r="D21" s="296">
        <f>'BALANCES SHEET'!F49-'BALANCES SHEET'!E49</f>
        <v>7927</v>
      </c>
      <c r="E21" s="402">
        <f>'BALANCES SHEET'!G49-'BALANCES SHEET'!F49</f>
        <v>5579</v>
      </c>
      <c r="F21" s="403">
        <f>'BALANCES SHEET'!H49-'BALANCES SHEET'!G49</f>
        <v>-10825</v>
      </c>
      <c r="G21" s="940">
        <f>'BALANCES SHEET'!I49-'BALANCES SHEET'!H49</f>
        <v>626.80784002515429</v>
      </c>
      <c r="H21" s="940">
        <f>'BALANCES SHEET'!J49-'BALANCES SHEET'!I49</f>
        <v>2324.6395468950068</v>
      </c>
      <c r="I21" s="940">
        <f>'BALANCES SHEET'!K49-'BALANCES SHEET'!J49</f>
        <v>-2324.6395468950068</v>
      </c>
      <c r="J21" s="940">
        <f>'BALANCES SHEET'!L49-'BALANCES SHEET'!K49</f>
        <v>2324.6395468950068</v>
      </c>
      <c r="K21" s="940">
        <f>'BALANCES SHEET'!M49-'BALANCES SHEET'!L49</f>
        <v>-2324.6395468950068</v>
      </c>
    </row>
    <row r="22" spans="2:11" x14ac:dyDescent="0.3">
      <c r="B22" s="290" t="s">
        <v>440</v>
      </c>
      <c r="C22" s="296">
        <f>'BALANCES SHEET'!E51-'BALANCES SHEET'!D51</f>
        <v>1456</v>
      </c>
      <c r="D22" s="296">
        <f>'BALANCES SHEET'!F51-'BALANCES SHEET'!E51</f>
        <v>8469</v>
      </c>
      <c r="E22" s="402">
        <f>'BALANCES SHEET'!G51-'BALANCES SHEET'!F51</f>
        <v>-1378</v>
      </c>
      <c r="F22" s="403">
        <f>'BALANCES SHEET'!H51-'BALANCES SHEET'!G51</f>
        <v>6821</v>
      </c>
      <c r="G22" s="940">
        <f>'BALANCES SHEET'!I51-'BALANCES SHEET'!H51</f>
        <v>550.4116501329263</v>
      </c>
      <c r="H22" s="940">
        <f>'BALANCES SHEET'!J51-'BALANCES SHEET'!I51</f>
        <v>845.68634986707548</v>
      </c>
      <c r="I22" s="940">
        <f>'BALANCES SHEET'!K51-'BALANCES SHEET'!J51</f>
        <v>36.327168908770545</v>
      </c>
      <c r="J22" s="940">
        <f>'BALANCES SHEET'!L51-'BALANCES SHEET'!K51</f>
        <v>55.815299091227644</v>
      </c>
      <c r="K22" s="940">
        <f>'BALANCES SHEET'!M51-'BALANCES SHEET'!L51</f>
        <v>2.3975931479799328</v>
      </c>
    </row>
    <row r="23" spans="2:11" x14ac:dyDescent="0.3">
      <c r="B23" s="290" t="s">
        <v>454</v>
      </c>
      <c r="C23" s="296">
        <f>'BALANCES SHEET'!D17-'BALANCES SHEET'!E17</f>
        <v>-83</v>
      </c>
      <c r="D23" s="296">
        <f>'BALANCES SHEET'!E17-'BALANCES SHEET'!F17</f>
        <v>-743</v>
      </c>
      <c r="E23" s="402">
        <f>'BALANCES SHEET'!F17-'BALANCES SHEET'!G17</f>
        <v>-847</v>
      </c>
      <c r="F23" s="403">
        <f>'BALANCES SHEET'!G17-'BALANCES SHEET'!H17</f>
        <v>-1510</v>
      </c>
      <c r="G23" s="940">
        <f>'BALANCES SHEET'!H17-'BALANCES SHEET'!I17</f>
        <v>-726.27254685011576</v>
      </c>
      <c r="H23" s="940">
        <f>'BALANCES SHEET'!I17-'BALANCES SHEET'!J17</f>
        <v>1502.8563023916004</v>
      </c>
      <c r="I23" s="940">
        <f>'BALANCES SHEET'!J17-'BALANCES SHEET'!K17</f>
        <v>-1035.5709949646753</v>
      </c>
      <c r="J23" s="940">
        <f>'BALANCES SHEET'!K17-'BALANCES SHEET'!L17</f>
        <v>-1.3861181666325137</v>
      </c>
      <c r="K23" s="940">
        <f>'BALANCES SHEET'!L17-'BALANCES SHEET'!M17</f>
        <v>-40.777138279874634</v>
      </c>
    </row>
    <row r="24" spans="2:11" x14ac:dyDescent="0.3">
      <c r="B24" s="290" t="s">
        <v>423</v>
      </c>
      <c r="C24" s="296">
        <f>'BALANCES SHEET'!E50-'BALANCES SHEET'!D50</f>
        <v>104</v>
      </c>
      <c r="D24" s="296">
        <f>'BALANCES SHEET'!F50-'BALANCES SHEET'!E50</f>
        <v>4312</v>
      </c>
      <c r="E24" s="402">
        <f>'BALANCES SHEET'!G50-'BALANCES SHEET'!F50</f>
        <v>-1012</v>
      </c>
      <c r="F24" s="403">
        <f>'BALANCES SHEET'!H50-'BALANCES SHEET'!G50</f>
        <v>-281</v>
      </c>
      <c r="G24" s="940">
        <f>'BALANCES SHEET'!I50-'BALANCES SHEET'!H50</f>
        <v>318.72511239437517</v>
      </c>
      <c r="H24" s="940">
        <f>'BALANCES SHEET'!J50-'BALANCES SHEET'!I50</f>
        <v>489.70888760562593</v>
      </c>
      <c r="I24" s="940">
        <f>'BALANCES SHEET'!K50-'BALANCES SHEET'!J50</f>
        <v>21.035857418028172</v>
      </c>
      <c r="J24" s="940">
        <f>'BALANCES SHEET'!L50-'BALANCES SHEET'!K50</f>
        <v>32.320786581971333</v>
      </c>
      <c r="K24" s="940">
        <f>'BALANCES SHEET'!M50-'BALANCES SHEET'!L50</f>
        <v>1.3883665895900776</v>
      </c>
    </row>
    <row r="25" spans="2:11" x14ac:dyDescent="0.3">
      <c r="B25" s="290" t="s">
        <v>424</v>
      </c>
      <c r="C25" s="296">
        <f>'BALANCES SHEET'!E52-'BALANCES SHEET'!D52</f>
        <v>-3077</v>
      </c>
      <c r="D25" s="296">
        <f>'BALANCES SHEET'!F52-'BALANCES SHEET'!E52</f>
        <v>-7676</v>
      </c>
      <c r="E25" s="402">
        <f>'BALANCES SHEET'!G52-'BALANCES SHEET'!F52</f>
        <v>91662</v>
      </c>
      <c r="F25" s="403">
        <f>'BALANCES SHEET'!H52-'BALANCES SHEET'!G52</f>
        <v>-23478</v>
      </c>
      <c r="G25" s="940">
        <f>'BALANCES SHEET'!I52-'BALANCES SHEET'!H52</f>
        <v>2704.128488477465</v>
      </c>
      <c r="H25" s="940">
        <f>'BALANCES SHEET'!J52-'BALANCES SHEET'!I52</f>
        <v>4154.7895115225401</v>
      </c>
      <c r="I25" s="940">
        <f>'BALANCES SHEET'!K52-'BALANCES SHEET'!J52</f>
        <v>178.47248023950669</v>
      </c>
      <c r="J25" s="940">
        <f>'BALANCES SHEET'!L52-'BALANCES SHEET'!K52</f>
        <v>274.21610776048328</v>
      </c>
      <c r="K25" s="940">
        <f>'BALANCES SHEET'!M52-'BALANCES SHEET'!L52</f>
        <v>11.779183695805841</v>
      </c>
    </row>
    <row r="26" spans="2:11" x14ac:dyDescent="0.3">
      <c r="B26" s="290" t="s">
        <v>441</v>
      </c>
      <c r="C26" s="296">
        <f>'BALANCES SHEET'!E54-'BALANCES SHEET'!D54</f>
        <v>-889</v>
      </c>
      <c r="D26" s="296">
        <f>'BALANCES SHEET'!F54-'BALANCES SHEET'!E54</f>
        <v>31</v>
      </c>
      <c r="E26" s="402">
        <f>'BALANCES SHEET'!G54-'BALANCES SHEET'!F54</f>
        <v>-4</v>
      </c>
      <c r="F26" s="403">
        <f>'BALANCES SHEET'!H54-'BALANCES SHEET'!G54</f>
        <v>2</v>
      </c>
      <c r="G26" s="940">
        <f>'BALANCES SHEET'!I54-'BALANCES SHEET'!H54</f>
        <v>9.4714622345948101</v>
      </c>
      <c r="H26" s="940">
        <f>'BALANCES SHEET'!J54-'BALANCES SHEET'!I54</f>
        <v>14.552537765405191</v>
      </c>
      <c r="I26" s="940">
        <f>'BALANCES SHEET'!K54-'BALANCES SHEET'!J54</f>
        <v>0.62511650748325565</v>
      </c>
      <c r="J26" s="940">
        <f>'BALANCES SHEET'!L54-'BALANCES SHEET'!K54</f>
        <v>0.96046749251667052</v>
      </c>
      <c r="K26" s="940">
        <f>'BALANCES SHEET'!M54-'BALANCES SHEET'!L54</f>
        <v>4.1257689493932048E-2</v>
      </c>
    </row>
    <row r="27" spans="2:11" x14ac:dyDescent="0.3">
      <c r="B27" s="290" t="s">
        <v>439</v>
      </c>
      <c r="C27" s="296">
        <f>'BALANCES SHEET'!E53-'BALANCES SHEET'!D53</f>
        <v>643</v>
      </c>
      <c r="D27" s="296">
        <f>'BALANCES SHEET'!F53-'BALANCES SHEET'!E53</f>
        <v>-646</v>
      </c>
      <c r="E27" s="402">
        <f>'BALANCES SHEET'!G53-'BALANCES SHEET'!F53</f>
        <v>1111</v>
      </c>
      <c r="F27" s="403">
        <f>'BALANCES SHEET'!H53-'BALANCES SHEET'!G53</f>
        <v>2287</v>
      </c>
      <c r="G27" s="940">
        <f>'BALANCES SHEET'!I53-'BALANCES SHEET'!H53</f>
        <v>123.72748056455566</v>
      </c>
      <c r="H27" s="940">
        <f>'BALANCES SHEET'!J53-'BALANCES SHEET'!I53</f>
        <v>190.10251943544426</v>
      </c>
      <c r="I27" s="940">
        <f>'BALANCES SHEET'!K53-'BALANCES SHEET'!J53</f>
        <v>8.1660137172602845</v>
      </c>
      <c r="J27" s="940">
        <f>'BALANCES SHEET'!L53-'BALANCES SHEET'!K53</f>
        <v>12.546766282739554</v>
      </c>
      <c r="K27" s="940">
        <f>'BALANCES SHEET'!M53-'BALANCES SHEET'!L53</f>
        <v>0.53895690533954621</v>
      </c>
    </row>
    <row r="28" spans="2:11" x14ac:dyDescent="0.3">
      <c r="B28" s="290" t="s">
        <v>425</v>
      </c>
      <c r="C28" s="296">
        <f>'BALANCES SHEET'!E44-'BALANCES SHEET'!D44</f>
        <v>830</v>
      </c>
      <c r="D28" s="296">
        <f>'BALANCES SHEET'!F44-'BALANCES SHEET'!E44</f>
        <v>-302</v>
      </c>
      <c r="E28" s="402">
        <f>'BALANCES SHEET'!G44-'BALANCES SHEET'!F44</f>
        <v>217</v>
      </c>
      <c r="F28" s="403">
        <f>'BALANCES SHEET'!H44-'BALANCES SHEET'!G44</f>
        <v>304</v>
      </c>
      <c r="G28" s="940">
        <f>'BALANCES SHEET'!I44-'BALANCES SHEET'!H44</f>
        <v>417.94262433146878</v>
      </c>
      <c r="H28" s="940">
        <f>'BALANCES SHEET'!J44-'BALANCES SHEET'!I44</f>
        <v>-864.83746320685032</v>
      </c>
      <c r="I28" s="940">
        <f>'BALANCES SHEET'!K44-'BALANCES SHEET'!J44</f>
        <v>595.93228629418036</v>
      </c>
      <c r="J28" s="940">
        <f>'BALANCES SHEET'!L44-'BALANCES SHEET'!K44</f>
        <v>0.7976590423363632</v>
      </c>
      <c r="K28" s="940">
        <f>'BALANCES SHEET'!M44-'BALANCES SHEET'!L44</f>
        <v>23.465714433695666</v>
      </c>
    </row>
    <row r="29" spans="2:11" x14ac:dyDescent="0.3">
      <c r="B29" s="409" t="s">
        <v>426</v>
      </c>
      <c r="C29" s="405">
        <f>SUM(C13:C28)</f>
        <v>8020</v>
      </c>
      <c r="D29" s="405">
        <f>SUM(D13:D28)</f>
        <v>28329</v>
      </c>
      <c r="E29" s="406">
        <f>SUM(E13:E28)</f>
        <v>20522</v>
      </c>
      <c r="F29" s="845">
        <f>SUM(F13:F28)</f>
        <v>15241.184999999998</v>
      </c>
      <c r="G29" s="943">
        <f>SUM(G13:G28)</f>
        <v>18750.425984334153</v>
      </c>
      <c r="H29" s="943">
        <f t="shared" ref="H29:K29" si="2">SUM(H13:H28)</f>
        <v>23880.950461494984</v>
      </c>
      <c r="I29" s="943">
        <f t="shared" si="2"/>
        <v>16949.259228213068</v>
      </c>
      <c r="J29" s="943">
        <f t="shared" si="2"/>
        <v>23178.975517758023</v>
      </c>
      <c r="K29" s="943">
        <f t="shared" si="2"/>
        <v>19183.05195739105</v>
      </c>
    </row>
    <row r="30" spans="2:11" x14ac:dyDescent="0.3">
      <c r="B30" s="19"/>
      <c r="C30" s="19"/>
      <c r="D30" s="19"/>
      <c r="E30" s="136"/>
      <c r="F30" s="64"/>
      <c r="G30" s="939"/>
      <c r="H30" s="939"/>
      <c r="I30" s="939"/>
      <c r="J30" s="939"/>
      <c r="K30" s="939"/>
    </row>
    <row r="31" spans="2:11" x14ac:dyDescent="0.3">
      <c r="B31" s="410" t="s">
        <v>427</v>
      </c>
      <c r="C31" s="19"/>
      <c r="D31" s="19"/>
      <c r="E31" s="136"/>
      <c r="F31" s="64"/>
      <c r="G31" s="939"/>
      <c r="H31" s="939"/>
      <c r="I31" s="939"/>
      <c r="J31" s="939"/>
      <c r="K31" s="939"/>
    </row>
    <row r="32" spans="2:11" x14ac:dyDescent="0.3">
      <c r="B32" s="404" t="s">
        <v>412</v>
      </c>
      <c r="C32" s="19"/>
      <c r="D32" s="19"/>
      <c r="E32" s="136"/>
      <c r="F32" s="64"/>
      <c r="G32" s="939"/>
      <c r="H32" s="939"/>
      <c r="I32" s="939"/>
      <c r="J32" s="939"/>
      <c r="K32" s="939"/>
    </row>
    <row r="33" spans="2:12" x14ac:dyDescent="0.3">
      <c r="B33" s="404" t="s">
        <v>10</v>
      </c>
      <c r="C33" s="19">
        <f>ANALYTICAL!E15</f>
        <v>872</v>
      </c>
      <c r="D33" s="19">
        <f>ANALYTICAL!F15</f>
        <v>679</v>
      </c>
      <c r="E33" s="136">
        <f>ANALYTICAL!G15</f>
        <v>1122</v>
      </c>
      <c r="F33" s="64">
        <f>ANALYTICAL!H15</f>
        <v>1185</v>
      </c>
      <c r="G33" s="943">
        <f>ANALYTICAL!I15</f>
        <v>1346.63978744729</v>
      </c>
      <c r="H33" s="943">
        <f>ANALYTICAL!J15</f>
        <v>1263.21</v>
      </c>
      <c r="I33" s="943">
        <f>ANALYTICAL!K15</f>
        <v>1265.2450633554058</v>
      </c>
      <c r="J33" s="943">
        <f>ANALYTICAL!L15</f>
        <v>1268.37186</v>
      </c>
      <c r="K33" s="943">
        <f>ANALYTICAL!M15</f>
        <v>1268.5061741814568</v>
      </c>
    </row>
    <row r="34" spans="2:12" x14ac:dyDescent="0.3">
      <c r="B34" s="404" t="s">
        <v>442</v>
      </c>
      <c r="C34" s="296">
        <f>'BALANCES SHEET'!D6-'BALANCES SHEET'!E6-ANALYTICAL!E12</f>
        <v>-1506</v>
      </c>
      <c r="D34" s="296">
        <f>'BALANCES SHEET'!E6-'BALANCES SHEET'!F6-ANALYTICAL!F12</f>
        <v>-8216</v>
      </c>
      <c r="E34" s="402">
        <f>'BALANCES SHEET'!F6-'BALANCES SHEET'!G6-ANALYTICAL!G12</f>
        <v>-10324</v>
      </c>
      <c r="F34" s="403">
        <f>'BALANCES SHEET'!G6-'BALANCES SHEET'!H6-ANALYTICAL!H12</f>
        <v>-9588</v>
      </c>
      <c r="G34" s="846">
        <f>'BALANCES SHEET'!H6-'BALANCES SHEET'!I6-ANALYTICAL!I12</f>
        <v>-7192.2786356699144</v>
      </c>
      <c r="H34" s="846">
        <f>'BALANCES SHEET'!I6-'BALANCES SHEET'!J6-ANALYTICAL!J12</f>
        <v>-9063.3340015963549</v>
      </c>
      <c r="I34" s="846">
        <f>'BALANCES SHEET'!J6-'BALANCES SHEET'!K6-ANALYTICAL!K12</f>
        <v>-8205.5462336024539</v>
      </c>
      <c r="J34" s="846">
        <f>'BALANCES SHEET'!K6-'BALANCES SHEET'!L6-ANALYTICAL!L12</f>
        <v>-8246.6984655558917</v>
      </c>
      <c r="K34" s="846">
        <f>'BALANCES SHEET'!L6-'BALANCES SHEET'!M6-ANALYTICAL!M12</f>
        <v>-8190.0844728682951</v>
      </c>
      <c r="L34" s="411"/>
    </row>
    <row r="35" spans="2:12" x14ac:dyDescent="0.3">
      <c r="B35" s="290" t="s">
        <v>428</v>
      </c>
      <c r="C35" s="296">
        <f>'BALANCES SHEET'!D10-'BALANCES SHEET'!E10</f>
        <v>-5</v>
      </c>
      <c r="D35" s="296">
        <f>'BALANCES SHEET'!E10-'BALANCES SHEET'!F10</f>
        <v>-56</v>
      </c>
      <c r="E35" s="402">
        <f>'BALANCES SHEET'!F10-'BALANCES SHEET'!G10</f>
        <v>-13</v>
      </c>
      <c r="F35" s="403">
        <f>'BALANCES SHEET'!G10-'BALANCES SHEET'!H10</f>
        <v>44</v>
      </c>
      <c r="G35" s="846">
        <f>'BALANCES SHEET'!H10-'BALANCES SHEET'!I10</f>
        <v>-47.018378074760989</v>
      </c>
      <c r="H35" s="846">
        <f>'BALANCES SHEET'!I10-'BALANCES SHEET'!J10</f>
        <v>-4.637621925239003</v>
      </c>
      <c r="I35" s="846">
        <f>'BALANCES SHEET'!J10-'BALANCES SHEET'!K10</f>
        <v>-0.19921295293423213</v>
      </c>
      <c r="J35" s="846">
        <f>'BALANCES SHEET'!K10-'BALANCES SHEET'!L10</f>
        <v>-0.30608304706576916</v>
      </c>
      <c r="K35" s="846">
        <f>'BALANCES SHEET'!L10-'BALANCES SHEET'!M10</f>
        <v>-1.314805489366222E-2</v>
      </c>
    </row>
    <row r="36" spans="2:12" x14ac:dyDescent="0.3">
      <c r="B36" s="299" t="s">
        <v>429</v>
      </c>
      <c r="C36" s="296">
        <f>'BALANCES SHEET'!D7-'BALANCES SHEET'!E7</f>
        <v>-8133</v>
      </c>
      <c r="D36" s="296">
        <f>'BALANCES SHEET'!E7-'BALANCES SHEET'!F7</f>
        <v>-7129</v>
      </c>
      <c r="E36" s="402">
        <f>'BALANCES SHEET'!F7-'BALANCES SHEET'!G7</f>
        <v>8631</v>
      </c>
      <c r="F36" s="403">
        <f>'BALANCES SHEET'!G7-'BALANCES SHEET'!H7</f>
        <v>-4981</v>
      </c>
      <c r="G36" s="846">
        <f>'BALANCES SHEET'!H7-'BALANCES SHEET'!I7</f>
        <v>-557.6453493120971</v>
      </c>
      <c r="H36" s="846">
        <f>'BALANCES SHEET'!I7-'BALANCES SHEET'!J7</f>
        <v>-856.80065068790645</v>
      </c>
      <c r="I36" s="846">
        <f>'BALANCES SHEET'!J7-'BALANCES SHEET'!K7</f>
        <v>543.50312587498411</v>
      </c>
      <c r="J36" s="846">
        <f>'BALANCES SHEET'!K7-'BALANCES SHEET'!L7</f>
        <v>783.36929438768493</v>
      </c>
      <c r="K36" s="846">
        <f>'BALANCES SHEET'!L7-'BALANCES SHEET'!M7</f>
        <v>32.336165154771152</v>
      </c>
    </row>
    <row r="37" spans="2:12" x14ac:dyDescent="0.3">
      <c r="B37" s="290" t="s">
        <v>443</v>
      </c>
      <c r="C37" s="296">
        <f>'BALANCES SHEET'!D8-'BALANCES SHEET'!E8</f>
        <v>796</v>
      </c>
      <c r="D37" s="296">
        <f>'BALANCES SHEET'!E8-'BALANCES SHEET'!F8</f>
        <v>-8400</v>
      </c>
      <c r="E37" s="402">
        <f>'BALANCES SHEET'!F8-'BALANCES SHEET'!G8</f>
        <v>-8868</v>
      </c>
      <c r="F37" s="403">
        <f>'BALANCES SHEET'!G8-'BALANCES SHEET'!H8</f>
        <v>-17557</v>
      </c>
      <c r="G37" s="846">
        <f>'BALANCES SHEET'!H8-'BALANCES SHEET'!I8</f>
        <v>-1609.4980673650061</v>
      </c>
      <c r="H37" s="846">
        <f>'BALANCES SHEET'!I8-'BALANCES SHEET'!J8</f>
        <v>-2472.9319326349869</v>
      </c>
      <c r="I37" s="846">
        <f>'BALANCES SHEET'!J8-'BALANCES SHEET'!K8</f>
        <v>7821.1214493647058</v>
      </c>
      <c r="J37" s="846">
        <f>'BALANCES SHEET'!K8-'BALANCES SHEET'!L8</f>
        <v>-3991.4497795710922</v>
      </c>
      <c r="K37" s="846">
        <f>'BALANCES SHEET'!L8-'BALANCES SHEET'!M8</f>
        <v>93.329919072784833</v>
      </c>
    </row>
    <row r="38" spans="2:12" x14ac:dyDescent="0.3">
      <c r="B38" s="290" t="s">
        <v>444</v>
      </c>
      <c r="C38" s="296">
        <f>'BALANCES SHEET'!D9-'BALANCES SHEET'!E9</f>
        <v>0</v>
      </c>
      <c r="D38" s="296">
        <f>'BALANCES SHEET'!E9-'BALANCES SHEET'!F9</f>
        <v>0</v>
      </c>
      <c r="E38" s="402">
        <f>'BALANCES SHEET'!F9-'BALANCES SHEET'!G9</f>
        <v>0</v>
      </c>
      <c r="F38" s="403">
        <f>'BALANCES SHEET'!G9-'BALANCES SHEET'!H9</f>
        <v>-2098</v>
      </c>
      <c r="G38" s="846">
        <f>'BALANCES SHEET'!H9-'BALANCES SHEET'!I9</f>
        <v>-134.44792683008654</v>
      </c>
      <c r="H38" s="846">
        <f>'BALANCES SHEET'!I9-'BALANCES SHEET'!J9</f>
        <v>2232.4479268300865</v>
      </c>
      <c r="I38" s="846">
        <f>'BALANCES SHEET'!J9-'BALANCES SHEET'!K9</f>
        <v>0</v>
      </c>
      <c r="J38" s="846">
        <f>'BALANCES SHEET'!K9-'BALANCES SHEET'!L9</f>
        <v>0</v>
      </c>
      <c r="K38" s="846">
        <f>'BALANCES SHEET'!L9-'BALANCES SHEET'!M9</f>
        <v>0</v>
      </c>
    </row>
    <row r="39" spans="2:12" x14ac:dyDescent="0.3">
      <c r="B39" s="290" t="s">
        <v>445</v>
      </c>
      <c r="C39" s="296">
        <f>'BALANCES SHEET'!D13-'BALANCES SHEET'!E13</f>
        <v>-550</v>
      </c>
      <c r="D39" s="296">
        <f>'BALANCES SHEET'!E13-'BALANCES SHEET'!F13</f>
        <v>-787</v>
      </c>
      <c r="E39" s="402">
        <f>'BALANCES SHEET'!F13-'BALANCES SHEET'!G13</f>
        <v>-3544</v>
      </c>
      <c r="F39" s="403">
        <f>'BALANCES SHEET'!G13-'BALANCES SHEET'!H13</f>
        <v>-109</v>
      </c>
      <c r="G39" s="846">
        <f>'BALANCES SHEET'!H13-'BALANCES SHEET'!I13</f>
        <v>-205.2497090837478</v>
      </c>
      <c r="H39" s="846">
        <f>'BALANCES SHEET'!I13-'BALANCES SHEET'!J13</f>
        <v>-315.35829091625237</v>
      </c>
      <c r="I39" s="846">
        <f>'BALANCES SHEET'!J13-'BALANCES SHEET'!K13</f>
        <v>-13.546480799526762</v>
      </c>
      <c r="J39" s="846">
        <f>'BALANCES SHEET'!K13-'BALANCES SHEET'!L13</f>
        <v>-20.813647200473497</v>
      </c>
      <c r="K39" s="846">
        <f>'BALANCES SHEET'!L13-'BALANCES SHEET'!M13</f>
        <v>-0.89406773276823515</v>
      </c>
    </row>
    <row r="40" spans="2:12" x14ac:dyDescent="0.3">
      <c r="B40" s="290" t="s">
        <v>446</v>
      </c>
      <c r="C40" s="296">
        <f>'BALANCES SHEET'!D14-'BALANCES SHEET'!E14</f>
        <v>699</v>
      </c>
      <c r="D40" s="296">
        <f>'BALANCES SHEET'!E14-'BALANCES SHEET'!F14</f>
        <v>17</v>
      </c>
      <c r="E40" s="402">
        <f>'BALANCES SHEET'!F14-'BALANCES SHEET'!G14</f>
        <v>61</v>
      </c>
      <c r="F40" s="403">
        <f>'BALANCES SHEET'!G14-'BALANCES SHEET'!H14</f>
        <v>-3008</v>
      </c>
      <c r="G40" s="846">
        <f>'BALANCES SHEET'!H14-'BALANCES SHEET'!I14</f>
        <v>-332.69569845020123</v>
      </c>
      <c r="H40" s="846">
        <f>'BALANCES SHEET'!I14-'BALANCES SHEET'!J14</f>
        <v>-462.67030154980057</v>
      </c>
      <c r="I40" s="846">
        <f>'BALANCES SHEET'!J14-'BALANCES SHEET'!K14</f>
        <v>-20.695821515604621</v>
      </c>
      <c r="J40" s="846">
        <f>'BALANCES SHEET'!K14-'BALANCES SHEET'!L14</f>
        <v>-31.798334484392399</v>
      </c>
      <c r="K40" s="846">
        <f>'BALANCES SHEET'!L14-'BALANCES SHEET'!M14</f>
        <v>-1.3659242200319568</v>
      </c>
    </row>
    <row r="41" spans="2:12" x14ac:dyDescent="0.3">
      <c r="B41" s="290" t="s">
        <v>447</v>
      </c>
      <c r="C41" s="296">
        <f>'BALANCES SHEET'!D15-'BALANCES SHEET'!E15</f>
        <v>-158</v>
      </c>
      <c r="D41" s="296">
        <f>'BALANCES SHEET'!E15-'BALANCES SHEET'!F15</f>
        <v>-418</v>
      </c>
      <c r="E41" s="402">
        <f>'BALANCES SHEET'!F15-'BALANCES SHEET'!G15</f>
        <v>-39</v>
      </c>
      <c r="F41" s="403">
        <f>'BALANCES SHEET'!G15-'BALANCES SHEET'!H15</f>
        <v>631</v>
      </c>
      <c r="G41" s="846">
        <f>'BALANCES SHEET'!H15-'BALANCES SHEET'!I15</f>
        <v>-33.000938720323802</v>
      </c>
      <c r="H41" s="846">
        <f>'BALANCES SHEET'!I15-'BALANCES SHEET'!J15</f>
        <v>-33.892151450620304</v>
      </c>
      <c r="I41" s="846">
        <f>'BALANCES SHEET'!J15-'BALANCES SHEET'!K15</f>
        <v>-34.807431985090034</v>
      </c>
      <c r="J41" s="846">
        <f>'BALANCES SHEET'!K15-'BALANCES SHEET'!L15</f>
        <v>-35.747430291106184</v>
      </c>
      <c r="K41" s="846">
        <f>'BALANCES SHEET'!L15-'BALANCES SHEET'!M15</f>
        <v>-36.712813888852452</v>
      </c>
    </row>
    <row r="42" spans="2:12" x14ac:dyDescent="0.3">
      <c r="B42" s="290"/>
      <c r="C42" s="296">
        <f>'BALANCES SHEET'!E45-'BALANCES SHEET'!D45</f>
        <v>0</v>
      </c>
      <c r="D42" s="296">
        <f>'BALANCES SHEET'!F45-'BALANCES SHEET'!E45</f>
        <v>0</v>
      </c>
      <c r="E42" s="402">
        <f>'BALANCES SHEET'!G45-'BALANCES SHEET'!F45</f>
        <v>290</v>
      </c>
      <c r="F42" s="403">
        <f>'BALANCES SHEET'!H45-'BALANCES SHEET'!G45</f>
        <v>160</v>
      </c>
      <c r="G42" s="846">
        <f>'BALANCES SHEET'!I45-'BALANCES SHEET'!H45</f>
        <v>63.646084923573881</v>
      </c>
      <c r="H42" s="846">
        <f>'BALANCES SHEET'!J45-'BALANCES SHEET'!I45</f>
        <v>-131.70113652896197</v>
      </c>
      <c r="I42" s="846">
        <f>'BALANCES SHEET'!K45-'BALANCES SHEET'!J45</f>
        <v>90.751109587946246</v>
      </c>
      <c r="J42" s="846">
        <f>'BALANCES SHEET'!L45-'BALANCES SHEET'!K45</f>
        <v>0.1214709201527171</v>
      </c>
      <c r="K42" s="846">
        <f>'BALANCES SHEET'!M45-'BALANCES SHEET'!L45</f>
        <v>3.5734590508166661</v>
      </c>
    </row>
    <row r="43" spans="2:12" x14ac:dyDescent="0.3">
      <c r="B43" s="299" t="s">
        <v>430</v>
      </c>
      <c r="C43" s="296">
        <f>'BALANCES SHEET'!D18-'BALANCES SHEET'!E18</f>
        <v>-935</v>
      </c>
      <c r="D43" s="296">
        <f>'BALANCES SHEET'!E18-'BALANCES SHEET'!F18</f>
        <v>-1015</v>
      </c>
      <c r="E43" s="402">
        <f>'BALANCES SHEET'!F18-'BALANCES SHEET'!G18</f>
        <v>761</v>
      </c>
      <c r="F43" s="403">
        <f>'BALANCES SHEET'!G18-'BALANCES SHEET'!H18</f>
        <v>-343</v>
      </c>
      <c r="G43" s="846">
        <f>'BALANCES SHEET'!H18-'BALANCES SHEET'!I18</f>
        <v>-99.320250960023714</v>
      </c>
      <c r="H43" s="846">
        <f>'BALANCES SHEET'!I18-'BALANCES SHEET'!J18</f>
        <v>-152.60174903997677</v>
      </c>
      <c r="I43" s="846">
        <f>'BALANCES SHEET'!J18-'BALANCES SHEET'!K18</f>
        <v>-6.5551365633614296</v>
      </c>
      <c r="J43" s="846">
        <f>'BALANCES SHEET'!K18-'BALANCES SHEET'!L18</f>
        <v>-10.071715436637987</v>
      </c>
      <c r="K43" s="846">
        <f>'BALANCES SHEET'!L18-'BALANCES SHEET'!M18</f>
        <v>-0.43263901318232456</v>
      </c>
    </row>
    <row r="44" spans="2:12" x14ac:dyDescent="0.3">
      <c r="B44" s="412" t="s">
        <v>431</v>
      </c>
      <c r="C44" s="413">
        <f>SUM(C32:C43)</f>
        <v>-8920</v>
      </c>
      <c r="D44" s="413">
        <f>SUM(D32:D43)</f>
        <v>-25325</v>
      </c>
      <c r="E44" s="414">
        <f>SUM(E32:E43)</f>
        <v>-11923</v>
      </c>
      <c r="F44" s="415">
        <f>SUM(F32:F43)</f>
        <v>-35664</v>
      </c>
      <c r="G44" s="846">
        <f>SUM(G32:G43)</f>
        <v>-8800.8690820952979</v>
      </c>
      <c r="H44" s="846">
        <f t="shared" ref="H44:K44" si="3">SUM(H32:H43)</f>
        <v>-9998.2699095000135</v>
      </c>
      <c r="I44" s="846">
        <f t="shared" si="3"/>
        <v>1439.2704307640704</v>
      </c>
      <c r="J44" s="846">
        <f t="shared" si="3"/>
        <v>-10285.022830278822</v>
      </c>
      <c r="K44" s="846">
        <f t="shared" si="3"/>
        <v>-6831.757348318195</v>
      </c>
    </row>
    <row r="45" spans="2:12" x14ac:dyDescent="0.3">
      <c r="B45" s="19"/>
      <c r="C45" s="19"/>
      <c r="D45" s="19"/>
      <c r="E45" s="136"/>
      <c r="F45" s="64"/>
      <c r="G45" s="939"/>
      <c r="H45" s="939"/>
      <c r="I45" s="939"/>
      <c r="J45" s="939"/>
      <c r="K45" s="939"/>
    </row>
    <row r="46" spans="2:12" x14ac:dyDescent="0.3">
      <c r="B46" s="410" t="s">
        <v>432</v>
      </c>
      <c r="C46" s="19"/>
      <c r="D46" s="19"/>
      <c r="E46" s="136"/>
      <c r="F46" s="64"/>
      <c r="G46" s="939"/>
      <c r="H46" s="939"/>
      <c r="I46" s="939"/>
      <c r="J46" s="939"/>
      <c r="K46" s="939"/>
    </row>
    <row r="47" spans="2:12" x14ac:dyDescent="0.3">
      <c r="B47" s="404" t="s">
        <v>416</v>
      </c>
      <c r="C47" s="296">
        <f>-ANALYTICAL!E14</f>
        <v>-3160</v>
      </c>
      <c r="D47" s="296">
        <f>-ANALYTICAL!F14</f>
        <v>-5657</v>
      </c>
      <c r="E47" s="402">
        <f>-ANALYTICAL!G14</f>
        <v>-7228</v>
      </c>
      <c r="F47" s="403">
        <f>-ANALYTICAL!H14</f>
        <v>-10233</v>
      </c>
      <c r="G47" s="846">
        <f>-ANALYTICAL!I14</f>
        <v>-11045.07703855955</v>
      </c>
      <c r="H47" s="846">
        <f>-ANALYTICAL!J14</f>
        <v>-12026.503579616061</v>
      </c>
      <c r="I47" s="846">
        <f>-ANALYTICAL!K14</f>
        <v>-12635.972588662469</v>
      </c>
      <c r="J47" s="846">
        <f>-ANALYTICAL!L14</f>
        <v>-12587.361108924808</v>
      </c>
      <c r="K47" s="846">
        <f>-ANALYTICAL!M14</f>
        <v>-14449.321906865793</v>
      </c>
    </row>
    <row r="48" spans="2:12" x14ac:dyDescent="0.3">
      <c r="B48" s="404" t="s">
        <v>413</v>
      </c>
      <c r="C48" s="296">
        <f>'BALANCES SHEET'!E37-'BALANCES SHEET'!D37</f>
        <v>-239</v>
      </c>
      <c r="D48" s="296">
        <f>'BALANCES SHEET'!F37-'BALANCES SHEET'!E37</f>
        <v>273</v>
      </c>
      <c r="E48" s="402">
        <f>'BALANCES SHEET'!G37-'BALANCES SHEET'!F37</f>
        <v>-1180</v>
      </c>
      <c r="F48" s="403">
        <f>'BALANCES SHEET'!H37-'BALANCES SHEET'!G37</f>
        <v>1164</v>
      </c>
      <c r="G48" s="846">
        <f>'BALANCES SHEET'!I37-'BALANCES SHEET'!H37</f>
        <v>59.430823472018346</v>
      </c>
      <c r="H48" s="846">
        <f>'BALANCES SHEET'!J37-'BALANCES SHEET'!I37</f>
        <v>91.313176527981796</v>
      </c>
      <c r="I48" s="846">
        <f>'BALANCES SHEET'!K37-'BALANCES SHEET'!J37</f>
        <v>3.9224343491528089</v>
      </c>
      <c r="J48" s="846">
        <f>'BALANCES SHEET'!L37-'BALANCES SHEET'!K37</f>
        <v>6.0266696508469977</v>
      </c>
      <c r="K48" s="846">
        <f>'BALANCES SHEET'!M37-'BALANCES SHEET'!L37</f>
        <v>0.25888066704419543</v>
      </c>
    </row>
    <row r="49" spans="2:11" x14ac:dyDescent="0.3">
      <c r="B49" s="290" t="s">
        <v>433</v>
      </c>
      <c r="C49" s="296">
        <f>'BALANCES SHEET'!E34-'BALANCES SHEET'!D34</f>
        <v>0</v>
      </c>
      <c r="D49" s="296">
        <f>'BALANCES SHEET'!F34-'BALANCES SHEET'!E34</f>
        <v>0</v>
      </c>
      <c r="E49" s="402">
        <f>'BALANCES SHEET'!G34-'BALANCES SHEET'!F34</f>
        <v>0</v>
      </c>
      <c r="F49" s="403">
        <f>'BALANCES SHEET'!H34-'BALANCES SHEET'!G34</f>
        <v>259</v>
      </c>
      <c r="G49" s="846">
        <f>'BALANCES SHEET'!I34-'BALANCES SHEET'!H34</f>
        <v>0</v>
      </c>
      <c r="H49" s="846">
        <f>'BALANCES SHEET'!J34-'BALANCES SHEET'!I34</f>
        <v>0</v>
      </c>
      <c r="I49" s="846">
        <f>'BALANCES SHEET'!K34-'BALANCES SHEET'!J34</f>
        <v>0</v>
      </c>
      <c r="J49" s="846">
        <f>'BALANCES SHEET'!L34-'BALANCES SHEET'!K34</f>
        <v>0</v>
      </c>
      <c r="K49" s="846">
        <f>'BALANCES SHEET'!M34-'BALANCES SHEET'!L34</f>
        <v>0</v>
      </c>
    </row>
    <row r="50" spans="2:11" x14ac:dyDescent="0.3">
      <c r="B50" s="290" t="s">
        <v>448</v>
      </c>
      <c r="C50" s="296">
        <f>'BALANCES SHEET'!E35-'BALANCES SHEET'!D35-'INCOME STATEMENT'!I53</f>
        <v>75</v>
      </c>
      <c r="D50" s="296">
        <f>'BALANCES SHEET'!F35-'BALANCES SHEET'!E35-'INCOME STATEMENT'!J53</f>
        <v>1609</v>
      </c>
      <c r="E50" s="402">
        <f>'BALANCES SHEET'!G35-'BALANCES SHEET'!F35-'INCOME STATEMENT'!K53</f>
        <v>-6952</v>
      </c>
      <c r="F50" s="403">
        <f>'BALANCES SHEET'!H35-'BALANCES SHEET'!G35-'INCOME STATEMENT'!L53</f>
        <v>8916.8150000000005</v>
      </c>
      <c r="G50" s="846">
        <f>'BALANCES SHEET'!I35-'BALANCES SHEET'!H35-'INCOME STATEMENT'!M53</f>
        <v>-1386.6376301216396</v>
      </c>
      <c r="H50" s="846">
        <f>'BALANCES SHEET'!J35-'BALANCES SHEET'!I35-'INCOME STATEMENT'!N53</f>
        <v>-17216.435995724751</v>
      </c>
      <c r="I50" s="846">
        <f>'BALANCES SHEET'!K35-'BALANCES SHEET'!J35-'INCOME STATEMENT'!O53</f>
        <v>5903.3344849328396</v>
      </c>
      <c r="J50" s="846">
        <f>'BALANCES SHEET'!L35-'BALANCES SHEET'!K35-'INCOME STATEMENT'!P53</f>
        <v>-919.22640064587154</v>
      </c>
      <c r="K50" s="846">
        <f>'BALANCES SHEET'!M35-'BALANCES SHEET'!L35-'INCOME STATEMENT'!Q53</f>
        <v>-6526.9618461649725</v>
      </c>
    </row>
    <row r="51" spans="2:11" x14ac:dyDescent="0.3">
      <c r="B51" s="290" t="s">
        <v>438</v>
      </c>
      <c r="C51" s="296">
        <f>'BALANCES SHEET'!E41-'BALANCES SHEET'!D41</f>
        <v>3879</v>
      </c>
      <c r="D51" s="296">
        <f>'BALANCES SHEET'!F41-'BALANCES SHEET'!E41</f>
        <v>4741</v>
      </c>
      <c r="E51" s="402">
        <f>'BALANCES SHEET'!G41-'BALANCES SHEET'!F41</f>
        <v>7451</v>
      </c>
      <c r="F51" s="403">
        <f>'BALANCES SHEET'!H41-'BALANCES SHEET'!G41</f>
        <v>14986</v>
      </c>
      <c r="G51" s="846">
        <f>'BALANCES SHEET'!I41-'BALANCES SHEET'!H41</f>
        <v>1617.9547300744671</v>
      </c>
      <c r="H51" s="846">
        <f>'BALANCES SHEET'!J41-'BALANCES SHEET'!I41</f>
        <v>10550.676091731839</v>
      </c>
      <c r="I51" s="846">
        <f>'BALANCES SHEET'!K41-'BALANCES SHEET'!J41</f>
        <v>1934.58859621585</v>
      </c>
      <c r="J51" s="846">
        <f>'BALANCES SHEET'!L41-'BALANCES SHEET'!K41</f>
        <v>12615.444221045807</v>
      </c>
      <c r="K51" s="846">
        <f>'BALANCES SHEET'!M41-'BALANCES SHEET'!L41</f>
        <v>2313.1877345147805</v>
      </c>
    </row>
    <row r="52" spans="2:11" x14ac:dyDescent="0.3">
      <c r="B52" s="290" t="s">
        <v>440</v>
      </c>
      <c r="C52" s="296">
        <f>'BALANCES SHEET'!E42-'BALANCES SHEET'!D42</f>
        <v>-454</v>
      </c>
      <c r="D52" s="296">
        <f>'BALANCES SHEET'!F42-'BALANCES SHEET'!E42</f>
        <v>52</v>
      </c>
      <c r="E52" s="402">
        <f>'BALANCES SHEET'!G42-'BALANCES SHEET'!F42</f>
        <v>-479</v>
      </c>
      <c r="F52" s="403">
        <f>'BALANCES SHEET'!H42-'BALANCES SHEET'!G42</f>
        <v>8152</v>
      </c>
      <c r="G52" s="846">
        <f>'BALANCES SHEET'!I42-'BALANCES SHEET'!H42</f>
        <v>243.94219354210691</v>
      </c>
      <c r="H52" s="846">
        <f>'BALANCES SHEET'!J42-'BALANCES SHEET'!I42</f>
        <v>374.80780645789309</v>
      </c>
      <c r="I52" s="846">
        <f>'BALANCES SHEET'!K42-'BALANCES SHEET'!J42</f>
        <v>16.100184773778892</v>
      </c>
      <c r="J52" s="846">
        <f>'BALANCES SHEET'!L42-'BALANCES SHEET'!K42</f>
        <v>24.737315226220744</v>
      </c>
      <c r="K52" s="846">
        <f>'BALANCES SHEET'!M42-'BALANCES SHEET'!L42</f>
        <v>1.0626121950699599</v>
      </c>
    </row>
    <row r="53" spans="2:11" x14ac:dyDescent="0.3">
      <c r="B53" s="290" t="str">
        <f>NOTES!C644</f>
        <v>Dividend distributed to equity shareholders</v>
      </c>
      <c r="C53" s="416">
        <f>NOTES!F644</f>
        <v>0</v>
      </c>
      <c r="D53" s="296">
        <f>-NOTES!G644</f>
        <v>-450</v>
      </c>
      <c r="E53" s="402">
        <f>-NOTES!H644</f>
        <v>-450</v>
      </c>
      <c r="F53" s="403">
        <f>-'INCOME STATEMENT'!L50</f>
        <v>-450</v>
      </c>
      <c r="G53" s="846">
        <f>-'INCOME STATEMENT'!M50</f>
        <v>-444.06003974644489</v>
      </c>
      <c r="H53" s="846">
        <f>-'INCOME STATEMENT'!N50</f>
        <v>-7.2761717594468012</v>
      </c>
      <c r="I53" s="846">
        <f>-'INCOME STATEMENT'!O50</f>
        <v>-185.10290267340079</v>
      </c>
      <c r="J53" s="846">
        <f>-'INCOME STATEMENT'!P50</f>
        <v>-190.16614705654109</v>
      </c>
      <c r="K53" s="846">
        <f>-'INCOME STATEMENT'!Q50</f>
        <v>-28.413068749682836</v>
      </c>
    </row>
    <row r="54" spans="2:11" x14ac:dyDescent="0.3">
      <c r="B54" s="290" t="str">
        <f>NOTES!C645</f>
        <v>Dividend distribution tax on dividend</v>
      </c>
      <c r="C54" s="416">
        <f>NOTES!F645</f>
        <v>0</v>
      </c>
      <c r="D54" s="296">
        <f>-NOTES!G645</f>
        <v>-91</v>
      </c>
      <c r="E54" s="402">
        <f>-NOTES!H645</f>
        <v>-93</v>
      </c>
      <c r="F54" s="403">
        <f>-'INCOME STATEMENT'!L51</f>
        <v>-93</v>
      </c>
      <c r="G54" s="846">
        <f>-'INCOME STATEMENT'!M51</f>
        <v>-91.027154891018711</v>
      </c>
      <c r="H54" s="846">
        <f>-'INCOME STATEMENT'!N51</f>
        <v>-1.4915307716925066</v>
      </c>
      <c r="I54" s="846">
        <f>-'INCOME STATEMENT'!O51</f>
        <v>-37.943946953771608</v>
      </c>
      <c r="J54" s="846">
        <f>-'INCOME STATEMENT'!P51</f>
        <v>-38.981853294045678</v>
      </c>
      <c r="K54" s="846">
        <f>-'INCOME STATEMENT'!Q51</f>
        <v>-5.8243493638457906</v>
      </c>
    </row>
    <row r="55" spans="2:11" x14ac:dyDescent="0.3">
      <c r="B55" s="290" t="s">
        <v>449</v>
      </c>
      <c r="C55" s="296">
        <f>'BALANCES SHEET'!E43-'BALANCES SHEET'!D43</f>
        <v>59</v>
      </c>
      <c r="D55" s="296">
        <f>'BALANCES SHEET'!F43-'BALANCES SHEET'!E43</f>
        <v>40</v>
      </c>
      <c r="E55" s="402">
        <f>'BALANCES SHEET'!G43-'BALANCES SHEET'!F43</f>
        <v>70</v>
      </c>
      <c r="F55" s="403">
        <f>'BALANCES SHEET'!H43-'BALANCES SHEET'!G43</f>
        <v>106</v>
      </c>
      <c r="G55" s="846">
        <f>'BALANCES SHEET'!I43-'BALANCES SHEET'!H43</f>
        <v>8.7689087171935967</v>
      </c>
      <c r="H55" s="846">
        <f>'BALANCES SHEET'!J43-'BALANCES SHEET'!I43</f>
        <v>13.473091282806422</v>
      </c>
      <c r="I55" s="846">
        <f>'BALANCES SHEET'!K43-'BALANCES SHEET'!J43</f>
        <v>0.57874797533474975</v>
      </c>
      <c r="J55" s="846">
        <f>'BALANCES SHEET'!L43-'BALANCES SHEET'!K43</f>
        <v>0.88922402466522499</v>
      </c>
      <c r="K55" s="846">
        <f>'BALANCES SHEET'!M43-'BALANCES SHEET'!L43</f>
        <v>3.8197366372116903E-2</v>
      </c>
    </row>
    <row r="56" spans="2:11" x14ac:dyDescent="0.3">
      <c r="B56" s="412" t="s">
        <v>434</v>
      </c>
      <c r="C56" s="417">
        <f t="shared" ref="C56:F56" si="4">SUM(C47:C55)</f>
        <v>160</v>
      </c>
      <c r="D56" s="417">
        <f t="shared" si="4"/>
        <v>517</v>
      </c>
      <c r="E56" s="417">
        <f t="shared" si="4"/>
        <v>-8861</v>
      </c>
      <c r="F56" s="417">
        <f t="shared" si="4"/>
        <v>22807.815000000002</v>
      </c>
      <c r="G56" s="847">
        <f t="shared" ref="G56:K56" si="5">SUM(G47:G55)</f>
        <v>-11036.705207512867</v>
      </c>
      <c r="H56" s="847">
        <f t="shared" si="5"/>
        <v>-18221.437111871433</v>
      </c>
      <c r="I56" s="847">
        <f t="shared" si="5"/>
        <v>-5000.4949900426855</v>
      </c>
      <c r="J56" s="847">
        <f t="shared" si="5"/>
        <v>-1088.6380799737253</v>
      </c>
      <c r="K56" s="847">
        <f t="shared" si="5"/>
        <v>-18695.973746401029</v>
      </c>
    </row>
    <row r="57" spans="2:11" x14ac:dyDescent="0.3">
      <c r="B57" s="19"/>
      <c r="C57" s="19"/>
      <c r="D57" s="19"/>
      <c r="E57" s="136"/>
      <c r="F57" s="64"/>
      <c r="G57" s="846"/>
      <c r="H57" s="846"/>
      <c r="I57" s="846"/>
      <c r="J57" s="846"/>
      <c r="K57" s="846"/>
    </row>
    <row r="58" spans="2:11" x14ac:dyDescent="0.3">
      <c r="B58" s="290" t="s">
        <v>164</v>
      </c>
      <c r="C58" s="418">
        <f>SUM(C29,C44,C56)</f>
        <v>-740</v>
      </c>
      <c r="D58" s="418">
        <f>SUM(D29,D44,D56)</f>
        <v>3521</v>
      </c>
      <c r="E58" s="419">
        <f>SUM(E29,E44,E56)</f>
        <v>-262</v>
      </c>
      <c r="F58" s="95">
        <f>SUM(F29,F44,F56)</f>
        <v>2385</v>
      </c>
      <c r="G58" s="846">
        <f>SUM(G29,G44,G56)</f>
        <v>-1087.1483052740114</v>
      </c>
      <c r="H58" s="846">
        <f t="shared" ref="H58:K58" si="6">SUM(H29,H44,H56)</f>
        <v>-4338.7565598764631</v>
      </c>
      <c r="I58" s="846">
        <f t="shared" si="6"/>
        <v>13388.034668934453</v>
      </c>
      <c r="J58" s="846">
        <f t="shared" si="6"/>
        <v>11805.314607505476</v>
      </c>
      <c r="K58" s="846">
        <f t="shared" si="6"/>
        <v>-6344.679137328174</v>
      </c>
    </row>
    <row r="59" spans="2:11" x14ac:dyDescent="0.3">
      <c r="B59" s="290" t="s">
        <v>450</v>
      </c>
      <c r="C59" s="19">
        <f>'BALANCES SHEET'!D25+'BALANCES SHEET'!D26</f>
        <v>4604</v>
      </c>
      <c r="D59" s="19">
        <f>'BALANCES SHEET'!E25+'BALANCES SHEET'!E26</f>
        <v>3864</v>
      </c>
      <c r="E59" s="136">
        <f>'BALANCES SHEET'!F25+'BALANCES SHEET'!F26</f>
        <v>7385</v>
      </c>
      <c r="F59" s="64">
        <f>'BALANCES SHEET'!G25+'BALANCES SHEET'!G26</f>
        <v>7123</v>
      </c>
      <c r="G59" s="846">
        <f>'BALANCES SHEET'!H25+'BALANCES SHEET'!H26</f>
        <v>9508</v>
      </c>
      <c r="H59" s="846">
        <f>'BALANCES SHEET'!I25+'BALANCES SHEET'!I26</f>
        <v>8420.8516947259886</v>
      </c>
      <c r="I59" s="846">
        <f>'BALANCES SHEET'!J25+'BALANCES SHEET'!J26</f>
        <v>4082.0951348495255</v>
      </c>
      <c r="J59" s="846">
        <f>'BALANCES SHEET'!K25+'BALANCES SHEET'!K26</f>
        <v>17470.129803783981</v>
      </c>
      <c r="K59" s="846">
        <f>'BALANCES SHEET'!L25+'BALANCES SHEET'!L26</f>
        <v>29275.444411289456</v>
      </c>
    </row>
    <row r="60" spans="2:11" x14ac:dyDescent="0.3">
      <c r="B60" s="19"/>
      <c r="C60" s="107">
        <f>SUM(C58:C59)</f>
        <v>3864</v>
      </c>
      <c r="D60" s="19">
        <f t="shared" ref="D60:E60" si="7">SUM(D58:D59)</f>
        <v>7385</v>
      </c>
      <c r="E60" s="136">
        <f t="shared" si="7"/>
        <v>7123</v>
      </c>
      <c r="F60" s="64">
        <f t="shared" ref="F60:G60" si="8">SUM(F58:F59)</f>
        <v>9508</v>
      </c>
      <c r="G60" s="846">
        <f t="shared" si="8"/>
        <v>8420.8516947259886</v>
      </c>
      <c r="H60" s="846">
        <f t="shared" ref="H60:K60" si="9">SUM(H58:H59)</f>
        <v>4082.0951348495255</v>
      </c>
      <c r="I60" s="846">
        <f t="shared" si="9"/>
        <v>17470.129803783981</v>
      </c>
      <c r="J60" s="846">
        <f t="shared" si="9"/>
        <v>29275.444411289456</v>
      </c>
      <c r="K60" s="846">
        <f t="shared" si="9"/>
        <v>22930.765273961282</v>
      </c>
    </row>
    <row r="61" spans="2:11" x14ac:dyDescent="0.3">
      <c r="B61" s="19" t="s">
        <v>451</v>
      </c>
      <c r="C61" s="19">
        <f>'BALANCES SHEET'!E25+'BALANCES SHEET'!E26</f>
        <v>3864</v>
      </c>
      <c r="D61" s="19">
        <f>'BALANCES SHEET'!F25+'BALANCES SHEET'!F26</f>
        <v>7385</v>
      </c>
      <c r="E61" s="136">
        <f>'BALANCES SHEET'!G25+'BALANCES SHEET'!G26</f>
        <v>7123</v>
      </c>
      <c r="F61" s="64">
        <f>'BALANCES SHEET'!H25+'BALANCES SHEET'!H26</f>
        <v>9508</v>
      </c>
      <c r="G61" s="846">
        <f>'BALANCES SHEET'!I25+'BALANCES SHEET'!I26</f>
        <v>8420.8516947259886</v>
      </c>
      <c r="H61" s="846">
        <f>'BALANCES SHEET'!J25+'BALANCES SHEET'!J26</f>
        <v>4082.0951348495255</v>
      </c>
      <c r="I61" s="846">
        <f>'BALANCES SHEET'!K25+'BALANCES SHEET'!K26</f>
        <v>17470.129803783981</v>
      </c>
      <c r="J61" s="846">
        <f>'BALANCES SHEET'!L25+'BALANCES SHEET'!L26</f>
        <v>29275.444411289456</v>
      </c>
      <c r="K61" s="846">
        <f>'BALANCES SHEET'!M25+'BALANCES SHEET'!M26</f>
        <v>22930.765273961282</v>
      </c>
    </row>
    <row r="62" spans="2:11" x14ac:dyDescent="0.3">
      <c r="B62" s="19" t="s">
        <v>452</v>
      </c>
      <c r="C62" s="296">
        <f t="shared" ref="C62:F62" si="10">C60-C61</f>
        <v>0</v>
      </c>
      <c r="D62" s="296">
        <f t="shared" si="10"/>
        <v>0</v>
      </c>
      <c r="E62" s="296">
        <f t="shared" si="10"/>
        <v>0</v>
      </c>
      <c r="F62" s="296">
        <f t="shared" si="10"/>
        <v>0</v>
      </c>
      <c r="G62" s="847">
        <f t="shared" ref="G62:K62" si="11">G60-G61</f>
        <v>0</v>
      </c>
      <c r="H62" s="847">
        <f t="shared" si="11"/>
        <v>0</v>
      </c>
      <c r="I62" s="847">
        <f t="shared" si="11"/>
        <v>0</v>
      </c>
      <c r="J62" s="847">
        <f t="shared" si="11"/>
        <v>0</v>
      </c>
      <c r="K62" s="847">
        <f t="shared" si="11"/>
        <v>0</v>
      </c>
    </row>
    <row r="65" spans="2:11" x14ac:dyDescent="0.3">
      <c r="B65" s="17" t="s">
        <v>1203</v>
      </c>
      <c r="C65" s="46">
        <f>'BALANCES SHEET'!D6-'BALANCES SHEET'!E6-'INCOME STATEMENT'!H19</f>
        <v>-1143</v>
      </c>
      <c r="D65" s="46">
        <f>'BALANCES SHEET'!E6-'BALANCES SHEET'!F6-'INCOME STATEMENT'!I19</f>
        <v>-8306</v>
      </c>
      <c r="E65" s="46">
        <f>'BALANCES SHEET'!F6-'BALANCES SHEET'!G6-'INCOME STATEMENT'!J19</f>
        <v>-8642</v>
      </c>
      <c r="F65" s="46">
        <f>'BALANCES SHEET'!G6-'BALANCES SHEET'!H6-'INCOME STATEMENT'!K19</f>
        <v>-6150</v>
      </c>
      <c r="G65" s="46">
        <f>'BALANCES SHEET'!H6-'BALANCES SHEET'!I6-'INCOME STATEMENT'!L19</f>
        <v>-7259.2786356699144</v>
      </c>
      <c r="H65" s="46">
        <f>'BALANCES SHEET'!I6-'BALANCES SHEET'!J6-'INCOME STATEMENT'!M19</f>
        <v>-7510.0133643300869</v>
      </c>
      <c r="I65" s="46">
        <f>'BALANCES SHEET'!J6-'BALANCES SHEET'!K6-'INCOME STATEMENT'!N19</f>
        <v>-8192.4110272204816</v>
      </c>
      <c r="J65" s="46">
        <f>'BALANCES SHEET'!K6-'BALANCES SHEET'!L6-'INCOME STATEMENT'!O19</f>
        <v>-8226.5167256940258</v>
      </c>
      <c r="K65" s="46">
        <f>'BALANCES SHEET'!L6-'BALANCES SHEET'!M6-'INCOME STATEMENT'!P19</f>
        <v>-8189.2175492470851</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33522-AE55-4485-8B42-DA49446C92C0}">
  <dimension ref="A1:BG196"/>
  <sheetViews>
    <sheetView zoomScale="94" zoomScaleNormal="94" workbookViewId="0">
      <pane xSplit="2" ySplit="5" topLeftCell="C6" activePane="bottomRight" state="frozen"/>
      <selection pane="topRight" activeCell="C1" sqref="C1"/>
      <selection pane="bottomLeft" activeCell="A4" sqref="A4"/>
      <selection pane="bottomRight" activeCell="B7" sqref="B7"/>
    </sheetView>
  </sheetViews>
  <sheetFormatPr defaultColWidth="11" defaultRowHeight="14" x14ac:dyDescent="0.3"/>
  <cols>
    <col min="1" max="1" width="11" style="17"/>
    <col min="2" max="2" width="60" style="17" bestFit="1" customWidth="1"/>
    <col min="3" max="9" width="11" style="17"/>
    <col min="10" max="10" width="13.81640625" style="17" customWidth="1"/>
    <col min="11" max="24" width="11" style="17"/>
    <col min="25" max="25" width="11.08984375" style="17" bestFit="1" customWidth="1"/>
    <col min="26" max="26" width="11.36328125" style="17" bestFit="1" customWidth="1"/>
    <col min="27" max="27" width="12.36328125" style="17" bestFit="1" customWidth="1"/>
    <col min="28" max="28" width="12" style="17" bestFit="1" customWidth="1"/>
    <col min="29" max="29" width="25.36328125" style="17" bestFit="1" customWidth="1"/>
    <col min="30" max="30" width="11" style="17"/>
    <col min="31" max="31" width="34.6328125" style="17" bestFit="1" customWidth="1"/>
    <col min="32" max="16384" width="11" style="17"/>
  </cols>
  <sheetData>
    <row r="1" spans="1:59" x14ac:dyDescent="0.3">
      <c r="F1" s="46"/>
      <c r="G1" s="46"/>
    </row>
    <row r="2" spans="1:59" ht="17.5" x14ac:dyDescent="0.35">
      <c r="B2" s="1152" t="s">
        <v>1208</v>
      </c>
      <c r="F2" s="46"/>
      <c r="G2" s="46"/>
    </row>
    <row r="3" spans="1:59" x14ac:dyDescent="0.3">
      <c r="F3" s="46"/>
      <c r="G3" s="46"/>
    </row>
    <row r="4" spans="1:59" x14ac:dyDescent="0.3">
      <c r="B4" s="244" t="s">
        <v>900</v>
      </c>
      <c r="C4" s="244"/>
      <c r="D4" s="244"/>
      <c r="E4" s="244"/>
      <c r="F4" s="244">
        <f>G4/4</f>
        <v>66.674999999999272</v>
      </c>
      <c r="G4" s="244">
        <f>47745-47478.3</f>
        <v>266.69999999999709</v>
      </c>
      <c r="H4" s="244"/>
      <c r="I4" s="244" t="s">
        <v>955</v>
      </c>
      <c r="J4" s="244" t="s">
        <v>957</v>
      </c>
      <c r="K4" s="244"/>
      <c r="L4" s="244"/>
      <c r="M4" s="244"/>
      <c r="N4" s="244"/>
      <c r="O4" s="245">
        <f>52178-51719</f>
        <v>459</v>
      </c>
      <c r="P4" s="244">
        <f>10547-10776</f>
        <v>-229</v>
      </c>
      <c r="Q4" s="244"/>
      <c r="R4" s="244"/>
      <c r="U4" s="17">
        <f>(U5-P11)/P11</f>
        <v>0.3657032100421177</v>
      </c>
    </row>
    <row r="5" spans="1:59" ht="16.5" thickBot="1" x14ac:dyDescent="0.35">
      <c r="B5" s="246"/>
      <c r="C5" s="119"/>
      <c r="D5" s="244">
        <v>10</v>
      </c>
      <c r="E5" s="244"/>
      <c r="F5" s="244"/>
      <c r="G5" s="245"/>
      <c r="H5" s="119">
        <v>10</v>
      </c>
      <c r="I5" s="244" t="s">
        <v>956</v>
      </c>
      <c r="J5" s="244"/>
      <c r="K5" s="244"/>
      <c r="L5" s="244"/>
      <c r="M5" s="244"/>
      <c r="N5" s="244"/>
      <c r="O5" s="244"/>
      <c r="P5" s="245"/>
      <c r="Q5" s="244"/>
      <c r="R5" s="244"/>
      <c r="U5" s="17">
        <f>(U11*30/22)</f>
        <v>27031.363636363636</v>
      </c>
      <c r="V5" s="756">
        <f>(U5-P11)/P11</f>
        <v>0.3657032100421177</v>
      </c>
      <c r="Z5" s="17">
        <f>(Z11-U5)/U5</f>
        <v>0</v>
      </c>
    </row>
    <row r="6" spans="1:59" ht="14.5" thickBot="1" x14ac:dyDescent="0.35">
      <c r="B6" s="605"/>
      <c r="C6" s="1030" t="s">
        <v>410</v>
      </c>
      <c r="D6" s="1031"/>
      <c r="E6" s="1031"/>
      <c r="F6" s="1031"/>
      <c r="G6" s="1032"/>
      <c r="H6" s="1030" t="s">
        <v>152</v>
      </c>
      <c r="I6" s="1031"/>
      <c r="J6" s="1031"/>
      <c r="K6" s="1031"/>
      <c r="L6" s="1032"/>
      <c r="M6" s="1031" t="s">
        <v>153</v>
      </c>
      <c r="N6" s="1031"/>
      <c r="O6" s="1031"/>
      <c r="P6" s="1031"/>
      <c r="Q6" s="1031"/>
      <c r="R6" s="1030" t="s">
        <v>868</v>
      </c>
      <c r="S6" s="1031"/>
      <c r="T6" s="1031"/>
      <c r="U6" s="1032"/>
      <c r="V6" s="568"/>
      <c r="W6" s="1027" t="s">
        <v>932</v>
      </c>
      <c r="X6" s="1028"/>
      <c r="Y6" s="1028"/>
      <c r="Z6" s="1028"/>
      <c r="AA6" s="1029"/>
      <c r="AE6" s="249"/>
      <c r="AF6" s="1030" t="s">
        <v>410</v>
      </c>
      <c r="AG6" s="1031"/>
      <c r="AH6" s="1031"/>
      <c r="AI6" s="1031"/>
      <c r="AJ6" s="1032"/>
      <c r="AK6" s="1030" t="s">
        <v>152</v>
      </c>
      <c r="AL6" s="1031"/>
      <c r="AM6" s="1031"/>
      <c r="AN6" s="1031"/>
      <c r="AO6" s="1032"/>
      <c r="AP6" s="1030" t="s">
        <v>153</v>
      </c>
      <c r="AQ6" s="1031"/>
      <c r="AR6" s="1031"/>
      <c r="AS6" s="1031"/>
      <c r="AT6" s="1032"/>
      <c r="AU6" s="1030" t="s">
        <v>868</v>
      </c>
      <c r="AV6" s="1031"/>
      <c r="AW6" s="1031"/>
      <c r="AX6" s="1032"/>
      <c r="AY6" s="568"/>
      <c r="AZ6" s="1035" t="s">
        <v>932</v>
      </c>
      <c r="BA6" s="1036"/>
      <c r="BB6" s="1036"/>
      <c r="BC6" s="1036"/>
      <c r="BD6" s="1044"/>
    </row>
    <row r="7" spans="1:59" x14ac:dyDescent="0.3">
      <c r="B7" s="606"/>
      <c r="C7" s="1034" t="s">
        <v>924</v>
      </c>
      <c r="D7" s="1033"/>
      <c r="E7" s="1033"/>
      <c r="F7" s="1033"/>
      <c r="G7" s="569" t="s">
        <v>925</v>
      </c>
      <c r="H7" s="1034" t="s">
        <v>924</v>
      </c>
      <c r="I7" s="1033"/>
      <c r="J7" s="1033"/>
      <c r="K7" s="1033"/>
      <c r="L7" s="569" t="s">
        <v>925</v>
      </c>
      <c r="M7" s="1033" t="s">
        <v>924</v>
      </c>
      <c r="N7" s="1033"/>
      <c r="O7" s="1033"/>
      <c r="P7" s="1033"/>
      <c r="Q7" s="570" t="s">
        <v>925</v>
      </c>
      <c r="R7" s="1038" t="s">
        <v>924</v>
      </c>
      <c r="S7" s="1039"/>
      <c r="T7" s="1039"/>
      <c r="U7" s="1040"/>
      <c r="V7" s="570" t="s">
        <v>925</v>
      </c>
      <c r="W7" s="1035" t="s">
        <v>924</v>
      </c>
      <c r="X7" s="1036"/>
      <c r="Y7" s="1036"/>
      <c r="Z7" s="1037"/>
      <c r="AA7" s="641" t="s">
        <v>925</v>
      </c>
      <c r="AE7" s="250"/>
      <c r="AF7" s="1034" t="s">
        <v>924</v>
      </c>
      <c r="AG7" s="1033"/>
      <c r="AH7" s="1033"/>
      <c r="AI7" s="1033"/>
      <c r="AJ7" s="569" t="s">
        <v>925</v>
      </c>
      <c r="AK7" s="1034" t="s">
        <v>924</v>
      </c>
      <c r="AL7" s="1033"/>
      <c r="AM7" s="1033"/>
      <c r="AN7" s="1033"/>
      <c r="AO7" s="569" t="s">
        <v>925</v>
      </c>
      <c r="AP7" s="1034" t="s">
        <v>924</v>
      </c>
      <c r="AQ7" s="1033"/>
      <c r="AR7" s="1033"/>
      <c r="AS7" s="1033"/>
      <c r="AT7" s="569" t="s">
        <v>925</v>
      </c>
      <c r="AU7" s="1038" t="s">
        <v>924</v>
      </c>
      <c r="AV7" s="1039"/>
      <c r="AW7" s="1039"/>
      <c r="AX7" s="1040"/>
      <c r="AY7" s="570" t="s">
        <v>925</v>
      </c>
      <c r="AZ7" s="1041" t="s">
        <v>924</v>
      </c>
      <c r="BA7" s="1042"/>
      <c r="BB7" s="1042"/>
      <c r="BC7" s="1043"/>
      <c r="BD7" s="572" t="s">
        <v>925</v>
      </c>
      <c r="BE7" s="592"/>
      <c r="BF7" s="446"/>
    </row>
    <row r="8" spans="1:59" ht="17" customHeight="1" thickBot="1" x14ac:dyDescent="0.5">
      <c r="B8" s="121"/>
      <c r="C8" s="121" t="s">
        <v>937</v>
      </c>
      <c r="D8" s="122" t="s">
        <v>938</v>
      </c>
      <c r="E8" s="122" t="s">
        <v>939</v>
      </c>
      <c r="F8" s="123" t="s">
        <v>940</v>
      </c>
      <c r="G8" s="663" t="s">
        <v>195</v>
      </c>
      <c r="H8" s="121" t="s">
        <v>937</v>
      </c>
      <c r="I8" s="122" t="s">
        <v>938</v>
      </c>
      <c r="J8" s="122" t="s">
        <v>939</v>
      </c>
      <c r="K8" s="123" t="s">
        <v>940</v>
      </c>
      <c r="L8" s="663" t="s">
        <v>701</v>
      </c>
      <c r="M8" s="122" t="s">
        <v>937</v>
      </c>
      <c r="N8" s="122" t="s">
        <v>938</v>
      </c>
      <c r="O8" s="25" t="s">
        <v>939</v>
      </c>
      <c r="P8" s="26" t="s">
        <v>940</v>
      </c>
      <c r="Q8" s="708" t="s">
        <v>701</v>
      </c>
      <c r="R8" s="24" t="s">
        <v>937</v>
      </c>
      <c r="S8" s="25" t="s">
        <v>938</v>
      </c>
      <c r="T8" s="25" t="s">
        <v>939</v>
      </c>
      <c r="U8" s="26" t="s">
        <v>940</v>
      </c>
      <c r="V8" s="708" t="s">
        <v>701</v>
      </c>
      <c r="W8" s="3" t="s">
        <v>937</v>
      </c>
      <c r="X8" s="19" t="s">
        <v>938</v>
      </c>
      <c r="Y8" s="551" t="s">
        <v>939</v>
      </c>
      <c r="Z8" s="551" t="s">
        <v>940</v>
      </c>
      <c r="AA8" s="589" t="s">
        <v>701</v>
      </c>
      <c r="AE8" s="250"/>
      <c r="AF8" s="121" t="s">
        <v>937</v>
      </c>
      <c r="AG8" s="122" t="s">
        <v>938</v>
      </c>
      <c r="AH8" s="122" t="s">
        <v>939</v>
      </c>
      <c r="AI8" s="123" t="s">
        <v>940</v>
      </c>
      <c r="AJ8" s="124" t="s">
        <v>195</v>
      </c>
      <c r="AK8" s="121" t="s">
        <v>937</v>
      </c>
      <c r="AL8" s="122" t="s">
        <v>938</v>
      </c>
      <c r="AM8" s="122" t="s">
        <v>939</v>
      </c>
      <c r="AN8" s="123" t="s">
        <v>940</v>
      </c>
      <c r="AO8" s="124" t="s">
        <v>701</v>
      </c>
      <c r="AP8" s="121" t="s">
        <v>937</v>
      </c>
      <c r="AQ8" s="122" t="s">
        <v>938</v>
      </c>
      <c r="AR8" s="25" t="s">
        <v>939</v>
      </c>
      <c r="AS8" s="26" t="s">
        <v>940</v>
      </c>
      <c r="AT8" s="125" t="s">
        <v>701</v>
      </c>
      <c r="AU8" s="24" t="s">
        <v>937</v>
      </c>
      <c r="AV8" s="25" t="s">
        <v>938</v>
      </c>
      <c r="AW8" s="25" t="s">
        <v>939</v>
      </c>
      <c r="AX8" s="26" t="s">
        <v>940</v>
      </c>
      <c r="AY8" s="545" t="s">
        <v>701</v>
      </c>
      <c r="AZ8" s="3" t="s">
        <v>937</v>
      </c>
      <c r="BA8" s="19" t="s">
        <v>938</v>
      </c>
      <c r="BB8" s="551" t="s">
        <v>939</v>
      </c>
      <c r="BC8" s="551" t="s">
        <v>940</v>
      </c>
      <c r="BD8" s="600" t="s">
        <v>701</v>
      </c>
      <c r="BE8" s="1025" t="s">
        <v>947</v>
      </c>
      <c r="BF8" s="1026"/>
    </row>
    <row r="9" spans="1:59" ht="14.5" thickBot="1" x14ac:dyDescent="0.35">
      <c r="A9" s="136" t="s">
        <v>901</v>
      </c>
      <c r="B9" s="248" t="s">
        <v>49</v>
      </c>
      <c r="C9" s="126">
        <v>42551</v>
      </c>
      <c r="D9" s="127">
        <v>42643</v>
      </c>
      <c r="E9" s="128">
        <v>42735</v>
      </c>
      <c r="F9" s="129">
        <v>42825</v>
      </c>
      <c r="G9" s="664">
        <v>42825</v>
      </c>
      <c r="H9" s="586">
        <v>42916</v>
      </c>
      <c r="I9" s="131">
        <v>43008</v>
      </c>
      <c r="J9" s="131">
        <v>43100</v>
      </c>
      <c r="K9" s="132">
        <v>43190</v>
      </c>
      <c r="L9" s="684">
        <v>43190</v>
      </c>
      <c r="M9" s="132">
        <v>43281</v>
      </c>
      <c r="N9" s="135">
        <v>43373</v>
      </c>
      <c r="O9" s="131">
        <v>43465</v>
      </c>
      <c r="P9" s="132">
        <v>43555</v>
      </c>
      <c r="Q9" s="709">
        <v>43555</v>
      </c>
      <c r="R9" s="134">
        <v>43646</v>
      </c>
      <c r="S9" s="135">
        <v>43738</v>
      </c>
      <c r="T9" s="131">
        <v>43830</v>
      </c>
      <c r="U9" s="587">
        <v>43921</v>
      </c>
      <c r="V9" s="739">
        <v>43921</v>
      </c>
      <c r="W9" s="590">
        <v>44012</v>
      </c>
      <c r="X9" s="552">
        <v>44104</v>
      </c>
      <c r="Y9" s="553">
        <v>44196</v>
      </c>
      <c r="Z9" s="553">
        <v>44286</v>
      </c>
      <c r="AA9" s="591">
        <v>44286</v>
      </c>
      <c r="AE9" s="250"/>
      <c r="AF9" s="126">
        <v>42551</v>
      </c>
      <c r="AG9" s="127">
        <v>42643</v>
      </c>
      <c r="AH9" s="128">
        <v>42735</v>
      </c>
      <c r="AI9" s="129">
        <v>42825</v>
      </c>
      <c r="AJ9" s="130">
        <v>42825</v>
      </c>
      <c r="AK9" s="586">
        <v>42916</v>
      </c>
      <c r="AL9" s="131">
        <v>43008</v>
      </c>
      <c r="AM9" s="131">
        <v>43100</v>
      </c>
      <c r="AN9" s="132">
        <v>43190</v>
      </c>
      <c r="AO9" s="133">
        <v>43190</v>
      </c>
      <c r="AP9" s="134">
        <v>43281</v>
      </c>
      <c r="AQ9" s="135">
        <v>43373</v>
      </c>
      <c r="AR9" s="131">
        <v>43465</v>
      </c>
      <c r="AS9" s="132">
        <v>43555</v>
      </c>
      <c r="AT9" s="133">
        <v>43555</v>
      </c>
      <c r="AU9" s="134">
        <v>43646</v>
      </c>
      <c r="AV9" s="135">
        <v>43738</v>
      </c>
      <c r="AW9" s="131">
        <v>43830</v>
      </c>
      <c r="AX9" s="587">
        <v>43921</v>
      </c>
      <c r="AY9" s="546">
        <v>43921</v>
      </c>
      <c r="AZ9" s="590">
        <v>44012</v>
      </c>
      <c r="BA9" s="552">
        <v>44104</v>
      </c>
      <c r="BB9" s="553">
        <v>44196</v>
      </c>
      <c r="BC9" s="553">
        <v>44286</v>
      </c>
      <c r="BD9" s="601">
        <v>44286</v>
      </c>
      <c r="BE9" s="99"/>
      <c r="BF9" s="220"/>
    </row>
    <row r="10" spans="1:59" ht="15" thickBot="1" x14ac:dyDescent="0.4">
      <c r="A10" s="136">
        <v>1</v>
      </c>
      <c r="B10" s="55" t="s">
        <v>902</v>
      </c>
      <c r="C10" s="3"/>
      <c r="D10" s="22"/>
      <c r="E10" s="22"/>
      <c r="F10" s="22"/>
      <c r="G10" s="665"/>
      <c r="H10" s="3"/>
      <c r="I10" s="19"/>
      <c r="J10" s="19"/>
      <c r="K10" s="19"/>
      <c r="L10" s="682"/>
      <c r="M10" s="138"/>
      <c r="N10" s="136"/>
      <c r="O10" s="19"/>
      <c r="P10" s="19"/>
      <c r="Q10" s="710"/>
      <c r="R10" s="3"/>
      <c r="S10" s="19"/>
      <c r="T10" s="19"/>
      <c r="U10" s="23"/>
      <c r="V10" s="740"/>
      <c r="W10" s="3"/>
      <c r="X10" s="19"/>
      <c r="Y10" s="540"/>
      <c r="Z10" s="17" t="s">
        <v>958</v>
      </c>
      <c r="AA10" s="642"/>
      <c r="AC10" s="755"/>
      <c r="AE10" s="573" t="s">
        <v>902</v>
      </c>
      <c r="AF10" s="373"/>
      <c r="AG10"/>
      <c r="AH10"/>
      <c r="AI10"/>
      <c r="AJ10" s="335"/>
      <c r="AK10" s="373"/>
      <c r="AL10"/>
      <c r="AM10"/>
      <c r="AN10"/>
      <c r="AO10" s="335"/>
      <c r="AP10" s="373"/>
      <c r="AQ10"/>
      <c r="AR10"/>
      <c r="AS10"/>
      <c r="AT10" s="335"/>
      <c r="AU10" s="373"/>
      <c r="AV10"/>
      <c r="AW10"/>
      <c r="AX10" s="335"/>
      <c r="AY10"/>
      <c r="AZ10" s="373"/>
      <c r="BA10"/>
      <c r="BB10"/>
      <c r="BC10"/>
      <c r="BD10"/>
      <c r="BE10" s="121"/>
      <c r="BF10" s="123"/>
    </row>
    <row r="11" spans="1:59" x14ac:dyDescent="0.3">
      <c r="A11" s="136"/>
      <c r="B11" s="39" t="s">
        <v>903</v>
      </c>
      <c r="C11" s="603">
        <f>9329.6+F4</f>
        <v>9396.2749999999996</v>
      </c>
      <c r="D11" s="604">
        <f>11370.7+F4</f>
        <v>11437.375</v>
      </c>
      <c r="E11" s="604">
        <f>12340.7+F4</f>
        <v>12407.375</v>
      </c>
      <c r="F11" s="604">
        <f>14437.3+F4</f>
        <v>14503.974999999999</v>
      </c>
      <c r="G11" s="666">
        <f>SUM(C11:F11)</f>
        <v>47745</v>
      </c>
      <c r="H11" s="609">
        <v>12796</v>
      </c>
      <c r="I11" s="119">
        <v>10981</v>
      </c>
      <c r="J11" s="119">
        <v>12723</v>
      </c>
      <c r="K11" s="119">
        <v>18486</v>
      </c>
      <c r="L11" s="682">
        <f>SUM(H11:K11)</f>
        <v>54986</v>
      </c>
      <c r="M11" s="119">
        <v>8613</v>
      </c>
      <c r="N11" s="119">
        <v>13225</v>
      </c>
      <c r="O11" s="119">
        <v>10776</v>
      </c>
      <c r="P11" s="119">
        <v>19793</v>
      </c>
      <c r="Q11" s="710">
        <f>SUM(M11:P11)</f>
        <v>52407</v>
      </c>
      <c r="R11" s="609">
        <v>15387</v>
      </c>
      <c r="S11" s="119">
        <v>19229</v>
      </c>
      <c r="T11" s="119">
        <v>26809</v>
      </c>
      <c r="U11" s="627">
        <v>19823</v>
      </c>
      <c r="V11" s="740">
        <f>SUM(R11:U11)</f>
        <v>81248</v>
      </c>
      <c r="W11" s="151">
        <v>12737</v>
      </c>
      <c r="X11" s="139">
        <v>18750</v>
      </c>
      <c r="Y11" s="540">
        <f>(X11*32.5%)+X11</f>
        <v>24843.75</v>
      </c>
      <c r="Z11" s="554">
        <f>U5*1</f>
        <v>27031.363636363636</v>
      </c>
      <c r="AA11" s="643">
        <f>SUM(W11:Z11)</f>
        <v>83362.113636363632</v>
      </c>
      <c r="AE11" s="64" t="s">
        <v>903</v>
      </c>
      <c r="AF11" s="580">
        <f t="shared" ref="AF11:BD11" si="0">C11/C11</f>
        <v>1</v>
      </c>
      <c r="AG11" s="581">
        <f t="shared" si="0"/>
        <v>1</v>
      </c>
      <c r="AH11" s="581">
        <f t="shared" si="0"/>
        <v>1</v>
      </c>
      <c r="AI11" s="581">
        <f t="shared" si="0"/>
        <v>1</v>
      </c>
      <c r="AJ11" s="582">
        <f t="shared" si="0"/>
        <v>1</v>
      </c>
      <c r="AK11" s="580">
        <f t="shared" si="0"/>
        <v>1</v>
      </c>
      <c r="AL11" s="581">
        <f t="shared" si="0"/>
        <v>1</v>
      </c>
      <c r="AM11" s="581">
        <f t="shared" si="0"/>
        <v>1</v>
      </c>
      <c r="AN11" s="581">
        <f t="shared" si="0"/>
        <v>1</v>
      </c>
      <c r="AO11" s="582">
        <f t="shared" si="0"/>
        <v>1</v>
      </c>
      <c r="AP11" s="580">
        <f t="shared" si="0"/>
        <v>1</v>
      </c>
      <c r="AQ11" s="581">
        <f t="shared" si="0"/>
        <v>1</v>
      </c>
      <c r="AR11" s="581">
        <f t="shared" si="0"/>
        <v>1</v>
      </c>
      <c r="AS11" s="581">
        <f t="shared" si="0"/>
        <v>1</v>
      </c>
      <c r="AT11" s="582">
        <f t="shared" si="0"/>
        <v>1</v>
      </c>
      <c r="AU11" s="580">
        <f t="shared" si="0"/>
        <v>1</v>
      </c>
      <c r="AV11" s="581">
        <f t="shared" si="0"/>
        <v>1</v>
      </c>
      <c r="AW11" s="581">
        <f t="shared" si="0"/>
        <v>1</v>
      </c>
      <c r="AX11" s="484">
        <f t="shared" si="0"/>
        <v>1</v>
      </c>
      <c r="AY11" s="536">
        <f t="shared" si="0"/>
        <v>1</v>
      </c>
      <c r="AZ11" s="580">
        <f t="shared" si="0"/>
        <v>1</v>
      </c>
      <c r="BA11" s="581">
        <f t="shared" si="0"/>
        <v>1</v>
      </c>
      <c r="BB11" s="581">
        <f t="shared" si="0"/>
        <v>1</v>
      </c>
      <c r="BC11" s="581">
        <f t="shared" si="0"/>
        <v>1</v>
      </c>
      <c r="BD11" s="581">
        <f t="shared" si="0"/>
        <v>1</v>
      </c>
      <c r="BE11" s="602"/>
      <c r="BF11" s="593"/>
      <c r="BG11" s="319"/>
    </row>
    <row r="12" spans="1:59" x14ac:dyDescent="0.3">
      <c r="A12" s="136"/>
      <c r="B12" s="140" t="s">
        <v>927</v>
      </c>
      <c r="C12" s="141"/>
      <c r="D12" s="142">
        <f>(D11-C11)/C11</f>
        <v>0.21722437880968792</v>
      </c>
      <c r="E12" s="142">
        <f>(E11-D11)/D11</f>
        <v>8.4809670051038816E-2</v>
      </c>
      <c r="F12" s="142">
        <f>(F11-E11)/E11</f>
        <v>0.16898014285858198</v>
      </c>
      <c r="G12" s="667"/>
      <c r="H12" s="610">
        <f>(H11-F11)/F11</f>
        <v>-0.11775909707511208</v>
      </c>
      <c r="I12" s="144">
        <f>(I11-H11)/H11</f>
        <v>-0.14184120037511722</v>
      </c>
      <c r="J12" s="144">
        <f>(J11-I11)/I11</f>
        <v>0.15863764684454967</v>
      </c>
      <c r="K12" s="144">
        <f>(K11-J11)/J11</f>
        <v>0.45295920773402498</v>
      </c>
      <c r="L12" s="685"/>
      <c r="M12" s="145">
        <f>(M11-K11)/K11</f>
        <v>-0.53407984420642651</v>
      </c>
      <c r="N12" s="145">
        <f>(N11-M11)/M11</f>
        <v>0.53546963891791477</v>
      </c>
      <c r="O12" s="145">
        <f>(O11-N11)/N11</f>
        <v>-0.18517958412098298</v>
      </c>
      <c r="P12" s="145">
        <f>(P11-O11)/O11</f>
        <v>0.83676688938381594</v>
      </c>
      <c r="Q12" s="711"/>
      <c r="R12" s="628">
        <f>(R11-P11)/P11</f>
        <v>-0.22260395089172941</v>
      </c>
      <c r="S12" s="547">
        <f>(S11-R11)/R11</f>
        <v>0.24969129784883343</v>
      </c>
      <c r="T12" s="547">
        <f>(T11-S11)/S11</f>
        <v>0.39419626605647717</v>
      </c>
      <c r="U12" s="629">
        <f>(U11-T11)/T11</f>
        <v>-0.26058413219441234</v>
      </c>
      <c r="V12" s="741">
        <f>SUM(R12:U12)</f>
        <v>0.16069948081916885</v>
      </c>
      <c r="W12" s="644">
        <f>(W11-U11)/U11</f>
        <v>-0.3574635524390859</v>
      </c>
      <c r="X12" s="555">
        <f>(X11-W11)/W11</f>
        <v>0.47208918897699614</v>
      </c>
      <c r="Y12" s="556">
        <f>(Y11-X11)/X11</f>
        <v>0.32500000000000001</v>
      </c>
      <c r="Z12" s="556">
        <f>(Z11-Y11)/Y11</f>
        <v>8.8054888507718684E-2</v>
      </c>
      <c r="AA12" s="642"/>
      <c r="AB12" s="539"/>
      <c r="AE12" s="250"/>
      <c r="AF12" s="99"/>
      <c r="AJ12" s="583"/>
      <c r="AK12" s="99"/>
      <c r="AO12" s="583"/>
      <c r="AP12" s="99"/>
      <c r="AT12" s="583"/>
      <c r="AU12" s="99"/>
      <c r="AX12" s="220"/>
      <c r="AY12" s="537"/>
      <c r="AZ12" s="99"/>
      <c r="BE12" s="597"/>
      <c r="BF12" s="594"/>
    </row>
    <row r="13" spans="1:59" x14ac:dyDescent="0.3">
      <c r="A13" s="136"/>
      <c r="B13" s="140" t="s">
        <v>928</v>
      </c>
      <c r="C13" s="141"/>
      <c r="D13" s="146"/>
      <c r="E13" s="146"/>
      <c r="F13" s="146"/>
      <c r="G13" s="668"/>
      <c r="H13" s="610">
        <f t="shared" ref="H13:AA13" si="1">(H11-C11)/C11</f>
        <v>0.3618162516529157</v>
      </c>
      <c r="I13" s="143">
        <f t="shared" si="1"/>
        <v>-3.9902075432518391E-2</v>
      </c>
      <c r="J13" s="143">
        <f t="shared" si="1"/>
        <v>2.5438499279662297E-2</v>
      </c>
      <c r="K13" s="143">
        <f t="shared" si="1"/>
        <v>0.27454715000542967</v>
      </c>
      <c r="L13" s="686">
        <f t="shared" si="1"/>
        <v>0.15165985967116977</v>
      </c>
      <c r="M13" s="143">
        <f t="shared" si="1"/>
        <v>-0.32689903094717099</v>
      </c>
      <c r="N13" s="143">
        <f t="shared" si="1"/>
        <v>0.20435297331754848</v>
      </c>
      <c r="O13" s="143">
        <f t="shared" si="1"/>
        <v>-0.15302994576750767</v>
      </c>
      <c r="P13" s="143">
        <f t="shared" si="1"/>
        <v>7.0702152980633995E-2</v>
      </c>
      <c r="Q13" s="712">
        <f t="shared" si="1"/>
        <v>-4.6902847997672137E-2</v>
      </c>
      <c r="R13" s="610">
        <f t="shared" si="1"/>
        <v>0.78648554510623481</v>
      </c>
      <c r="S13" s="143">
        <f t="shared" si="1"/>
        <v>0.45398865784499054</v>
      </c>
      <c r="T13" s="143">
        <f t="shared" si="1"/>
        <v>1.4878433556050483</v>
      </c>
      <c r="U13" s="611">
        <f t="shared" si="1"/>
        <v>1.5156873642196737E-3</v>
      </c>
      <c r="V13" s="712">
        <f t="shared" si="1"/>
        <v>0.55032724636021901</v>
      </c>
      <c r="W13" s="645">
        <f t="shared" si="1"/>
        <v>-0.17222330538766492</v>
      </c>
      <c r="X13" s="557">
        <f t="shared" si="1"/>
        <v>-2.4910291746840708E-2</v>
      </c>
      <c r="Y13" s="558">
        <f t="shared" si="1"/>
        <v>-7.330560632623373E-2</v>
      </c>
      <c r="Z13" s="558">
        <f t="shared" si="1"/>
        <v>0.36363636363636365</v>
      </c>
      <c r="AA13" s="646">
        <f t="shared" si="1"/>
        <v>2.6020500644491341E-2</v>
      </c>
      <c r="AB13" s="17" t="s">
        <v>946</v>
      </c>
      <c r="AE13" s="250"/>
      <c r="AF13" s="99"/>
      <c r="AJ13" s="583"/>
      <c r="AK13" s="99"/>
      <c r="AO13" s="583"/>
      <c r="AP13" s="99"/>
      <c r="AT13" s="583"/>
      <c r="AU13" s="99"/>
      <c r="AX13" s="220"/>
      <c r="AY13" s="537"/>
      <c r="AZ13" s="99"/>
      <c r="BE13" s="597"/>
      <c r="BF13" s="594"/>
    </row>
    <row r="14" spans="1:59" x14ac:dyDescent="0.3">
      <c r="A14" s="136"/>
      <c r="B14" s="140" t="s">
        <v>929</v>
      </c>
      <c r="C14" s="147">
        <f>C11/$G$11</f>
        <v>0.19680123573149019</v>
      </c>
      <c r="D14" s="147">
        <f>D11/$G$11</f>
        <v>0.23955126191224213</v>
      </c>
      <c r="E14" s="147">
        <f>E11/$G$11</f>
        <v>0.25986752539532937</v>
      </c>
      <c r="F14" s="147">
        <f>F11/$G$11</f>
        <v>0.30377997696093828</v>
      </c>
      <c r="G14" s="669">
        <f>G11/$G$11</f>
        <v>1</v>
      </c>
      <c r="H14" s="148">
        <f>H11/$L$11</f>
        <v>0.23271378168988469</v>
      </c>
      <c r="I14" s="148">
        <f>I11/$L$11</f>
        <v>0.19970537955115847</v>
      </c>
      <c r="J14" s="148">
        <f>J11/$L$11</f>
        <v>0.23138617102535192</v>
      </c>
      <c r="K14" s="148">
        <f>K11/$L$11</f>
        <v>0.3361946677336049</v>
      </c>
      <c r="L14" s="687">
        <f>L11/$L$11</f>
        <v>1</v>
      </c>
      <c r="M14" s="149">
        <f>M11/$Q$11</f>
        <v>0.16434827408552294</v>
      </c>
      <c r="N14" s="149">
        <f>N11/$Q$11</f>
        <v>0.25235178506688039</v>
      </c>
      <c r="O14" s="149">
        <f>O11/$Q$11</f>
        <v>0.20562138645600778</v>
      </c>
      <c r="P14" s="149">
        <f>P11/$Q$11</f>
        <v>0.37767855439158893</v>
      </c>
      <c r="Q14" s="713">
        <f>Q11/$Q$11</f>
        <v>1</v>
      </c>
      <c r="R14" s="630">
        <f>R11/$V$11</f>
        <v>0.18938312327688067</v>
      </c>
      <c r="S14" s="631">
        <f>S11/$V$11</f>
        <v>0.23667044111855062</v>
      </c>
      <c r="T14" s="631">
        <f>T11/$V$11</f>
        <v>0.32996504529342263</v>
      </c>
      <c r="U14" s="632">
        <f>U11/$V$11</f>
        <v>0.24398139031114613</v>
      </c>
      <c r="V14" s="742">
        <f>V11/$V$11</f>
        <v>1</v>
      </c>
      <c r="W14" s="647">
        <f>W11/$AA$11</f>
        <v>0.15279123146469689</v>
      </c>
      <c r="X14" s="559">
        <f>X11/$AA$11</f>
        <v>0.22492232000966214</v>
      </c>
      <c r="Y14" s="560">
        <f>Y11/$AA$11</f>
        <v>0.29802207401280234</v>
      </c>
      <c r="Z14" s="560">
        <f>Z11/$AA$11</f>
        <v>0.32426437451283874</v>
      </c>
      <c r="AA14" s="648">
        <f>AA11/$AA$11</f>
        <v>1</v>
      </c>
      <c r="AC14" s="17" t="s">
        <v>967</v>
      </c>
      <c r="AE14" s="250"/>
      <c r="AF14" s="99"/>
      <c r="AJ14" s="583"/>
      <c r="AK14" s="99"/>
      <c r="AO14" s="583"/>
      <c r="AP14" s="99"/>
      <c r="AT14" s="583"/>
      <c r="AU14" s="99"/>
      <c r="AX14" s="220"/>
      <c r="AY14" s="537"/>
      <c r="AZ14" s="99"/>
      <c r="BE14" s="597"/>
      <c r="BF14" s="594"/>
    </row>
    <row r="15" spans="1:59" x14ac:dyDescent="0.3">
      <c r="A15" s="136"/>
      <c r="B15" s="150" t="s">
        <v>904</v>
      </c>
      <c r="C15" s="151">
        <v>383.9</v>
      </c>
      <c r="D15" s="139">
        <v>364.5</v>
      </c>
      <c r="E15" s="139">
        <v>212.7</v>
      </c>
      <c r="F15" s="139">
        <v>195.7</v>
      </c>
      <c r="G15" s="666">
        <f>SUM(C15:F15)</f>
        <v>1156.8</v>
      </c>
      <c r="H15" s="609">
        <v>222</v>
      </c>
      <c r="I15" s="119">
        <v>148</v>
      </c>
      <c r="J15" s="119">
        <v>179</v>
      </c>
      <c r="K15" s="119">
        <v>130</v>
      </c>
      <c r="L15" s="682">
        <f>SUM(H15:K15)</f>
        <v>679</v>
      </c>
      <c r="M15" s="119">
        <v>314</v>
      </c>
      <c r="N15" s="119">
        <v>403</v>
      </c>
      <c r="O15" s="119">
        <v>255</v>
      </c>
      <c r="P15" s="119">
        <v>150</v>
      </c>
      <c r="Q15" s="710">
        <f>SUM(M15:P15)</f>
        <v>1122</v>
      </c>
      <c r="R15" s="609">
        <v>287</v>
      </c>
      <c r="S15" s="119">
        <v>398</v>
      </c>
      <c r="T15" s="119">
        <v>154</v>
      </c>
      <c r="U15" s="627">
        <v>346</v>
      </c>
      <c r="V15" s="740">
        <f>SUM(R15:U15)</f>
        <v>1185</v>
      </c>
      <c r="W15" s="151">
        <v>226</v>
      </c>
      <c r="X15" s="139">
        <v>417</v>
      </c>
      <c r="Y15" s="566">
        <f>Y11*BE15</f>
        <v>365.30295578504035</v>
      </c>
      <c r="Z15" s="566">
        <f>Z11*BF15</f>
        <v>338.33683166224972</v>
      </c>
      <c r="AA15" s="757">
        <f>SUM(W15:Z15)</f>
        <v>1346.63978744729</v>
      </c>
      <c r="AC15" s="17" t="s">
        <v>949</v>
      </c>
      <c r="AE15" s="574" t="s">
        <v>904</v>
      </c>
      <c r="AF15" s="580">
        <f t="shared" ref="AF15:BD15" si="2">C15/C11</f>
        <v>4.0856616052637879E-2</v>
      </c>
      <c r="AG15" s="581">
        <f t="shared" si="2"/>
        <v>3.1869200756292418E-2</v>
      </c>
      <c r="AH15" s="581">
        <f t="shared" si="2"/>
        <v>1.714302985119737E-2</v>
      </c>
      <c r="AI15" s="581">
        <f t="shared" si="2"/>
        <v>1.3492852821381724E-2</v>
      </c>
      <c r="AJ15" s="582">
        <f t="shared" si="2"/>
        <v>2.4228715048696198E-2</v>
      </c>
      <c r="AK15" s="580">
        <f t="shared" si="2"/>
        <v>1.7349171616130039E-2</v>
      </c>
      <c r="AL15" s="581">
        <f t="shared" si="2"/>
        <v>1.3477825334668974E-2</v>
      </c>
      <c r="AM15" s="581">
        <f t="shared" si="2"/>
        <v>1.4069008881553094E-2</v>
      </c>
      <c r="AN15" s="581">
        <f t="shared" si="2"/>
        <v>7.0323488045007029E-3</v>
      </c>
      <c r="AO15" s="582">
        <f t="shared" si="2"/>
        <v>1.2348597824900883E-2</v>
      </c>
      <c r="AP15" s="580">
        <f t="shared" si="2"/>
        <v>3.6456519215139906E-2</v>
      </c>
      <c r="AQ15" s="581">
        <f t="shared" si="2"/>
        <v>3.0472589792060491E-2</v>
      </c>
      <c r="AR15" s="581">
        <f t="shared" si="2"/>
        <v>2.366369710467706E-2</v>
      </c>
      <c r="AS15" s="581">
        <f t="shared" si="2"/>
        <v>7.5784368210983681E-3</v>
      </c>
      <c r="AT15" s="582">
        <f t="shared" si="2"/>
        <v>2.1409353712290344E-2</v>
      </c>
      <c r="AU15" s="580">
        <f t="shared" si="2"/>
        <v>1.8652108923116917E-2</v>
      </c>
      <c r="AV15" s="581">
        <f t="shared" si="2"/>
        <v>2.0697904207187062E-2</v>
      </c>
      <c r="AW15" s="581">
        <f t="shared" si="2"/>
        <v>5.7443395874519753E-3</v>
      </c>
      <c r="AX15" s="484">
        <f t="shared" si="2"/>
        <v>1.7454472077889322E-2</v>
      </c>
      <c r="AY15" s="536">
        <f t="shared" si="2"/>
        <v>1.4584974399369831E-2</v>
      </c>
      <c r="AZ15" s="580">
        <f t="shared" si="2"/>
        <v>1.7743581691136059E-2</v>
      </c>
      <c r="BA15" s="581">
        <f t="shared" si="2"/>
        <v>2.2239999999999999E-2</v>
      </c>
      <c r="BB15" s="581">
        <f t="shared" si="2"/>
        <v>1.4704018346064517E-2</v>
      </c>
      <c r="BC15" s="581">
        <f t="shared" si="2"/>
        <v>1.2516454449493843E-2</v>
      </c>
      <c r="BD15" s="581">
        <f t="shared" si="2"/>
        <v>1.6154098411198015E-2</v>
      </c>
      <c r="BE15" s="598">
        <f>AVERAGE(AW15,AR15)</f>
        <v>1.4704018346064517E-2</v>
      </c>
      <c r="BF15" s="595">
        <f>AVERAGE(AX15,AS15)</f>
        <v>1.2516454449493845E-2</v>
      </c>
    </row>
    <row r="16" spans="1:59" x14ac:dyDescent="0.3">
      <c r="A16" s="136"/>
      <c r="B16" s="153" t="s">
        <v>927</v>
      </c>
      <c r="C16" s="154"/>
      <c r="D16" s="155">
        <f>(D15-C15)/C15</f>
        <v>-5.0533993227402915E-2</v>
      </c>
      <c r="E16" s="155">
        <f>(E15-D15)/D15</f>
        <v>-0.4164609053497943</v>
      </c>
      <c r="F16" s="155">
        <f>(F15-E15)/E15</f>
        <v>-7.992477668077104E-2</v>
      </c>
      <c r="G16" s="670"/>
      <c r="H16" s="612">
        <f>(H15-F15)/F15</f>
        <v>0.13438937148696992</v>
      </c>
      <c r="I16" s="156">
        <f>(I15-H15)/H15</f>
        <v>-0.33333333333333331</v>
      </c>
      <c r="J16" s="156">
        <f>(J15-I15)/I15</f>
        <v>0.20945945945945946</v>
      </c>
      <c r="K16" s="156">
        <f>(K15-J15)/J15</f>
        <v>-0.27374301675977653</v>
      </c>
      <c r="L16" s="688"/>
      <c r="M16" s="157"/>
      <c r="N16" s="157"/>
      <c r="O16" s="157"/>
      <c r="P16" s="157"/>
      <c r="Q16" s="714"/>
      <c r="R16" s="158"/>
      <c r="S16" s="159"/>
      <c r="T16" s="159"/>
      <c r="U16" s="793">
        <f>(U5-T11)/T11</f>
        <v>8.2943651894377274E-3</v>
      </c>
      <c r="V16" s="743"/>
      <c r="W16" s="649"/>
      <c r="X16" s="561"/>
      <c r="Y16" s="562"/>
      <c r="Z16" s="562"/>
      <c r="AA16" s="650"/>
      <c r="AE16" s="250"/>
      <c r="AF16" s="99"/>
      <c r="AJ16" s="583"/>
      <c r="AK16" s="99"/>
      <c r="AO16" s="583"/>
      <c r="AP16" s="99"/>
      <c r="AT16" s="583"/>
      <c r="AU16" s="99"/>
      <c r="AX16" s="220"/>
      <c r="AY16" s="537"/>
      <c r="AZ16" s="99"/>
      <c r="BE16" s="597"/>
      <c r="BF16" s="594"/>
    </row>
    <row r="17" spans="1:58" x14ac:dyDescent="0.3">
      <c r="A17" s="136"/>
      <c r="B17" s="153" t="s">
        <v>928</v>
      </c>
      <c r="C17" s="160"/>
      <c r="D17" s="161"/>
      <c r="E17" s="161"/>
      <c r="F17" s="161"/>
      <c r="G17" s="671"/>
      <c r="H17" s="612">
        <f t="shared" ref="H17:Z17" si="3">(H15-C15)/C15</f>
        <v>-0.42172440739775979</v>
      </c>
      <c r="I17" s="156">
        <f t="shared" si="3"/>
        <v>-0.59396433470507548</v>
      </c>
      <c r="J17" s="156">
        <f t="shared" si="3"/>
        <v>-0.15843911612599901</v>
      </c>
      <c r="K17" s="156">
        <f t="shared" si="3"/>
        <v>-0.33571793561573832</v>
      </c>
      <c r="L17" s="689">
        <f t="shared" si="3"/>
        <v>-0.41303596127247577</v>
      </c>
      <c r="M17" s="156">
        <f t="shared" si="3"/>
        <v>0.4144144144144144</v>
      </c>
      <c r="N17" s="156">
        <f t="shared" si="3"/>
        <v>1.722972972972973</v>
      </c>
      <c r="O17" s="156">
        <f t="shared" si="3"/>
        <v>0.42458100558659218</v>
      </c>
      <c r="P17" s="156">
        <f t="shared" si="3"/>
        <v>0.15384615384615385</v>
      </c>
      <c r="Q17" s="715">
        <f t="shared" si="3"/>
        <v>0.65243004418262152</v>
      </c>
      <c r="R17" s="612">
        <f t="shared" si="3"/>
        <v>-8.598726114649681E-2</v>
      </c>
      <c r="S17" s="156">
        <f t="shared" si="3"/>
        <v>-1.2406947890818859E-2</v>
      </c>
      <c r="T17" s="156">
        <f t="shared" si="3"/>
        <v>-0.396078431372549</v>
      </c>
      <c r="U17" s="613">
        <f t="shared" si="3"/>
        <v>1.3066666666666666</v>
      </c>
      <c r="V17" s="715">
        <f t="shared" si="3"/>
        <v>5.6149732620320858E-2</v>
      </c>
      <c r="W17" s="651">
        <f t="shared" si="3"/>
        <v>-0.21254355400696864</v>
      </c>
      <c r="X17" s="563">
        <f t="shared" si="3"/>
        <v>4.7738693467336682E-2</v>
      </c>
      <c r="Y17" s="564">
        <f t="shared" si="3"/>
        <v>1.372097115487275</v>
      </c>
      <c r="Z17" s="564">
        <f t="shared" si="3"/>
        <v>-2.2147885369220459E-2</v>
      </c>
      <c r="AA17" s="650"/>
      <c r="AE17" s="250"/>
      <c r="AF17" s="99"/>
      <c r="AJ17" s="583"/>
      <c r="AK17" s="99"/>
      <c r="AO17" s="583"/>
      <c r="AP17" s="99"/>
      <c r="AT17" s="583"/>
      <c r="AU17" s="99"/>
      <c r="AX17" s="220"/>
      <c r="AY17" s="537"/>
      <c r="AZ17" s="99"/>
      <c r="BE17" s="597"/>
      <c r="BF17" s="594"/>
    </row>
    <row r="18" spans="1:58" x14ac:dyDescent="0.3">
      <c r="A18" s="136"/>
      <c r="B18" s="153" t="s">
        <v>929</v>
      </c>
      <c r="C18" s="162"/>
      <c r="D18" s="163"/>
      <c r="E18" s="163"/>
      <c r="F18" s="163"/>
      <c r="G18" s="672"/>
      <c r="H18" s="153"/>
      <c r="I18" s="164"/>
      <c r="J18" s="164"/>
      <c r="K18" s="164"/>
      <c r="L18" s="689"/>
      <c r="M18" s="157"/>
      <c r="N18" s="157"/>
      <c r="O18" s="157"/>
      <c r="P18" s="157"/>
      <c r="Q18" s="715"/>
      <c r="R18" s="153"/>
      <c r="S18" s="164"/>
      <c r="T18" s="164"/>
      <c r="U18" s="633"/>
      <c r="V18" s="715"/>
      <c r="W18" s="649"/>
      <c r="X18" s="561"/>
      <c r="Y18" s="562"/>
      <c r="Z18" s="562"/>
      <c r="AA18" s="650"/>
      <c r="AE18" s="250"/>
      <c r="AF18" s="99"/>
      <c r="AJ18" s="583"/>
      <c r="AK18" s="99"/>
      <c r="AO18" s="583"/>
      <c r="AP18" s="99"/>
      <c r="AT18" s="583"/>
      <c r="AU18" s="99"/>
      <c r="AX18" s="220"/>
      <c r="AY18" s="537"/>
      <c r="AZ18" s="99"/>
      <c r="BE18" s="597"/>
      <c r="BF18" s="594"/>
    </row>
    <row r="19" spans="1:58" ht="14.5" thickBot="1" x14ac:dyDescent="0.35">
      <c r="A19" s="136"/>
      <c r="B19" s="153"/>
      <c r="C19" s="162"/>
      <c r="D19" s="163"/>
      <c r="E19" s="163"/>
      <c r="F19" s="163"/>
      <c r="G19" s="672"/>
      <c r="H19" s="153"/>
      <c r="I19" s="164"/>
      <c r="J19" s="164"/>
      <c r="K19" s="164"/>
      <c r="L19" s="689"/>
      <c r="M19" s="157"/>
      <c r="N19" s="157"/>
      <c r="O19" s="157"/>
      <c r="P19" s="157"/>
      <c r="Q19" s="715"/>
      <c r="R19" s="153"/>
      <c r="S19" s="164"/>
      <c r="T19" s="164"/>
      <c r="U19" s="633"/>
      <c r="V19" s="715"/>
      <c r="W19" s="649"/>
      <c r="X19" s="561"/>
      <c r="Y19" s="562"/>
      <c r="Z19" s="562"/>
      <c r="AA19" s="650"/>
      <c r="AE19" s="250"/>
      <c r="AF19" s="99"/>
      <c r="AJ19" s="583"/>
      <c r="AK19" s="99"/>
      <c r="AO19" s="583"/>
      <c r="AP19" s="99"/>
      <c r="AT19" s="583"/>
      <c r="AU19" s="99"/>
      <c r="AX19" s="220"/>
      <c r="AY19" s="537"/>
      <c r="AZ19" s="99"/>
      <c r="BE19" s="597"/>
      <c r="BF19" s="594"/>
    </row>
    <row r="20" spans="1:58" ht="14.5" thickBot="1" x14ac:dyDescent="0.35">
      <c r="A20" s="136"/>
      <c r="B20" s="165" t="s">
        <v>905</v>
      </c>
      <c r="C20" s="166">
        <f t="shared" ref="C20:AA20" si="4">C11+C15</f>
        <v>9780.1749999999993</v>
      </c>
      <c r="D20" s="167">
        <f t="shared" si="4"/>
        <v>11801.875</v>
      </c>
      <c r="E20" s="167">
        <f t="shared" si="4"/>
        <v>12620.075000000001</v>
      </c>
      <c r="F20" s="167">
        <f t="shared" si="4"/>
        <v>14699.674999999999</v>
      </c>
      <c r="G20" s="673">
        <f t="shared" si="4"/>
        <v>48901.8</v>
      </c>
      <c r="H20" s="169">
        <f t="shared" si="4"/>
        <v>13018</v>
      </c>
      <c r="I20" s="169">
        <f t="shared" si="4"/>
        <v>11129</v>
      </c>
      <c r="J20" s="169">
        <f t="shared" si="4"/>
        <v>12902</v>
      </c>
      <c r="K20" s="169">
        <f t="shared" si="4"/>
        <v>18616</v>
      </c>
      <c r="L20" s="690">
        <f t="shared" si="4"/>
        <v>55665</v>
      </c>
      <c r="M20" s="168">
        <f t="shared" si="4"/>
        <v>8927</v>
      </c>
      <c r="N20" s="169">
        <f t="shared" si="4"/>
        <v>13628</v>
      </c>
      <c r="O20" s="169">
        <f t="shared" si="4"/>
        <v>11031</v>
      </c>
      <c r="P20" s="169">
        <f t="shared" si="4"/>
        <v>19943</v>
      </c>
      <c r="Q20" s="716">
        <f t="shared" si="4"/>
        <v>53529</v>
      </c>
      <c r="R20" s="169">
        <f t="shared" si="4"/>
        <v>15674</v>
      </c>
      <c r="S20" s="169">
        <f t="shared" si="4"/>
        <v>19627</v>
      </c>
      <c r="T20" s="169">
        <f t="shared" si="4"/>
        <v>26963</v>
      </c>
      <c r="U20" s="614">
        <f t="shared" si="4"/>
        <v>20169</v>
      </c>
      <c r="V20" s="727">
        <f t="shared" si="4"/>
        <v>82433</v>
      </c>
      <c r="W20" s="222">
        <f t="shared" si="4"/>
        <v>12963</v>
      </c>
      <c r="X20" s="223">
        <f t="shared" si="4"/>
        <v>19167</v>
      </c>
      <c r="Y20" s="762">
        <f t="shared" si="4"/>
        <v>25209.052955785039</v>
      </c>
      <c r="Z20" s="762">
        <f t="shared" si="4"/>
        <v>27369.700468025887</v>
      </c>
      <c r="AA20" s="763">
        <f t="shared" si="4"/>
        <v>84708.753423810922</v>
      </c>
      <c r="AE20" s="250"/>
      <c r="AF20" s="99"/>
      <c r="AJ20" s="583"/>
      <c r="AK20" s="99"/>
      <c r="AO20" s="583"/>
      <c r="AP20" s="99"/>
      <c r="AT20" s="583"/>
      <c r="AU20" s="99"/>
      <c r="AX20" s="220"/>
      <c r="AY20" s="537"/>
      <c r="AZ20" s="99"/>
      <c r="BE20" s="597"/>
      <c r="BF20" s="594"/>
    </row>
    <row r="21" spans="1:58" x14ac:dyDescent="0.3">
      <c r="A21" s="172">
        <v>2</v>
      </c>
      <c r="B21" s="173" t="s">
        <v>906</v>
      </c>
      <c r="C21" s="174"/>
      <c r="D21" s="175"/>
      <c r="E21" s="175"/>
      <c r="F21" s="175"/>
      <c r="G21" s="674"/>
      <c r="H21" s="177"/>
      <c r="I21" s="118"/>
      <c r="J21" s="118"/>
      <c r="K21" s="118"/>
      <c r="L21" s="682"/>
      <c r="M21" s="176"/>
      <c r="N21" s="178"/>
      <c r="O21" s="118"/>
      <c r="P21" s="118"/>
      <c r="Q21" s="710"/>
      <c r="R21" s="177"/>
      <c r="S21" s="118"/>
      <c r="T21" s="118"/>
      <c r="U21" s="179"/>
      <c r="V21" s="740"/>
      <c r="W21" s="3"/>
      <c r="X21" s="19"/>
      <c r="Y21" s="540"/>
      <c r="Z21" s="540"/>
      <c r="AA21" s="642"/>
      <c r="AE21" s="250"/>
      <c r="AF21" s="99"/>
      <c r="AJ21" s="583"/>
      <c r="AK21" s="99"/>
      <c r="AO21" s="583"/>
      <c r="AP21" s="99"/>
      <c r="AT21" s="583"/>
      <c r="AU21" s="99"/>
      <c r="AX21" s="220"/>
      <c r="AY21" s="537"/>
      <c r="AZ21" s="99"/>
      <c r="BE21" s="597"/>
      <c r="BF21" s="594"/>
    </row>
    <row r="22" spans="1:58" x14ac:dyDescent="0.3">
      <c r="A22" s="136"/>
      <c r="B22" s="39" t="s">
        <v>907</v>
      </c>
      <c r="C22" s="151">
        <v>230.8</v>
      </c>
      <c r="D22" s="139">
        <f>(-4675)/10</f>
        <v>-467.5</v>
      </c>
      <c r="E22" s="139">
        <v>1730.7</v>
      </c>
      <c r="F22" s="139">
        <v>0</v>
      </c>
      <c r="G22" s="666">
        <f>SUM(C22:F22)</f>
        <v>1494</v>
      </c>
      <c r="H22" s="609">
        <v>0</v>
      </c>
      <c r="I22" s="119">
        <v>0</v>
      </c>
      <c r="J22" s="119">
        <v>0</v>
      </c>
      <c r="K22" s="119">
        <v>0</v>
      </c>
      <c r="L22" s="682">
        <f>SUM(H22:K22)</f>
        <v>0</v>
      </c>
      <c r="M22" s="119">
        <f>((-6484)*10)/10</f>
        <v>-6484</v>
      </c>
      <c r="N22" s="119">
        <f>((-5505)*10)/10</f>
        <v>-5505</v>
      </c>
      <c r="O22" s="119">
        <f>((-935)*10)/10</f>
        <v>-935</v>
      </c>
      <c r="P22" s="119">
        <f>((-2014)*10)/10</f>
        <v>-2014</v>
      </c>
      <c r="Q22" s="710">
        <f>SUM(M22:P22)</f>
        <v>-14938</v>
      </c>
      <c r="R22" s="609">
        <v>2045</v>
      </c>
      <c r="S22" s="119">
        <v>2193</v>
      </c>
      <c r="T22" s="119">
        <v>9592</v>
      </c>
      <c r="U22" s="627">
        <v>2776</v>
      </c>
      <c r="V22" s="740">
        <f>SUM(R22:U22)</f>
        <v>16606</v>
      </c>
      <c r="W22" s="151">
        <v>4247</v>
      </c>
      <c r="X22" s="139">
        <v>2025</v>
      </c>
      <c r="Y22" s="566">
        <f>$Y$11*BE22</f>
        <v>3366.6188579947952</v>
      </c>
      <c r="Z22" s="566">
        <f>$Z$11*BF22</f>
        <v>517.46414021485998</v>
      </c>
      <c r="AA22" s="757">
        <f>SUM(W22:Z22)</f>
        <v>10156.082998209655</v>
      </c>
      <c r="AE22" s="64" t="s">
        <v>907</v>
      </c>
      <c r="AF22" s="580">
        <f t="shared" ref="AF22:BD22" si="5">C22/C11</f>
        <v>2.4562925201742181E-2</v>
      </c>
      <c r="AG22" s="581">
        <f t="shared" si="5"/>
        <v>-4.0874763658619223E-2</v>
      </c>
      <c r="AH22" s="581">
        <f t="shared" si="5"/>
        <v>0.13948961806989796</v>
      </c>
      <c r="AI22" s="581">
        <f t="shared" si="5"/>
        <v>0</v>
      </c>
      <c r="AJ22" s="582">
        <f t="shared" si="5"/>
        <v>3.1291234684260129E-2</v>
      </c>
      <c r="AK22" s="580">
        <f t="shared" si="5"/>
        <v>0</v>
      </c>
      <c r="AL22" s="581">
        <f t="shared" si="5"/>
        <v>0</v>
      </c>
      <c r="AM22" s="581">
        <f t="shared" si="5"/>
        <v>0</v>
      </c>
      <c r="AN22" s="581">
        <f t="shared" si="5"/>
        <v>0</v>
      </c>
      <c r="AO22" s="582">
        <f t="shared" si="5"/>
        <v>0</v>
      </c>
      <c r="AP22" s="580">
        <f t="shared" si="5"/>
        <v>-0.75281551143620107</v>
      </c>
      <c r="AQ22" s="581">
        <f t="shared" si="5"/>
        <v>-0.4162570888468809</v>
      </c>
      <c r="AR22" s="581">
        <f t="shared" si="5"/>
        <v>-8.6766889383815882E-2</v>
      </c>
      <c r="AS22" s="581">
        <f t="shared" si="5"/>
        <v>-0.10175314505128076</v>
      </c>
      <c r="AT22" s="582">
        <f t="shared" si="5"/>
        <v>-0.28503825824794399</v>
      </c>
      <c r="AU22" s="580">
        <f t="shared" si="5"/>
        <v>0.13290439981802821</v>
      </c>
      <c r="AV22" s="581">
        <f t="shared" si="5"/>
        <v>0.11404649227728951</v>
      </c>
      <c r="AW22" s="581">
        <f t="shared" si="5"/>
        <v>0.3577902943041516</v>
      </c>
      <c r="AX22" s="484">
        <f t="shared" si="5"/>
        <v>0.14003934823185188</v>
      </c>
      <c r="AY22" s="536">
        <f t="shared" si="5"/>
        <v>0.20438656951555731</v>
      </c>
      <c r="AZ22" s="580">
        <f t="shared" si="5"/>
        <v>0.33343801523121613</v>
      </c>
      <c r="BA22" s="581">
        <f t="shared" si="5"/>
        <v>0.108</v>
      </c>
      <c r="BB22" s="581">
        <f t="shared" si="5"/>
        <v>0.13551170246016786</v>
      </c>
      <c r="BC22" s="581">
        <f t="shared" si="5"/>
        <v>1.9143101590285559E-2</v>
      </c>
      <c r="BD22" s="581">
        <f t="shared" si="5"/>
        <v>0.12183092000896004</v>
      </c>
      <c r="BE22" s="598">
        <f>AVERAGE(AW22,AR22)</f>
        <v>0.13551170246016786</v>
      </c>
      <c r="BF22" s="595">
        <f>AVERAGE(AX22,AS22)</f>
        <v>1.9143101590285559E-2</v>
      </c>
    </row>
    <row r="23" spans="1:58" s="187" customFormat="1" x14ac:dyDescent="0.3">
      <c r="A23" s="180"/>
      <c r="B23" s="181" t="s">
        <v>927</v>
      </c>
      <c r="C23" s="182"/>
      <c r="D23" s="183">
        <f>(D22-C22)/C22</f>
        <v>-3.0255632582322352</v>
      </c>
      <c r="E23" s="183">
        <f>(E22-D22)/D22</f>
        <v>-4.7020320855614965</v>
      </c>
      <c r="F23" s="183">
        <f>(F22-E22)/E22</f>
        <v>-1</v>
      </c>
      <c r="G23" s="675"/>
      <c r="H23" s="615">
        <v>0</v>
      </c>
      <c r="I23" s="616">
        <v>0</v>
      </c>
      <c r="J23" s="616">
        <v>0</v>
      </c>
      <c r="K23" s="616">
        <v>0</v>
      </c>
      <c r="L23" s="691"/>
      <c r="M23" s="185">
        <v>0</v>
      </c>
      <c r="N23" s="186">
        <f>(N22-M22)/M22</f>
        <v>-0.15098704503392968</v>
      </c>
      <c r="O23" s="186">
        <f>(O22-N22)/N22</f>
        <v>-0.83015440508628524</v>
      </c>
      <c r="P23" s="186">
        <f>(P22-O22)/O22</f>
        <v>1.1540106951871658</v>
      </c>
      <c r="Q23" s="717"/>
      <c r="R23" s="634"/>
      <c r="S23" s="185"/>
      <c r="T23" s="185"/>
      <c r="U23" s="635"/>
      <c r="V23" s="744"/>
      <c r="W23" s="182"/>
      <c r="X23" s="188"/>
      <c r="Y23" s="541"/>
      <c r="Z23" s="541"/>
      <c r="AA23" s="652"/>
      <c r="AE23" s="575"/>
      <c r="AF23" s="584"/>
      <c r="AJ23" s="585"/>
      <c r="AK23" s="584"/>
      <c r="AO23" s="585"/>
      <c r="AP23" s="584"/>
      <c r="AT23" s="585"/>
      <c r="AU23" s="584"/>
      <c r="AX23" s="588"/>
      <c r="AY23" s="538"/>
      <c r="AZ23" s="584"/>
      <c r="BE23" s="599"/>
      <c r="BF23" s="596"/>
    </row>
    <row r="24" spans="1:58" s="187" customFormat="1" x14ac:dyDescent="0.3">
      <c r="A24" s="180"/>
      <c r="B24" s="181" t="s">
        <v>928</v>
      </c>
      <c r="C24" s="182"/>
      <c r="D24" s="188"/>
      <c r="E24" s="188"/>
      <c r="F24" s="188"/>
      <c r="G24" s="675"/>
      <c r="H24" s="617">
        <v>0</v>
      </c>
      <c r="I24" s="548">
        <v>0</v>
      </c>
      <c r="J24" s="548">
        <v>0</v>
      </c>
      <c r="K24" s="548">
        <v>0</v>
      </c>
      <c r="L24" s="692">
        <v>0</v>
      </c>
      <c r="M24" s="548">
        <v>0</v>
      </c>
      <c r="N24" s="548">
        <v>0</v>
      </c>
      <c r="O24" s="548">
        <v>0</v>
      </c>
      <c r="P24" s="548">
        <v>0</v>
      </c>
      <c r="Q24" s="718">
        <v>0</v>
      </c>
      <c r="R24" s="617">
        <f t="shared" ref="R24:AA24" si="6">(R22-M22)/M22</f>
        <v>-1.3153917334978409</v>
      </c>
      <c r="S24" s="548">
        <f t="shared" si="6"/>
        <v>-1.3983651226158038</v>
      </c>
      <c r="T24" s="548">
        <f t="shared" si="6"/>
        <v>-11.258823529411766</v>
      </c>
      <c r="U24" s="618">
        <f t="shared" si="6"/>
        <v>-2.378351539225422</v>
      </c>
      <c r="V24" s="718">
        <f t="shared" si="6"/>
        <v>-2.1116615343419469</v>
      </c>
      <c r="W24" s="653">
        <f t="shared" si="6"/>
        <v>1.0767726161369193</v>
      </c>
      <c r="X24" s="183">
        <f t="shared" si="6"/>
        <v>-7.6607387140902872E-2</v>
      </c>
      <c r="Y24" s="565">
        <f t="shared" si="6"/>
        <v>-0.6490180506677653</v>
      </c>
      <c r="Z24" s="565">
        <f t="shared" si="6"/>
        <v>-0.81359360943268733</v>
      </c>
      <c r="AA24" s="654">
        <f t="shared" si="6"/>
        <v>-0.38840882824222239</v>
      </c>
      <c r="AE24" s="575"/>
      <c r="AF24" s="584"/>
      <c r="AJ24" s="585"/>
      <c r="AK24" s="584"/>
      <c r="AO24" s="585"/>
      <c r="AP24" s="584"/>
      <c r="AT24" s="585"/>
      <c r="AU24" s="584"/>
      <c r="AX24" s="588"/>
      <c r="AY24" s="538"/>
      <c r="AZ24" s="584"/>
      <c r="BE24" s="599"/>
      <c r="BF24" s="596"/>
    </row>
    <row r="25" spans="1:58" s="187" customFormat="1" x14ac:dyDescent="0.3">
      <c r="A25" s="180"/>
      <c r="B25" s="181" t="s">
        <v>929</v>
      </c>
      <c r="C25" s="189">
        <f>C22/$G$22</f>
        <v>0.15448460508701473</v>
      </c>
      <c r="D25" s="190">
        <f>D22/$G$22</f>
        <v>-0.31291834002677377</v>
      </c>
      <c r="E25" s="190">
        <f>E22/$G$22</f>
        <v>1.1584337349397591</v>
      </c>
      <c r="F25" s="190">
        <f>F22/$G$22</f>
        <v>0</v>
      </c>
      <c r="G25" s="676">
        <f>G22/$G$22</f>
        <v>1</v>
      </c>
      <c r="H25" s="615">
        <v>0</v>
      </c>
      <c r="I25" s="619">
        <v>0</v>
      </c>
      <c r="J25" s="619">
        <v>0</v>
      </c>
      <c r="K25" s="619">
        <v>0</v>
      </c>
      <c r="L25" s="693">
        <v>0</v>
      </c>
      <c r="M25" s="184">
        <f>M22/$Q$22</f>
        <v>0.43406078457624847</v>
      </c>
      <c r="N25" s="184">
        <f>N22/$Q$22</f>
        <v>0.3685232293479716</v>
      </c>
      <c r="O25" s="184">
        <f>O22/$Q$22</f>
        <v>6.2592047128129602E-2</v>
      </c>
      <c r="P25" s="184">
        <f>P22/$Q$22</f>
        <v>0.1348239389476503</v>
      </c>
      <c r="Q25" s="719">
        <f>Q22/$Q$22</f>
        <v>1</v>
      </c>
      <c r="R25" s="615">
        <f>R22/$V$22</f>
        <v>0.12314825966518125</v>
      </c>
      <c r="S25" s="619">
        <f>S22/$V$22</f>
        <v>0.13206070095146333</v>
      </c>
      <c r="T25" s="619">
        <f>T22/$V$22</f>
        <v>0.57762254606768637</v>
      </c>
      <c r="U25" s="636">
        <f>U22/$V$22</f>
        <v>0.16716849331566905</v>
      </c>
      <c r="V25" s="745">
        <f>V22/$V$22</f>
        <v>1</v>
      </c>
      <c r="W25" s="182"/>
      <c r="X25" s="188"/>
      <c r="Y25" s="541"/>
      <c r="Z25" s="541"/>
      <c r="AA25" s="652"/>
      <c r="AE25" s="575"/>
      <c r="AF25" s="584"/>
      <c r="AJ25" s="585"/>
      <c r="AK25" s="584"/>
      <c r="AO25" s="585"/>
      <c r="AP25" s="584"/>
      <c r="AT25" s="585"/>
      <c r="AU25" s="584"/>
      <c r="AX25" s="588"/>
      <c r="AY25" s="538"/>
      <c r="AZ25" s="584"/>
      <c r="BE25" s="599"/>
      <c r="BF25" s="596"/>
    </row>
    <row r="26" spans="1:58" x14ac:dyDescent="0.3">
      <c r="A26" s="136"/>
      <c r="B26" s="150" t="s">
        <v>908</v>
      </c>
      <c r="C26" s="151">
        <v>6292.1</v>
      </c>
      <c r="D26" s="139">
        <v>8433.7999999999993</v>
      </c>
      <c r="E26" s="139">
        <v>6894.8</v>
      </c>
      <c r="F26" s="139">
        <v>0</v>
      </c>
      <c r="G26" s="666">
        <f>SUM(C26:F26)</f>
        <v>21620.7</v>
      </c>
      <c r="H26" s="609">
        <v>0</v>
      </c>
      <c r="I26" s="119">
        <v>0</v>
      </c>
      <c r="J26" s="119">
        <v>0</v>
      </c>
      <c r="K26" s="119">
        <v>0</v>
      </c>
      <c r="L26" s="682">
        <f>SUM(H26:K26)</f>
        <v>0</v>
      </c>
      <c r="M26" s="119">
        <v>3417</v>
      </c>
      <c r="N26" s="119">
        <v>3993</v>
      </c>
      <c r="O26" s="119">
        <v>2991</v>
      </c>
      <c r="P26" s="119">
        <v>6451</v>
      </c>
      <c r="Q26" s="710">
        <f>SUM(M26:P26)</f>
        <v>16852</v>
      </c>
      <c r="R26" s="609">
        <v>3461</v>
      </c>
      <c r="S26" s="119">
        <v>3943</v>
      </c>
      <c r="T26" s="119">
        <v>4863</v>
      </c>
      <c r="U26" s="627">
        <v>5004</v>
      </c>
      <c r="V26" s="740">
        <f>SUM(R26:U26)</f>
        <v>17271</v>
      </c>
      <c r="W26" s="151">
        <v>1285</v>
      </c>
      <c r="X26" s="139">
        <v>3087</v>
      </c>
      <c r="Y26" s="566">
        <f>$Y$11*BE26</f>
        <v>5701.0885359794556</v>
      </c>
      <c r="Z26" s="566">
        <f>Z11*BF26</f>
        <v>7816.8938858090323</v>
      </c>
      <c r="AA26" s="643">
        <f>SUM(W26:Z26)</f>
        <v>17889.982421788489</v>
      </c>
      <c r="AE26" s="574" t="s">
        <v>908</v>
      </c>
      <c r="AF26" s="580">
        <f t="shared" ref="AF26:BD26" si="7">C26/C11</f>
        <v>0.669637702174532</v>
      </c>
      <c r="AG26" s="581">
        <f t="shared" si="7"/>
        <v>0.73738947966644441</v>
      </c>
      <c r="AH26" s="581">
        <f t="shared" si="7"/>
        <v>0.55570174996725741</v>
      </c>
      <c r="AI26" s="581">
        <f t="shared" si="7"/>
        <v>0</v>
      </c>
      <c r="AJ26" s="582">
        <f t="shared" si="7"/>
        <v>0.45283694627709709</v>
      </c>
      <c r="AK26" s="580">
        <f t="shared" si="7"/>
        <v>0</v>
      </c>
      <c r="AL26" s="581">
        <f t="shared" si="7"/>
        <v>0</v>
      </c>
      <c r="AM26" s="581">
        <f t="shared" si="7"/>
        <v>0</v>
      </c>
      <c r="AN26" s="581">
        <f t="shared" si="7"/>
        <v>0</v>
      </c>
      <c r="AO26" s="582">
        <f t="shared" si="7"/>
        <v>0</v>
      </c>
      <c r="AP26" s="580">
        <f t="shared" si="7"/>
        <v>0.39672587948450017</v>
      </c>
      <c r="AQ26" s="581">
        <f t="shared" si="7"/>
        <v>0.3019281663516068</v>
      </c>
      <c r="AR26" s="581">
        <f t="shared" si="7"/>
        <v>0.27756124721603564</v>
      </c>
      <c r="AS26" s="581">
        <f t="shared" si="7"/>
        <v>0.32592330621937049</v>
      </c>
      <c r="AT26" s="582">
        <f t="shared" si="7"/>
        <v>0.32156009693361576</v>
      </c>
      <c r="AU26" s="580">
        <f t="shared" si="7"/>
        <v>0.22493013582894653</v>
      </c>
      <c r="AV26" s="581">
        <f t="shared" si="7"/>
        <v>0.20505486504758438</v>
      </c>
      <c r="AW26" s="581">
        <f t="shared" si="7"/>
        <v>0.18139430788168154</v>
      </c>
      <c r="AX26" s="484">
        <f t="shared" si="7"/>
        <v>0.25243404126519697</v>
      </c>
      <c r="AY26" s="536">
        <f t="shared" si="7"/>
        <v>0.21257138637258763</v>
      </c>
      <c r="AZ26" s="580">
        <f t="shared" si="7"/>
        <v>0.1008871790845568</v>
      </c>
      <c r="BA26" s="581">
        <f t="shared" si="7"/>
        <v>0.16464000000000001</v>
      </c>
      <c r="BB26" s="581">
        <f t="shared" si="7"/>
        <v>0.22947777754885859</v>
      </c>
      <c r="BC26" s="581">
        <f t="shared" si="7"/>
        <v>0.28917867374228373</v>
      </c>
      <c r="BD26" s="581">
        <f t="shared" si="7"/>
        <v>0.21460567206617284</v>
      </c>
      <c r="BE26" s="598">
        <f>AVERAGE(AW26,AR26)</f>
        <v>0.22947777754885859</v>
      </c>
      <c r="BF26" s="595">
        <f>AVERAGE(AX26,AS26)</f>
        <v>0.28917867374228373</v>
      </c>
    </row>
    <row r="27" spans="1:58" x14ac:dyDescent="0.3">
      <c r="A27" s="136"/>
      <c r="B27" s="191" t="s">
        <v>927</v>
      </c>
      <c r="C27" s="192"/>
      <c r="D27" s="193">
        <f>(D26-C26)/C26</f>
        <v>0.34037920567060265</v>
      </c>
      <c r="E27" s="193">
        <f>(E26-D26)/D26</f>
        <v>-0.18248002086841036</v>
      </c>
      <c r="F27" s="193">
        <f>(F26-E26)/E26</f>
        <v>-1</v>
      </c>
      <c r="G27" s="677"/>
      <c r="H27" s="607">
        <v>0</v>
      </c>
      <c r="I27" s="194">
        <v>0</v>
      </c>
      <c r="J27" s="194">
        <v>0</v>
      </c>
      <c r="K27" s="194">
        <v>0</v>
      </c>
      <c r="L27" s="694"/>
      <c r="M27" s="145" t="e">
        <f>(M26-K26)/K26</f>
        <v>#DIV/0!</v>
      </c>
      <c r="N27" s="145" t="e">
        <f>(N26-L26)/L26</f>
        <v>#DIV/0!</v>
      </c>
      <c r="O27" s="145">
        <f>(O26-M26)/M26</f>
        <v>-0.12467076382791922</v>
      </c>
      <c r="P27" s="145">
        <f>(P26-N26)/N26</f>
        <v>0.61557726020535941</v>
      </c>
      <c r="Q27" s="720"/>
      <c r="R27" s="628">
        <f>(R26-P26)/P26</f>
        <v>-0.46349403193303362</v>
      </c>
      <c r="S27" s="547">
        <f>(S26-R26)/R26</f>
        <v>0.13926610806125397</v>
      </c>
      <c r="T27" s="547">
        <f>(T26-S26)/S26</f>
        <v>0.23332487953335024</v>
      </c>
      <c r="U27" s="629">
        <f>(U26-T26)/T26</f>
        <v>2.8994447871684145E-2</v>
      </c>
      <c r="V27" s="746"/>
      <c r="W27" s="644">
        <f>(W26-U26)/U26</f>
        <v>-0.74320543565147879</v>
      </c>
      <c r="X27" s="555">
        <f>(X26-W26)/W26</f>
        <v>1.4023346303501945</v>
      </c>
      <c r="Y27" s="556">
        <f>(Y26-X26)/X26</f>
        <v>0.8468054862259331</v>
      </c>
      <c r="Z27" s="556">
        <f>(Z26-Y26)/Y26</f>
        <v>0.37112304719998146</v>
      </c>
      <c r="AA27" s="655"/>
      <c r="AE27" s="250"/>
      <c r="AF27" s="99"/>
      <c r="AJ27" s="583"/>
      <c r="AK27" s="99"/>
      <c r="AO27" s="583"/>
      <c r="AP27" s="99"/>
      <c r="AT27" s="583"/>
      <c r="AU27" s="99"/>
      <c r="AX27" s="220"/>
      <c r="AY27" s="537"/>
      <c r="AZ27" s="99"/>
      <c r="BE27" s="597"/>
      <c r="BF27" s="594"/>
    </row>
    <row r="28" spans="1:58" x14ac:dyDescent="0.3">
      <c r="A28" s="136"/>
      <c r="B28" s="191" t="s">
        <v>928</v>
      </c>
      <c r="C28" s="192"/>
      <c r="D28" s="198"/>
      <c r="E28" s="198"/>
      <c r="F28" s="198"/>
      <c r="G28" s="677"/>
      <c r="H28" s="620">
        <f>(H26-C26)/C26</f>
        <v>-1</v>
      </c>
      <c r="I28" s="549">
        <f>(I26-D26)/D26</f>
        <v>-1</v>
      </c>
      <c r="J28" s="549">
        <f>(J26-E26)/E26</f>
        <v>-1</v>
      </c>
      <c r="K28" s="549"/>
      <c r="L28" s="695">
        <f>(L26-G26)/G26</f>
        <v>-1</v>
      </c>
      <c r="M28" s="199">
        <v>0</v>
      </c>
      <c r="N28" s="199">
        <v>0</v>
      </c>
      <c r="O28" s="199">
        <v>0</v>
      </c>
      <c r="P28" s="199">
        <v>0</v>
      </c>
      <c r="Q28" s="721"/>
      <c r="R28" s="620">
        <f t="shared" ref="R28:Z28" si="8">(R26-M26)/M26</f>
        <v>1.2876792508047996E-2</v>
      </c>
      <c r="S28" s="549">
        <f t="shared" si="8"/>
        <v>-1.252191334835963E-2</v>
      </c>
      <c r="T28" s="549">
        <f t="shared" si="8"/>
        <v>0.62587763289869613</v>
      </c>
      <c r="U28" s="621">
        <f t="shared" si="8"/>
        <v>-0.22430630909936444</v>
      </c>
      <c r="V28" s="747">
        <f t="shared" si="8"/>
        <v>2.4863517683361026E-2</v>
      </c>
      <c r="W28" s="656">
        <f t="shared" si="8"/>
        <v>-0.62872002311470676</v>
      </c>
      <c r="X28" s="557">
        <f t="shared" si="8"/>
        <v>-0.21709358356581282</v>
      </c>
      <c r="Y28" s="558">
        <f t="shared" si="8"/>
        <v>0.17233981821498162</v>
      </c>
      <c r="Z28" s="558">
        <f t="shared" si="8"/>
        <v>0.5621290739026843</v>
      </c>
      <c r="AA28" s="657"/>
      <c r="AE28" s="250"/>
      <c r="AF28" s="99"/>
      <c r="AJ28" s="583"/>
      <c r="AK28" s="99"/>
      <c r="AO28" s="583"/>
      <c r="AP28" s="99"/>
      <c r="AT28" s="583"/>
      <c r="AU28" s="99"/>
      <c r="AX28" s="220"/>
      <c r="AY28" s="537"/>
      <c r="AZ28" s="99"/>
      <c r="BE28" s="597"/>
      <c r="BF28" s="594"/>
    </row>
    <row r="29" spans="1:58" x14ac:dyDescent="0.3">
      <c r="B29" s="191" t="s">
        <v>929</v>
      </c>
      <c r="C29" s="201">
        <f>C26/$G$26</f>
        <v>0.29102202981402081</v>
      </c>
      <c r="D29" s="201">
        <f>D26/$G$26</f>
        <v>0.39007987715476367</v>
      </c>
      <c r="E29" s="201">
        <f>E26/$G$26</f>
        <v>0.31889809303121547</v>
      </c>
      <c r="F29" s="201">
        <f>F26/$G$26</f>
        <v>0</v>
      </c>
      <c r="G29" s="678">
        <f>G26/$G$26</f>
        <v>1</v>
      </c>
      <c r="H29" s="607">
        <v>0</v>
      </c>
      <c r="I29" s="194">
        <v>0</v>
      </c>
      <c r="J29" s="194">
        <v>0</v>
      </c>
      <c r="K29" s="194">
        <v>0</v>
      </c>
      <c r="L29" s="694">
        <v>0</v>
      </c>
      <c r="M29" s="202">
        <f>M26/$Q$26</f>
        <v>0.20276525041538096</v>
      </c>
      <c r="N29" s="202">
        <f>N26/$Q$26</f>
        <v>0.23694516971279372</v>
      </c>
      <c r="O29" s="202">
        <f>O26/$Q$26</f>
        <v>0.1774863517683361</v>
      </c>
      <c r="P29" s="202">
        <f>P26/$Q$26</f>
        <v>0.38280322810348921</v>
      </c>
      <c r="Q29" s="722">
        <f>Q26/$Q$26</f>
        <v>1</v>
      </c>
      <c r="R29" s="622">
        <f>R26/$V$26</f>
        <v>0.2003937235828846</v>
      </c>
      <c r="S29" s="550">
        <f>S26/$V$26</f>
        <v>0.22830177754617567</v>
      </c>
      <c r="T29" s="550">
        <f>T26/$V$26</f>
        <v>0.28157026228938681</v>
      </c>
      <c r="U29" s="626">
        <f>U26/$V$26</f>
        <v>0.2897342365815529</v>
      </c>
      <c r="V29" s="748">
        <f>V26/$V$26</f>
        <v>1</v>
      </c>
      <c r="W29" s="192"/>
      <c r="X29" s="198"/>
      <c r="Y29" s="542"/>
      <c r="Z29" s="542"/>
      <c r="AA29" s="655"/>
      <c r="AE29" s="250"/>
      <c r="AF29" s="99"/>
      <c r="AJ29" s="583"/>
      <c r="AK29" s="99"/>
      <c r="AO29" s="583"/>
      <c r="AP29" s="99"/>
      <c r="AT29" s="583"/>
      <c r="AU29" s="99"/>
      <c r="AX29" s="220"/>
      <c r="AY29" s="537"/>
      <c r="AZ29" s="99"/>
      <c r="BE29" s="597"/>
      <c r="BF29" s="594"/>
    </row>
    <row r="30" spans="1:58" x14ac:dyDescent="0.3">
      <c r="B30" s="99" t="s">
        <v>2</v>
      </c>
      <c r="C30" s="151">
        <v>0</v>
      </c>
      <c r="D30" s="139">
        <v>0</v>
      </c>
      <c r="E30" s="139">
        <v>0</v>
      </c>
      <c r="F30" s="139">
        <v>1466.6</v>
      </c>
      <c r="G30" s="666">
        <f>SUM(C30:F30)</f>
        <v>1466.6</v>
      </c>
      <c r="H30" s="609">
        <v>1362</v>
      </c>
      <c r="I30" s="119">
        <v>1219</v>
      </c>
      <c r="J30" s="119">
        <v>1441</v>
      </c>
      <c r="K30" s="119">
        <v>1583</v>
      </c>
      <c r="L30" s="682">
        <f>SUM(H30:K30)</f>
        <v>5605</v>
      </c>
      <c r="M30" s="119">
        <v>0</v>
      </c>
      <c r="N30" s="119">
        <v>0</v>
      </c>
      <c r="O30" s="119">
        <v>0</v>
      </c>
      <c r="P30" s="119">
        <v>0</v>
      </c>
      <c r="Q30" s="710">
        <f>SUM(M30:P30)</f>
        <v>0</v>
      </c>
      <c r="R30" s="609">
        <v>0</v>
      </c>
      <c r="S30" s="119">
        <v>0</v>
      </c>
      <c r="T30" s="119">
        <v>0</v>
      </c>
      <c r="U30" s="627">
        <v>0</v>
      </c>
      <c r="V30" s="740">
        <v>0</v>
      </c>
      <c r="W30" s="151">
        <v>0</v>
      </c>
      <c r="X30" s="139">
        <v>0</v>
      </c>
      <c r="Y30" s="566">
        <f>$Y$11*BE30</f>
        <v>0</v>
      </c>
      <c r="Z30" s="566">
        <f>$Y$11*BF30</f>
        <v>0</v>
      </c>
      <c r="AA30" s="642">
        <f>SUM(W30:Z30)</f>
        <v>0</v>
      </c>
      <c r="AE30" s="250" t="s">
        <v>2</v>
      </c>
      <c r="AF30" s="580">
        <f t="shared" ref="AF30:BD30" si="9">C30/C11</f>
        <v>0</v>
      </c>
      <c r="AG30" s="581">
        <f t="shared" si="9"/>
        <v>0</v>
      </c>
      <c r="AH30" s="581">
        <f t="shared" si="9"/>
        <v>0</v>
      </c>
      <c r="AI30" s="581">
        <f t="shared" si="9"/>
        <v>0.10111710755155053</v>
      </c>
      <c r="AJ30" s="582">
        <f t="shared" si="9"/>
        <v>3.071735260236674E-2</v>
      </c>
      <c r="AK30" s="580">
        <f t="shared" si="9"/>
        <v>0.10643951234760862</v>
      </c>
      <c r="AL30" s="581">
        <f t="shared" si="9"/>
        <v>0.11100992623622621</v>
      </c>
      <c r="AM30" s="581">
        <f t="shared" si="9"/>
        <v>0.11325945138725144</v>
      </c>
      <c r="AN30" s="581">
        <f t="shared" si="9"/>
        <v>8.5632370442497024E-2</v>
      </c>
      <c r="AO30" s="582">
        <f t="shared" si="9"/>
        <v>0.1019350380096752</v>
      </c>
      <c r="AP30" s="580">
        <f t="shared" si="9"/>
        <v>0</v>
      </c>
      <c r="AQ30" s="581">
        <f t="shared" si="9"/>
        <v>0</v>
      </c>
      <c r="AR30" s="581">
        <f t="shared" si="9"/>
        <v>0</v>
      </c>
      <c r="AS30" s="581">
        <f t="shared" si="9"/>
        <v>0</v>
      </c>
      <c r="AT30" s="582">
        <f t="shared" si="9"/>
        <v>0</v>
      </c>
      <c r="AU30" s="580">
        <f t="shared" si="9"/>
        <v>0</v>
      </c>
      <c r="AV30" s="581">
        <f t="shared" si="9"/>
        <v>0</v>
      </c>
      <c r="AW30" s="581">
        <f t="shared" si="9"/>
        <v>0</v>
      </c>
      <c r="AX30" s="484">
        <f t="shared" si="9"/>
        <v>0</v>
      </c>
      <c r="AY30" s="536">
        <f t="shared" si="9"/>
        <v>0</v>
      </c>
      <c r="AZ30" s="580">
        <f t="shared" si="9"/>
        <v>0</v>
      </c>
      <c r="BA30" s="581">
        <f t="shared" si="9"/>
        <v>0</v>
      </c>
      <c r="BB30" s="581">
        <f t="shared" si="9"/>
        <v>0</v>
      </c>
      <c r="BC30" s="581">
        <f t="shared" si="9"/>
        <v>0</v>
      </c>
      <c r="BD30" s="581">
        <f t="shared" si="9"/>
        <v>0</v>
      </c>
      <c r="BE30" s="598">
        <f>AVERAGE(AW30,AR30)</f>
        <v>0</v>
      </c>
      <c r="BF30" s="595">
        <f>AVERAGE(AX30,AS30)</f>
        <v>0</v>
      </c>
    </row>
    <row r="31" spans="1:58" x14ac:dyDescent="0.3">
      <c r="B31" s="191" t="s">
        <v>927</v>
      </c>
      <c r="C31" s="192"/>
      <c r="D31" s="198"/>
      <c r="E31" s="198"/>
      <c r="F31" s="198"/>
      <c r="G31" s="677"/>
      <c r="H31" s="620">
        <f>(H30-F30)/F30</f>
        <v>-7.1321423701077261E-2</v>
      </c>
      <c r="I31" s="549">
        <f>(I30-H30)/H30</f>
        <v>-0.10499265785609398</v>
      </c>
      <c r="J31" s="549">
        <f>(J30-I30)/I30</f>
        <v>0.18211648892534865</v>
      </c>
      <c r="K31" s="549">
        <f>(K30-J30)/J30</f>
        <v>9.8542678695350452E-2</v>
      </c>
      <c r="L31" s="694"/>
      <c r="M31" s="194">
        <v>0</v>
      </c>
      <c r="N31" s="194">
        <v>0</v>
      </c>
      <c r="O31" s="194">
        <v>0</v>
      </c>
      <c r="P31" s="194">
        <v>0</v>
      </c>
      <c r="Q31" s="720"/>
      <c r="R31" s="607">
        <v>0</v>
      </c>
      <c r="S31" s="194">
        <v>0</v>
      </c>
      <c r="T31" s="194">
        <v>0</v>
      </c>
      <c r="U31" s="608">
        <v>0</v>
      </c>
      <c r="V31" s="746"/>
      <c r="W31" s="192"/>
      <c r="X31" s="198"/>
      <c r="Y31" s="542"/>
      <c r="Z31" s="542"/>
      <c r="AA31" s="655"/>
      <c r="AE31" s="576" t="s">
        <v>927</v>
      </c>
      <c r="AF31" s="99"/>
      <c r="AJ31" s="583"/>
      <c r="AK31" s="99"/>
      <c r="AO31" s="583"/>
      <c r="AP31" s="99"/>
      <c r="AT31" s="583"/>
      <c r="AU31" s="99"/>
      <c r="AX31" s="220"/>
      <c r="AY31" s="537"/>
      <c r="AZ31" s="99"/>
      <c r="BE31" s="597"/>
      <c r="BF31" s="594"/>
    </row>
    <row r="32" spans="1:58" x14ac:dyDescent="0.3">
      <c r="B32" s="191" t="s">
        <v>928</v>
      </c>
      <c r="C32" s="192"/>
      <c r="D32" s="198"/>
      <c r="E32" s="198"/>
      <c r="F32" s="198"/>
      <c r="G32" s="677"/>
      <c r="H32" s="620"/>
      <c r="I32" s="549"/>
      <c r="J32" s="549"/>
      <c r="K32" s="549">
        <f t="shared" ref="K32:Q32" si="10">(K30-F30)/F30</f>
        <v>7.9367243965634868E-2</v>
      </c>
      <c r="L32" s="696">
        <f t="shared" si="10"/>
        <v>2.821764625664803</v>
      </c>
      <c r="M32" s="199">
        <f t="shared" si="10"/>
        <v>-1</v>
      </c>
      <c r="N32" s="199">
        <f t="shared" si="10"/>
        <v>-1</v>
      </c>
      <c r="O32" s="199">
        <f t="shared" si="10"/>
        <v>-1</v>
      </c>
      <c r="P32" s="199">
        <f t="shared" si="10"/>
        <v>-1</v>
      </c>
      <c r="Q32" s="723">
        <f t="shared" si="10"/>
        <v>-1</v>
      </c>
      <c r="R32" s="620"/>
      <c r="S32" s="549"/>
      <c r="T32" s="549"/>
      <c r="U32" s="621"/>
      <c r="V32" s="723"/>
      <c r="W32" s="656"/>
      <c r="X32" s="193"/>
      <c r="Y32" s="567"/>
      <c r="Z32" s="567"/>
      <c r="AA32" s="655"/>
      <c r="AE32" s="576" t="s">
        <v>928</v>
      </c>
      <c r="AF32" s="99"/>
      <c r="AJ32" s="583"/>
      <c r="AK32" s="99"/>
      <c r="AO32" s="583"/>
      <c r="AP32" s="99"/>
      <c r="AT32" s="583"/>
      <c r="AU32" s="99"/>
      <c r="AX32" s="220"/>
      <c r="AY32" s="537"/>
      <c r="AZ32" s="99"/>
      <c r="BE32" s="597"/>
      <c r="BF32" s="594"/>
    </row>
    <row r="33" spans="1:58" x14ac:dyDescent="0.3">
      <c r="B33" s="191" t="s">
        <v>929</v>
      </c>
      <c r="C33" s="192"/>
      <c r="D33" s="198"/>
      <c r="E33" s="198"/>
      <c r="F33" s="198"/>
      <c r="G33" s="677"/>
      <c r="H33" s="607"/>
      <c r="I33" s="194"/>
      <c r="J33" s="194"/>
      <c r="K33" s="194"/>
      <c r="L33" s="694"/>
      <c r="M33" s="194"/>
      <c r="N33" s="194"/>
      <c r="O33" s="194"/>
      <c r="P33" s="194"/>
      <c r="Q33" s="720"/>
      <c r="R33" s="607"/>
      <c r="S33" s="194"/>
      <c r="T33" s="194"/>
      <c r="U33" s="608"/>
      <c r="V33" s="746"/>
      <c r="W33" s="192"/>
      <c r="X33" s="198"/>
      <c r="Y33" s="542"/>
      <c r="Z33" s="542"/>
      <c r="AA33" s="655"/>
      <c r="AE33" s="576" t="s">
        <v>929</v>
      </c>
      <c r="AF33" s="99"/>
      <c r="AJ33" s="583"/>
      <c r="AK33" s="99"/>
      <c r="AO33" s="583"/>
      <c r="AP33" s="99"/>
      <c r="AT33" s="583"/>
      <c r="AU33" s="99"/>
      <c r="AX33" s="220"/>
      <c r="AY33" s="537"/>
      <c r="AZ33" s="99"/>
      <c r="BE33" s="597"/>
      <c r="BF33" s="594"/>
    </row>
    <row r="34" spans="1:58" ht="14.5" thickBot="1" x14ac:dyDescent="0.35">
      <c r="B34" s="121" t="s">
        <v>909</v>
      </c>
      <c r="C34" s="151">
        <v>0</v>
      </c>
      <c r="D34" s="139">
        <v>0</v>
      </c>
      <c r="E34" s="139">
        <v>0</v>
      </c>
      <c r="F34" s="139">
        <v>0</v>
      </c>
      <c r="G34" s="666">
        <f>SUM(C34:F34)</f>
        <v>0</v>
      </c>
      <c r="H34" s="609">
        <v>0</v>
      </c>
      <c r="I34" s="119">
        <v>0</v>
      </c>
      <c r="J34" s="119">
        <v>0</v>
      </c>
      <c r="K34" s="119">
        <v>0</v>
      </c>
      <c r="L34" s="682">
        <f>SUM(H34:K34)</f>
        <v>0</v>
      </c>
      <c r="M34" s="119">
        <v>1094</v>
      </c>
      <c r="N34" s="119">
        <v>1165</v>
      </c>
      <c r="O34" s="119">
        <v>1254</v>
      </c>
      <c r="P34" s="119">
        <v>1475</v>
      </c>
      <c r="Q34" s="710">
        <f>SUM(M34:P34)</f>
        <v>4988</v>
      </c>
      <c r="R34" s="609">
        <v>905</v>
      </c>
      <c r="S34" s="119">
        <v>735</v>
      </c>
      <c r="T34" s="119">
        <v>524</v>
      </c>
      <c r="U34" s="627">
        <v>1055</v>
      </c>
      <c r="V34" s="740">
        <f>SUM(R34:U34)</f>
        <v>3219</v>
      </c>
      <c r="W34" s="151">
        <v>406</v>
      </c>
      <c r="X34" s="139">
        <v>674</v>
      </c>
      <c r="Y34" s="566">
        <f>$Y$11*BE34</f>
        <v>1688.3239283585624</v>
      </c>
      <c r="Z34" s="566">
        <f>$Y$11*BF34</f>
        <v>1586.7988990814551</v>
      </c>
      <c r="AA34" s="758">
        <f>SUM(W34:Z34)</f>
        <v>4355.1228274400182</v>
      </c>
      <c r="AE34" s="120" t="s">
        <v>909</v>
      </c>
      <c r="AF34" s="580">
        <f t="shared" ref="AF34:BD34" si="11">C34/C11</f>
        <v>0</v>
      </c>
      <c r="AG34" s="581">
        <f t="shared" si="11"/>
        <v>0</v>
      </c>
      <c r="AH34" s="581">
        <f t="shared" si="11"/>
        <v>0</v>
      </c>
      <c r="AI34" s="581">
        <f t="shared" si="11"/>
        <v>0</v>
      </c>
      <c r="AJ34" s="582">
        <f t="shared" si="11"/>
        <v>0</v>
      </c>
      <c r="AK34" s="580">
        <f t="shared" si="11"/>
        <v>0</v>
      </c>
      <c r="AL34" s="581">
        <f t="shared" si="11"/>
        <v>0</v>
      </c>
      <c r="AM34" s="581">
        <f t="shared" si="11"/>
        <v>0</v>
      </c>
      <c r="AN34" s="581">
        <f t="shared" si="11"/>
        <v>0</v>
      </c>
      <c r="AO34" s="582">
        <f t="shared" si="11"/>
        <v>0</v>
      </c>
      <c r="AP34" s="580">
        <f t="shared" si="11"/>
        <v>0.12701729943109252</v>
      </c>
      <c r="AQ34" s="581">
        <f t="shared" si="11"/>
        <v>8.8090737240075614E-2</v>
      </c>
      <c r="AR34" s="581">
        <f t="shared" si="11"/>
        <v>0.11636971046770601</v>
      </c>
      <c r="AS34" s="581">
        <f t="shared" si="11"/>
        <v>7.4521295407467283E-2</v>
      </c>
      <c r="AT34" s="582">
        <f t="shared" si="11"/>
        <v>9.5178125059629443E-2</v>
      </c>
      <c r="AU34" s="580">
        <f t="shared" si="11"/>
        <v>5.8815883538051603E-2</v>
      </c>
      <c r="AV34" s="581">
        <f t="shared" si="11"/>
        <v>3.8223516563523845E-2</v>
      </c>
      <c r="AW34" s="581">
        <f t="shared" si="11"/>
        <v>1.9545674959901525E-2</v>
      </c>
      <c r="AX34" s="484">
        <f t="shared" si="11"/>
        <v>5.3221005902234775E-2</v>
      </c>
      <c r="AY34" s="536">
        <f t="shared" si="11"/>
        <v>3.9619436786136275E-2</v>
      </c>
      <c r="AZ34" s="580">
        <f t="shared" si="11"/>
        <v>3.1875637905315224E-2</v>
      </c>
      <c r="BA34" s="581">
        <f t="shared" si="11"/>
        <v>3.5946666666666668E-2</v>
      </c>
      <c r="BB34" s="581">
        <f t="shared" si="11"/>
        <v>6.7957692713803766E-2</v>
      </c>
      <c r="BC34" s="581">
        <f t="shared" si="11"/>
        <v>5.8702140240784295E-2</v>
      </c>
      <c r="BD34" s="581">
        <f t="shared" si="11"/>
        <v>5.2243430947991908E-2</v>
      </c>
      <c r="BE34" s="598">
        <f>AVERAGE(AW34,AR34)</f>
        <v>6.7957692713803766E-2</v>
      </c>
      <c r="BF34" s="595">
        <f>AVERAGE(AX34,AS34)</f>
        <v>6.3871150654851022E-2</v>
      </c>
    </row>
    <row r="35" spans="1:58" x14ac:dyDescent="0.3">
      <c r="B35" s="191" t="s">
        <v>927</v>
      </c>
      <c r="C35" s="192"/>
      <c r="D35" s="198"/>
      <c r="E35" s="198"/>
      <c r="F35" s="198"/>
      <c r="G35" s="677"/>
      <c r="H35" s="607"/>
      <c r="I35" s="194"/>
      <c r="J35" s="194"/>
      <c r="K35" s="194"/>
      <c r="L35" s="694"/>
      <c r="M35" s="194"/>
      <c r="N35" s="199">
        <f>(N34-M34)/M34</f>
        <v>6.4899451553930523E-2</v>
      </c>
      <c r="O35" s="199">
        <f>(O34-N34)/N34</f>
        <v>7.6394849785407726E-2</v>
      </c>
      <c r="P35" s="199">
        <f>(P34-O34)/O34</f>
        <v>0.1762360446570973</v>
      </c>
      <c r="Q35" s="721"/>
      <c r="R35" s="620">
        <f>(R34-P34)/P34</f>
        <v>-0.38644067796610171</v>
      </c>
      <c r="S35" s="549">
        <f>(S34-R34)/R34</f>
        <v>-0.18784530386740331</v>
      </c>
      <c r="T35" s="549">
        <f>(T34-S34)/S34</f>
        <v>-0.28707482993197281</v>
      </c>
      <c r="U35" s="621">
        <f>(U34-T34)/T34</f>
        <v>1.0133587786259541</v>
      </c>
      <c r="V35" s="747"/>
      <c r="W35" s="656">
        <f>(W34-U34)/U34</f>
        <v>-0.61516587677725121</v>
      </c>
      <c r="X35" s="193">
        <f>(X34-W34)/W34</f>
        <v>0.66009852216748766</v>
      </c>
      <c r="Y35" s="567">
        <f>(Y34-X34)/X34</f>
        <v>1.5049316444489056</v>
      </c>
      <c r="Z35" s="542"/>
      <c r="AA35" s="655"/>
      <c r="AE35" s="576" t="s">
        <v>927</v>
      </c>
      <c r="AF35" s="99"/>
      <c r="AJ35" s="583"/>
      <c r="AK35" s="99"/>
      <c r="AO35" s="583"/>
      <c r="AP35" s="99"/>
      <c r="AT35" s="583"/>
      <c r="AU35" s="99"/>
      <c r="AX35" s="220"/>
      <c r="AY35" s="537"/>
      <c r="AZ35" s="99"/>
      <c r="BE35" s="597"/>
      <c r="BF35" s="594"/>
    </row>
    <row r="36" spans="1:58" x14ac:dyDescent="0.3">
      <c r="B36" s="191" t="s">
        <v>928</v>
      </c>
      <c r="C36" s="192"/>
      <c r="D36" s="198"/>
      <c r="E36" s="198"/>
      <c r="F36" s="198"/>
      <c r="G36" s="677"/>
      <c r="H36" s="607"/>
      <c r="I36" s="194"/>
      <c r="J36" s="194"/>
      <c r="K36" s="194"/>
      <c r="L36" s="694"/>
      <c r="M36" s="199"/>
      <c r="N36" s="199"/>
      <c r="O36" s="199"/>
      <c r="P36" s="199"/>
      <c r="Q36" s="721"/>
      <c r="R36" s="620">
        <f t="shared" ref="R36:AA36" si="12">(R34-M34)/M34</f>
        <v>-0.17276051188299818</v>
      </c>
      <c r="S36" s="549">
        <f t="shared" si="12"/>
        <v>-0.36909871244635195</v>
      </c>
      <c r="T36" s="549">
        <f t="shared" si="12"/>
        <v>-0.58213716108452951</v>
      </c>
      <c r="U36" s="621">
        <f t="shared" si="12"/>
        <v>-0.28474576271186441</v>
      </c>
      <c r="V36" s="747">
        <f t="shared" si="12"/>
        <v>-0.35465116279069769</v>
      </c>
      <c r="W36" s="656">
        <f t="shared" si="12"/>
        <v>-0.55138121546961327</v>
      </c>
      <c r="X36" s="193">
        <f t="shared" si="12"/>
        <v>-8.2993197278911565E-2</v>
      </c>
      <c r="Y36" s="543">
        <f t="shared" si="12"/>
        <v>2.2219922296919128</v>
      </c>
      <c r="Z36" s="543">
        <f t="shared" si="12"/>
        <v>0.50407478585919918</v>
      </c>
      <c r="AA36" s="657">
        <f t="shared" si="12"/>
        <v>0.35294278578441074</v>
      </c>
      <c r="AE36" s="576" t="s">
        <v>928</v>
      </c>
      <c r="AF36" s="99"/>
      <c r="AJ36" s="583"/>
      <c r="AK36" s="99"/>
      <c r="AO36" s="583"/>
      <c r="AP36" s="99"/>
      <c r="AT36" s="583"/>
      <c r="AU36" s="99"/>
      <c r="AX36" s="220"/>
      <c r="AY36" s="537"/>
      <c r="AZ36" s="99"/>
      <c r="BE36" s="597"/>
      <c r="BF36" s="594"/>
    </row>
    <row r="37" spans="1:58" x14ac:dyDescent="0.3">
      <c r="B37" s="191" t="s">
        <v>929</v>
      </c>
      <c r="C37" s="192"/>
      <c r="D37" s="198"/>
      <c r="E37" s="198"/>
      <c r="F37" s="198"/>
      <c r="G37" s="677"/>
      <c r="H37" s="607"/>
      <c r="I37" s="194"/>
      <c r="J37" s="194"/>
      <c r="K37" s="194"/>
      <c r="L37" s="694"/>
      <c r="M37" s="202">
        <f>M34/$Q$34</f>
        <v>0.21932638331996793</v>
      </c>
      <c r="N37" s="202">
        <f>N34/$Q$34</f>
        <v>0.23356054530874099</v>
      </c>
      <c r="O37" s="202">
        <f>O34/$Q$34</f>
        <v>0.25140336808340014</v>
      </c>
      <c r="P37" s="202">
        <f>P34/$Q$34</f>
        <v>0.29570970328789092</v>
      </c>
      <c r="Q37" s="722">
        <f>Q34/$Q$34</f>
        <v>1</v>
      </c>
      <c r="R37" s="622">
        <f>R34/$V$34</f>
        <v>0.28114321217769495</v>
      </c>
      <c r="S37" s="550">
        <f>S34/$V$34</f>
        <v>0.22833178005591798</v>
      </c>
      <c r="T37" s="550">
        <f>T34/$V$34</f>
        <v>0.16278347312830072</v>
      </c>
      <c r="U37" s="626">
        <f>U34/$V$34</f>
        <v>0.32774153463808636</v>
      </c>
      <c r="V37" s="748">
        <f>V34/$V$34</f>
        <v>1</v>
      </c>
      <c r="W37" s="192"/>
      <c r="X37" s="198"/>
      <c r="Y37" s="542"/>
      <c r="Z37" s="542"/>
      <c r="AA37" s="655"/>
      <c r="AE37" s="576" t="s">
        <v>929</v>
      </c>
      <c r="AF37" s="99"/>
      <c r="AJ37" s="583"/>
      <c r="AK37" s="99"/>
      <c r="AO37" s="583"/>
      <c r="AP37" s="99"/>
      <c r="AT37" s="583"/>
      <c r="AU37" s="99"/>
      <c r="AX37" s="220"/>
      <c r="AY37" s="537"/>
      <c r="AZ37" s="99"/>
      <c r="BE37" s="597"/>
      <c r="BF37" s="594"/>
    </row>
    <row r="38" spans="1:58" x14ac:dyDescent="0.3">
      <c r="A38" s="136"/>
      <c r="B38" s="203" t="s">
        <v>33</v>
      </c>
      <c r="C38" s="151">
        <v>0</v>
      </c>
      <c r="D38" s="139">
        <v>0</v>
      </c>
      <c r="E38" s="139">
        <v>0</v>
      </c>
      <c r="F38" s="139">
        <v>0</v>
      </c>
      <c r="G38" s="666">
        <f>SUM(C38:F38)</f>
        <v>0</v>
      </c>
      <c r="H38" s="609">
        <v>0</v>
      </c>
      <c r="I38" s="119">
        <v>0</v>
      </c>
      <c r="J38" s="119">
        <v>0</v>
      </c>
      <c r="K38" s="119">
        <v>0</v>
      </c>
      <c r="L38" s="682">
        <f>SUM(H38:K38)</f>
        <v>0</v>
      </c>
      <c r="M38" s="119">
        <v>0</v>
      </c>
      <c r="N38" s="119">
        <v>0</v>
      </c>
      <c r="O38" s="119">
        <v>271</v>
      </c>
      <c r="P38" s="119">
        <v>756</v>
      </c>
      <c r="Q38" s="710">
        <f>SUM(M38:P38)</f>
        <v>1027</v>
      </c>
      <c r="R38" s="609">
        <v>109</v>
      </c>
      <c r="S38" s="119">
        <v>18</v>
      </c>
      <c r="T38" s="119">
        <v>0</v>
      </c>
      <c r="U38" s="627">
        <v>0</v>
      </c>
      <c r="V38" s="740">
        <f>SUM(R38:U38)</f>
        <v>127</v>
      </c>
      <c r="W38" s="151">
        <v>0</v>
      </c>
      <c r="X38" s="139">
        <v>34</v>
      </c>
      <c r="Y38" s="566">
        <f>$Y$11*BE38</f>
        <v>312.39125139198217</v>
      </c>
      <c r="Z38" s="566">
        <f>$Y$11*BF38</f>
        <v>474.45751023088968</v>
      </c>
      <c r="AA38" s="758">
        <f>SUM(W38:Z38)</f>
        <v>820.84876162287185</v>
      </c>
      <c r="AE38" s="577" t="s">
        <v>33</v>
      </c>
      <c r="AF38" s="580">
        <f t="shared" ref="AF38:BD38" si="13">C38/C11</f>
        <v>0</v>
      </c>
      <c r="AG38" s="581">
        <f t="shared" si="13"/>
        <v>0</v>
      </c>
      <c r="AH38" s="581">
        <f t="shared" si="13"/>
        <v>0</v>
      </c>
      <c r="AI38" s="581">
        <f t="shared" si="13"/>
        <v>0</v>
      </c>
      <c r="AJ38" s="582">
        <f t="shared" si="13"/>
        <v>0</v>
      </c>
      <c r="AK38" s="580">
        <f t="shared" si="13"/>
        <v>0</v>
      </c>
      <c r="AL38" s="581">
        <f t="shared" si="13"/>
        <v>0</v>
      </c>
      <c r="AM38" s="581">
        <f t="shared" si="13"/>
        <v>0</v>
      </c>
      <c r="AN38" s="581">
        <f t="shared" si="13"/>
        <v>0</v>
      </c>
      <c r="AO38" s="582">
        <f t="shared" si="13"/>
        <v>0</v>
      </c>
      <c r="AP38" s="580">
        <f t="shared" si="13"/>
        <v>0</v>
      </c>
      <c r="AQ38" s="581">
        <f t="shared" si="13"/>
        <v>0</v>
      </c>
      <c r="AR38" s="581">
        <f t="shared" si="13"/>
        <v>2.5148478099480325E-2</v>
      </c>
      <c r="AS38" s="581">
        <f t="shared" si="13"/>
        <v>3.8195321578335772E-2</v>
      </c>
      <c r="AT38" s="582">
        <f t="shared" si="13"/>
        <v>1.959661877230141E-2</v>
      </c>
      <c r="AU38" s="580">
        <f t="shared" si="13"/>
        <v>7.083901995190745E-3</v>
      </c>
      <c r="AV38" s="581">
        <f t="shared" si="13"/>
        <v>9.3608611992303291E-4</v>
      </c>
      <c r="AW38" s="581">
        <f t="shared" si="13"/>
        <v>0</v>
      </c>
      <c r="AX38" s="484">
        <f t="shared" si="13"/>
        <v>0</v>
      </c>
      <c r="AY38" s="536">
        <f t="shared" si="13"/>
        <v>1.5631153997636865E-3</v>
      </c>
      <c r="AZ38" s="580">
        <f t="shared" si="13"/>
        <v>0</v>
      </c>
      <c r="BA38" s="581">
        <f t="shared" si="13"/>
        <v>1.8133333333333332E-3</v>
      </c>
      <c r="BB38" s="581">
        <f t="shared" si="13"/>
        <v>1.2574239049740163E-2</v>
      </c>
      <c r="BC38" s="581">
        <f t="shared" si="13"/>
        <v>1.7552111562460396E-2</v>
      </c>
      <c r="BD38" s="581">
        <f t="shared" si="13"/>
        <v>9.8467844182013042E-3</v>
      </c>
      <c r="BE38" s="598">
        <f>AVERAGE(AW38,AR38)</f>
        <v>1.2574239049740163E-2</v>
      </c>
      <c r="BF38" s="595">
        <f>AVERAGE(AX38,AS38)</f>
        <v>1.9097660789167886E-2</v>
      </c>
    </row>
    <row r="39" spans="1:58" x14ac:dyDescent="0.3">
      <c r="A39" s="136"/>
      <c r="B39" s="204" t="s">
        <v>927</v>
      </c>
      <c r="C39" s="192"/>
      <c r="D39" s="198"/>
      <c r="E39" s="198"/>
      <c r="F39" s="198"/>
      <c r="G39" s="677"/>
      <c r="H39" s="607"/>
      <c r="I39" s="194"/>
      <c r="J39" s="194"/>
      <c r="K39" s="194"/>
      <c r="L39" s="694"/>
      <c r="M39" s="194"/>
      <c r="N39" s="194"/>
      <c r="O39" s="194"/>
      <c r="P39" s="202">
        <f>(P38-O38)/O38</f>
        <v>1.7896678966789668</v>
      </c>
      <c r="Q39" s="720"/>
      <c r="R39" s="620">
        <f>(R38-P38)/P38</f>
        <v>-0.85582010582010581</v>
      </c>
      <c r="S39" s="549">
        <f>(S38-R38)/R38</f>
        <v>-0.83486238532110091</v>
      </c>
      <c r="T39" s="549">
        <f>(T38-S38)/S38</f>
        <v>-1</v>
      </c>
      <c r="U39" s="621" t="e">
        <f>(U38-T38)/T38</f>
        <v>#DIV/0!</v>
      </c>
      <c r="V39" s="746"/>
      <c r="W39" s="192" t="e">
        <f>(W38-U38)/U38</f>
        <v>#DIV/0!</v>
      </c>
      <c r="X39" s="555" t="e">
        <f>(X38-W38)/W38</f>
        <v>#DIV/0!</v>
      </c>
      <c r="Y39" s="556">
        <f>(Y38-X38)/X38</f>
        <v>8.1879779821171219</v>
      </c>
      <c r="Z39" s="556">
        <f>(Z38-Y38)/Y38</f>
        <v>0.51879256578651778</v>
      </c>
      <c r="AA39" s="759"/>
      <c r="AE39" s="578" t="s">
        <v>927</v>
      </c>
      <c r="AF39" s="99"/>
      <c r="AJ39" s="583"/>
      <c r="AK39" s="99"/>
      <c r="AO39" s="583"/>
      <c r="AP39" s="99"/>
      <c r="AT39" s="583"/>
      <c r="AU39" s="99"/>
      <c r="AX39" s="220"/>
      <c r="AY39" s="537"/>
      <c r="AZ39" s="99"/>
      <c r="BE39" s="597"/>
      <c r="BF39" s="594"/>
    </row>
    <row r="40" spans="1:58" x14ac:dyDescent="0.3">
      <c r="A40" s="136"/>
      <c r="B40" s="204" t="s">
        <v>928</v>
      </c>
      <c r="C40" s="192"/>
      <c r="D40" s="198"/>
      <c r="E40" s="198"/>
      <c r="F40" s="198"/>
      <c r="G40" s="677"/>
      <c r="H40" s="607"/>
      <c r="I40" s="194"/>
      <c r="J40" s="194"/>
      <c r="K40" s="194"/>
      <c r="L40" s="694"/>
      <c r="M40" s="199"/>
      <c r="N40" s="199"/>
      <c r="O40" s="199"/>
      <c r="P40" s="199"/>
      <c r="Q40" s="723"/>
      <c r="R40" s="620"/>
      <c r="S40" s="549"/>
      <c r="T40" s="549">
        <f t="shared" ref="T40:AA40" si="14">(T38-O38)/O38</f>
        <v>-1</v>
      </c>
      <c r="U40" s="621">
        <f t="shared" si="14"/>
        <v>-1</v>
      </c>
      <c r="V40" s="723">
        <f t="shared" si="14"/>
        <v>-0.87633885102239528</v>
      </c>
      <c r="W40" s="656">
        <f t="shared" si="14"/>
        <v>-1</v>
      </c>
      <c r="X40" s="193">
        <f t="shared" si="14"/>
        <v>0.88888888888888884</v>
      </c>
      <c r="Y40" s="567" t="e">
        <f t="shared" si="14"/>
        <v>#DIV/0!</v>
      </c>
      <c r="Z40" s="567" t="e">
        <f t="shared" si="14"/>
        <v>#DIV/0!</v>
      </c>
      <c r="AA40" s="760">
        <f t="shared" si="14"/>
        <v>5.4633760757706442</v>
      </c>
      <c r="AE40" s="578" t="s">
        <v>928</v>
      </c>
      <c r="AF40" s="99"/>
      <c r="AJ40" s="583"/>
      <c r="AK40" s="99"/>
      <c r="AO40" s="583"/>
      <c r="AP40" s="99"/>
      <c r="AT40" s="583"/>
      <c r="AU40" s="99"/>
      <c r="AX40" s="220"/>
      <c r="AY40" s="537"/>
      <c r="AZ40" s="99"/>
      <c r="BE40" s="597"/>
      <c r="BF40" s="594"/>
    </row>
    <row r="41" spans="1:58" x14ac:dyDescent="0.3">
      <c r="A41" s="136"/>
      <c r="B41" s="204" t="s">
        <v>929</v>
      </c>
      <c r="C41" s="192"/>
      <c r="D41" s="198"/>
      <c r="E41" s="198"/>
      <c r="F41" s="198"/>
      <c r="G41" s="677"/>
      <c r="H41" s="607"/>
      <c r="I41" s="194"/>
      <c r="J41" s="194"/>
      <c r="K41" s="194"/>
      <c r="L41" s="694"/>
      <c r="M41" s="202">
        <f>M38/$Q$38</f>
        <v>0</v>
      </c>
      <c r="N41" s="202">
        <f>N38/$Q$38</f>
        <v>0</v>
      </c>
      <c r="O41" s="202">
        <f>O38/$Q$38</f>
        <v>0.26387536514118792</v>
      </c>
      <c r="P41" s="202">
        <f>P38/$Q$38</f>
        <v>0.73612463485881208</v>
      </c>
      <c r="Q41" s="722">
        <f>Q38/$Q$38</f>
        <v>1</v>
      </c>
      <c r="R41" s="622">
        <f>R38/$V$38</f>
        <v>0.8582677165354331</v>
      </c>
      <c r="S41" s="550">
        <f>S38/$V$38</f>
        <v>0.14173228346456693</v>
      </c>
      <c r="T41" s="550">
        <f>T38/$V$38</f>
        <v>0</v>
      </c>
      <c r="U41" s="626">
        <f>U38/$V$38</f>
        <v>0</v>
      </c>
      <c r="V41" s="748">
        <f>V38/$V$38</f>
        <v>1</v>
      </c>
      <c r="W41" s="192">
        <f>W38/$AA$38</f>
        <v>0</v>
      </c>
      <c r="X41" s="198">
        <f>X38/$AA$38</f>
        <v>4.1420541261193801E-2</v>
      </c>
      <c r="Y41" s="542">
        <f>Y38/$AA$38</f>
        <v>0.38057102111522245</v>
      </c>
      <c r="Z41" s="542">
        <f>Z38/$AA$38</f>
        <v>0.57800843762358378</v>
      </c>
      <c r="AA41" s="759">
        <f>AA38/$AA$38</f>
        <v>1</v>
      </c>
      <c r="AE41" s="578" t="s">
        <v>929</v>
      </c>
      <c r="AF41" s="99"/>
      <c r="AJ41" s="583"/>
      <c r="AK41" s="99"/>
      <c r="AO41" s="583"/>
      <c r="AP41" s="99"/>
      <c r="AT41" s="583"/>
      <c r="AU41" s="99"/>
      <c r="AX41" s="220"/>
      <c r="AY41" s="537"/>
      <c r="AZ41" s="99"/>
      <c r="BE41" s="597"/>
      <c r="BF41" s="594"/>
    </row>
    <row r="42" spans="1:58" x14ac:dyDescent="0.3">
      <c r="A42" s="136" t="s">
        <v>914</v>
      </c>
      <c r="B42" s="39" t="s">
        <v>913</v>
      </c>
      <c r="C42" s="151">
        <v>0</v>
      </c>
      <c r="D42" s="139">
        <v>0</v>
      </c>
      <c r="E42" s="139">
        <v>0</v>
      </c>
      <c r="F42" s="139">
        <v>0</v>
      </c>
      <c r="G42" s="666">
        <f>SUM(C42:F42)</f>
        <v>0</v>
      </c>
      <c r="H42" s="609">
        <v>0</v>
      </c>
      <c r="I42" s="119">
        <v>0</v>
      </c>
      <c r="J42" s="119">
        <v>0</v>
      </c>
      <c r="K42" s="119">
        <v>0</v>
      </c>
      <c r="L42" s="682">
        <f>SUM(H42:K42)</f>
        <v>0</v>
      </c>
      <c r="M42" s="119">
        <v>4679</v>
      </c>
      <c r="N42" s="119">
        <v>6176</v>
      </c>
      <c r="O42" s="119">
        <v>119</v>
      </c>
      <c r="P42" s="119">
        <v>2970</v>
      </c>
      <c r="Q42" s="710">
        <f>SUM(M42:P42)</f>
        <v>13944</v>
      </c>
      <c r="R42" s="609">
        <v>173</v>
      </c>
      <c r="S42" s="119">
        <v>2823</v>
      </c>
      <c r="T42" s="119">
        <v>953</v>
      </c>
      <c r="U42" s="627">
        <v>555</v>
      </c>
      <c r="V42" s="740">
        <f>SUM(R42:U42)</f>
        <v>4504</v>
      </c>
      <c r="W42" s="151">
        <v>39</v>
      </c>
      <c r="X42" s="139">
        <v>4765</v>
      </c>
      <c r="Y42" s="566">
        <f>$Y$11*BE42</f>
        <v>578.74537273922442</v>
      </c>
      <c r="Z42" s="566">
        <f>$Y$11*BF42</f>
        <v>2211.7251466257844</v>
      </c>
      <c r="AA42" s="758">
        <f>SUM(W42:Z42)</f>
        <v>7594.4705193650079</v>
      </c>
      <c r="AE42" s="64" t="s">
        <v>913</v>
      </c>
      <c r="AF42" s="580">
        <f t="shared" ref="AF42:BD42" si="15">C42/C11</f>
        <v>0</v>
      </c>
      <c r="AG42" s="581">
        <f t="shared" si="15"/>
        <v>0</v>
      </c>
      <c r="AH42" s="581">
        <f t="shared" si="15"/>
        <v>0</v>
      </c>
      <c r="AI42" s="581">
        <f t="shared" si="15"/>
        <v>0</v>
      </c>
      <c r="AJ42" s="582">
        <f t="shared" si="15"/>
        <v>0</v>
      </c>
      <c r="AK42" s="580">
        <f t="shared" si="15"/>
        <v>0</v>
      </c>
      <c r="AL42" s="581">
        <f t="shared" si="15"/>
        <v>0</v>
      </c>
      <c r="AM42" s="581">
        <f t="shared" si="15"/>
        <v>0</v>
      </c>
      <c r="AN42" s="581">
        <f t="shared" si="15"/>
        <v>0</v>
      </c>
      <c r="AO42" s="582">
        <f t="shared" si="15"/>
        <v>0</v>
      </c>
      <c r="AP42" s="580">
        <f t="shared" si="15"/>
        <v>0.54324857773133639</v>
      </c>
      <c r="AQ42" s="581">
        <f t="shared" si="15"/>
        <v>0.46699432892249526</v>
      </c>
      <c r="AR42" s="581">
        <f t="shared" si="15"/>
        <v>1.1043058648849295E-2</v>
      </c>
      <c r="AS42" s="581">
        <f t="shared" si="15"/>
        <v>0.15005304905774769</v>
      </c>
      <c r="AT42" s="582">
        <f t="shared" si="15"/>
        <v>0.26607132634953345</v>
      </c>
      <c r="AU42" s="580">
        <f t="shared" si="15"/>
        <v>1.1243257295119257E-2</v>
      </c>
      <c r="AV42" s="581">
        <f t="shared" si="15"/>
        <v>0.14680950647459567</v>
      </c>
      <c r="AW42" s="581">
        <f t="shared" si="15"/>
        <v>3.5547763810660597E-2</v>
      </c>
      <c r="AX42" s="484">
        <f t="shared" si="15"/>
        <v>2.7997780356151945E-2</v>
      </c>
      <c r="AY42" s="536">
        <f t="shared" si="15"/>
        <v>5.5435210712879088E-2</v>
      </c>
      <c r="AZ42" s="580">
        <f t="shared" si="15"/>
        <v>3.061945513072152E-3</v>
      </c>
      <c r="BA42" s="581">
        <f t="shared" si="15"/>
        <v>0.25413333333333332</v>
      </c>
      <c r="BB42" s="581">
        <f t="shared" si="15"/>
        <v>2.3295411229754946E-2</v>
      </c>
      <c r="BC42" s="581">
        <f t="shared" si="15"/>
        <v>8.1820701921618416E-2</v>
      </c>
      <c r="BD42" s="581">
        <f t="shared" si="15"/>
        <v>9.1102182851229938E-2</v>
      </c>
      <c r="BE42" s="598">
        <f>AVERAGE(AW42,AR42)</f>
        <v>2.3295411229754946E-2</v>
      </c>
      <c r="BF42" s="595">
        <f>AVERAGE(AX42,AS42)</f>
        <v>8.9025414706949815E-2</v>
      </c>
    </row>
    <row r="43" spans="1:58" x14ac:dyDescent="0.3">
      <c r="A43" s="136"/>
      <c r="B43" s="205" t="s">
        <v>927</v>
      </c>
      <c r="C43" s="192"/>
      <c r="D43" s="198"/>
      <c r="E43" s="198"/>
      <c r="F43" s="198"/>
      <c r="G43" s="677"/>
      <c r="H43" s="607"/>
      <c r="I43" s="194"/>
      <c r="J43" s="194"/>
      <c r="K43" s="194"/>
      <c r="L43" s="694"/>
      <c r="M43" s="194"/>
      <c r="N43" s="202">
        <f>(N42-M42)/M42</f>
        <v>0.31994015815345161</v>
      </c>
      <c r="O43" s="202">
        <f>(O42-N42)/N42</f>
        <v>-0.98073186528497414</v>
      </c>
      <c r="P43" s="202">
        <f>(P42-O42)/O42</f>
        <v>23.957983193277311</v>
      </c>
      <c r="Q43" s="720"/>
      <c r="R43" s="620">
        <f>(R42-P42)/P42</f>
        <v>-0.94175084175084178</v>
      </c>
      <c r="S43" s="549">
        <f>(S42-R42)/R42</f>
        <v>15.317919075144509</v>
      </c>
      <c r="T43" s="549">
        <f>(T42-S42)/S42</f>
        <v>-0.66241586964222454</v>
      </c>
      <c r="U43" s="621">
        <f>(U42-T42)/T42</f>
        <v>-0.41762854144805878</v>
      </c>
      <c r="V43" s="746"/>
      <c r="W43" s="656">
        <f>(W42-U42)/U42</f>
        <v>-0.92972972972972978</v>
      </c>
      <c r="X43" s="193">
        <f>(X42-V42)/V42</f>
        <v>5.7948490230905862E-2</v>
      </c>
      <c r="Y43" s="571"/>
      <c r="Z43" s="542"/>
      <c r="AA43" s="759"/>
      <c r="AE43" s="579" t="s">
        <v>927</v>
      </c>
      <c r="AF43" s="99"/>
      <c r="AJ43" s="583"/>
      <c r="AK43" s="99"/>
      <c r="AO43" s="583"/>
      <c r="AP43" s="99"/>
      <c r="AT43" s="583"/>
      <c r="AU43" s="99"/>
      <c r="AX43" s="220"/>
      <c r="AY43" s="537"/>
      <c r="AZ43" s="99"/>
      <c r="BE43" s="597"/>
      <c r="BF43" s="594"/>
    </row>
    <row r="44" spans="1:58" x14ac:dyDescent="0.3">
      <c r="A44" s="136"/>
      <c r="B44" s="205" t="s">
        <v>928</v>
      </c>
      <c r="C44" s="192"/>
      <c r="D44" s="198"/>
      <c r="E44" s="198"/>
      <c r="F44" s="198"/>
      <c r="G44" s="677"/>
      <c r="H44" s="607"/>
      <c r="I44" s="194"/>
      <c r="J44" s="194"/>
      <c r="K44" s="194"/>
      <c r="L44" s="694"/>
      <c r="M44" s="194"/>
      <c r="N44" s="194"/>
      <c r="O44" s="194"/>
      <c r="P44" s="194"/>
      <c r="Q44" s="720"/>
      <c r="R44" s="620">
        <f t="shared" ref="R44:AA44" si="16">(R42-M42)/M42</f>
        <v>-0.96302628766830523</v>
      </c>
      <c r="S44" s="549">
        <f t="shared" si="16"/>
        <v>-0.54290803108808294</v>
      </c>
      <c r="T44" s="549">
        <f t="shared" si="16"/>
        <v>7.0084033613445378</v>
      </c>
      <c r="U44" s="621">
        <f t="shared" si="16"/>
        <v>-0.81313131313131315</v>
      </c>
      <c r="V44" s="723">
        <f t="shared" si="16"/>
        <v>-0.67699368904188184</v>
      </c>
      <c r="W44" s="656">
        <f t="shared" si="16"/>
        <v>-0.77456647398843925</v>
      </c>
      <c r="X44" s="193">
        <f t="shared" si="16"/>
        <v>0.68792065178887707</v>
      </c>
      <c r="Y44" s="567">
        <f t="shared" si="16"/>
        <v>-0.39271209576156935</v>
      </c>
      <c r="Z44" s="567">
        <f t="shared" si="16"/>
        <v>2.9850903542806928</v>
      </c>
      <c r="AA44" s="760">
        <f t="shared" si="16"/>
        <v>0.68616130536523268</v>
      </c>
      <c r="AE44" s="579" t="s">
        <v>928</v>
      </c>
      <c r="AF44" s="99"/>
      <c r="AJ44" s="583"/>
      <c r="AK44" s="99"/>
      <c r="AO44" s="583"/>
      <c r="AP44" s="99"/>
      <c r="AT44" s="583"/>
      <c r="AU44" s="99"/>
      <c r="AX44" s="220"/>
      <c r="AY44" s="537"/>
      <c r="AZ44" s="99"/>
      <c r="BE44" s="597"/>
      <c r="BF44" s="594"/>
    </row>
    <row r="45" spans="1:58" x14ac:dyDescent="0.3">
      <c r="A45" s="136"/>
      <c r="B45" s="205" t="s">
        <v>929</v>
      </c>
      <c r="C45" s="192"/>
      <c r="D45" s="198"/>
      <c r="E45" s="198"/>
      <c r="F45" s="198"/>
      <c r="G45" s="677"/>
      <c r="H45" s="607"/>
      <c r="I45" s="194"/>
      <c r="J45" s="194"/>
      <c r="K45" s="194"/>
      <c r="L45" s="694"/>
      <c r="M45" s="202">
        <f>M42/$Q$42</f>
        <v>0.33555651176133106</v>
      </c>
      <c r="N45" s="202">
        <f>N42/$Q$42</f>
        <v>0.44291451520367181</v>
      </c>
      <c r="O45" s="202">
        <f>O42/$Q$42</f>
        <v>8.5341365461847393E-3</v>
      </c>
      <c r="P45" s="202">
        <f>P42/$Q$42</f>
        <v>0.2129948364888124</v>
      </c>
      <c r="Q45" s="724">
        <f>Q42/$Q$42</f>
        <v>1</v>
      </c>
      <c r="R45" s="622">
        <f>R42/$V$42</f>
        <v>3.841030195381883E-2</v>
      </c>
      <c r="S45" s="550">
        <f>S42/$V$42</f>
        <v>0.6267761989342806</v>
      </c>
      <c r="T45" s="550">
        <f>T42/$V$42</f>
        <v>0.21158969804618116</v>
      </c>
      <c r="U45" s="626">
        <f>U42/$V$42</f>
        <v>0.12322380106571935</v>
      </c>
      <c r="V45" s="748">
        <f>V42/$V$42</f>
        <v>1</v>
      </c>
      <c r="W45" s="192">
        <f>W42/$AA$42</f>
        <v>5.135315213951332E-3</v>
      </c>
      <c r="X45" s="198">
        <f>X42/$AA$42</f>
        <v>0.6274301793455922</v>
      </c>
      <c r="Y45" s="542">
        <f>Y42/$AA$42</f>
        <v>7.620615173414548E-2</v>
      </c>
      <c r="Z45" s="542">
        <f>Z42/$AA$42</f>
        <v>0.29122835370631106</v>
      </c>
      <c r="AA45" s="759">
        <f>AA42/$AA$42</f>
        <v>1</v>
      </c>
      <c r="AE45" s="579" t="s">
        <v>929</v>
      </c>
      <c r="AF45" s="99"/>
      <c r="AJ45" s="583"/>
      <c r="AK45" s="99"/>
      <c r="AO45" s="583"/>
      <c r="AP45" s="99"/>
      <c r="AT45" s="583"/>
      <c r="AU45" s="99"/>
      <c r="AX45" s="220"/>
      <c r="AY45" s="537"/>
      <c r="AZ45" s="99"/>
      <c r="BE45" s="597"/>
      <c r="BF45" s="594"/>
    </row>
    <row r="46" spans="1:58" x14ac:dyDescent="0.3">
      <c r="A46" s="136"/>
      <c r="B46" s="39" t="s">
        <v>910</v>
      </c>
      <c r="C46" s="151">
        <v>0</v>
      </c>
      <c r="D46" s="139">
        <v>0</v>
      </c>
      <c r="E46" s="139">
        <v>0</v>
      </c>
      <c r="F46" s="139">
        <v>0</v>
      </c>
      <c r="G46" s="666">
        <f>SUM(C46:F46)</f>
        <v>0</v>
      </c>
      <c r="H46" s="609">
        <v>0</v>
      </c>
      <c r="I46" s="119">
        <v>0</v>
      </c>
      <c r="J46" s="119">
        <v>0</v>
      </c>
      <c r="K46" s="119">
        <v>0</v>
      </c>
      <c r="L46" s="682">
        <f>SUM(H46:K46)</f>
        <v>0</v>
      </c>
      <c r="M46" s="119">
        <v>690</v>
      </c>
      <c r="N46" s="119">
        <v>713</v>
      </c>
      <c r="O46" s="119">
        <v>724</v>
      </c>
      <c r="P46" s="119">
        <v>731</v>
      </c>
      <c r="Q46" s="710">
        <f>SUM(M46:P46)</f>
        <v>2858</v>
      </c>
      <c r="R46" s="609">
        <v>5</v>
      </c>
      <c r="S46" s="119">
        <v>15</v>
      </c>
      <c r="T46" s="119">
        <v>26</v>
      </c>
      <c r="U46" s="627">
        <v>10</v>
      </c>
      <c r="V46" s="740">
        <f>SUM(R46:U46)</f>
        <v>56</v>
      </c>
      <c r="W46" s="151">
        <v>15</v>
      </c>
      <c r="X46" s="139">
        <v>11</v>
      </c>
      <c r="Y46" s="566">
        <f>$Y$11*BE46</f>
        <v>846.62734448969661</v>
      </c>
      <c r="Z46" s="566">
        <f>$Y$11*BF46</f>
        <v>465.03417284631445</v>
      </c>
      <c r="AA46" s="758">
        <f>SUM(W46:Z46)</f>
        <v>1337.661517336011</v>
      </c>
      <c r="AE46" s="64" t="s">
        <v>910</v>
      </c>
      <c r="AF46" s="580">
        <f t="shared" ref="AF46:BD46" si="17">C46/C11</f>
        <v>0</v>
      </c>
      <c r="AG46" s="581">
        <f t="shared" si="17"/>
        <v>0</v>
      </c>
      <c r="AH46" s="581">
        <f t="shared" si="17"/>
        <v>0</v>
      </c>
      <c r="AI46" s="581">
        <f t="shared" si="17"/>
        <v>0</v>
      </c>
      <c r="AJ46" s="582">
        <f t="shared" si="17"/>
        <v>0</v>
      </c>
      <c r="AK46" s="580">
        <f t="shared" si="17"/>
        <v>0</v>
      </c>
      <c r="AL46" s="581">
        <f t="shared" si="17"/>
        <v>0</v>
      </c>
      <c r="AM46" s="581">
        <f t="shared" si="17"/>
        <v>0</v>
      </c>
      <c r="AN46" s="581">
        <f t="shared" si="17"/>
        <v>0</v>
      </c>
      <c r="AO46" s="582">
        <f t="shared" si="17"/>
        <v>0</v>
      </c>
      <c r="AP46" s="580">
        <f t="shared" si="17"/>
        <v>8.0111459421804254E-2</v>
      </c>
      <c r="AQ46" s="581">
        <f t="shared" si="17"/>
        <v>5.3913043478260869E-2</v>
      </c>
      <c r="AR46" s="581">
        <f t="shared" si="17"/>
        <v>6.7186340014847815E-2</v>
      </c>
      <c r="AS46" s="581">
        <f t="shared" si="17"/>
        <v>3.6932248774819383E-2</v>
      </c>
      <c r="AT46" s="582">
        <f t="shared" si="17"/>
        <v>5.4534699563035471E-2</v>
      </c>
      <c r="AU46" s="580">
        <f t="shared" si="17"/>
        <v>3.2494963280691494E-4</v>
      </c>
      <c r="AV46" s="581">
        <f t="shared" si="17"/>
        <v>7.8007176660252746E-4</v>
      </c>
      <c r="AW46" s="581">
        <f t="shared" si="17"/>
        <v>9.6982356671267112E-4</v>
      </c>
      <c r="AX46" s="484">
        <f t="shared" si="17"/>
        <v>5.0446451092165669E-4</v>
      </c>
      <c r="AY46" s="536">
        <f t="shared" si="17"/>
        <v>6.8924773532886966E-4</v>
      </c>
      <c r="AZ46" s="580">
        <f t="shared" si="17"/>
        <v>1.177671351181597E-3</v>
      </c>
      <c r="BA46" s="581">
        <f t="shared" si="17"/>
        <v>5.8666666666666665E-4</v>
      </c>
      <c r="BB46" s="581">
        <f t="shared" si="17"/>
        <v>3.4078081790780243E-2</v>
      </c>
      <c r="BC46" s="581">
        <f t="shared" si="17"/>
        <v>1.72035040148967E-2</v>
      </c>
      <c r="BD46" s="581">
        <f t="shared" si="17"/>
        <v>1.6046396366232559E-2</v>
      </c>
      <c r="BE46" s="598">
        <f>AVERAGE(AW46,AR46)</f>
        <v>3.4078081790780243E-2</v>
      </c>
      <c r="BF46" s="595">
        <f>AVERAGE(AX46,AS46)</f>
        <v>1.8718356642870519E-2</v>
      </c>
    </row>
    <row r="47" spans="1:58" x14ac:dyDescent="0.3">
      <c r="A47" s="136"/>
      <c r="B47" s="205" t="s">
        <v>927</v>
      </c>
      <c r="C47" s="192"/>
      <c r="D47" s="198"/>
      <c r="E47" s="198"/>
      <c r="F47" s="198"/>
      <c r="G47" s="677"/>
      <c r="H47" s="607"/>
      <c r="I47" s="194"/>
      <c r="J47" s="194"/>
      <c r="K47" s="194"/>
      <c r="L47" s="694"/>
      <c r="M47" s="194"/>
      <c r="N47" s="199">
        <f>(N46-M46)/M46</f>
        <v>3.3333333333333333E-2</v>
      </c>
      <c r="O47" s="199">
        <f>(O46-N46)/N46</f>
        <v>1.5427769985974754E-2</v>
      </c>
      <c r="P47" s="199">
        <f>(P46-O46)/O46</f>
        <v>9.6685082872928173E-3</v>
      </c>
      <c r="Q47" s="720"/>
      <c r="R47" s="607">
        <f>(R46-P46)/P46</f>
        <v>-0.99316005471956226</v>
      </c>
      <c r="S47" s="549">
        <f>(S46-R46)/R46</f>
        <v>2</v>
      </c>
      <c r="T47" s="549">
        <f>(T46-S46)/S46</f>
        <v>0.73333333333333328</v>
      </c>
      <c r="U47" s="621">
        <f>(U46-T46)/T46</f>
        <v>-0.61538461538461542</v>
      </c>
      <c r="V47" s="746"/>
      <c r="W47" s="656">
        <f>(W46-U46)/U46</f>
        <v>0.5</v>
      </c>
      <c r="X47" s="193">
        <f>(X46-V46)/V46</f>
        <v>-0.8035714285714286</v>
      </c>
      <c r="Y47" s="542"/>
      <c r="Z47" s="542"/>
      <c r="AA47" s="759"/>
      <c r="AE47" s="579" t="s">
        <v>927</v>
      </c>
      <c r="AF47" s="99"/>
      <c r="AJ47" s="583"/>
      <c r="AK47" s="99"/>
      <c r="AO47" s="583"/>
      <c r="AP47" s="99"/>
      <c r="AT47" s="583"/>
      <c r="AU47" s="99"/>
      <c r="AX47" s="220"/>
      <c r="AY47" s="537"/>
      <c r="AZ47" s="99"/>
      <c r="BE47" s="597"/>
      <c r="BF47" s="594"/>
    </row>
    <row r="48" spans="1:58" x14ac:dyDescent="0.3">
      <c r="A48" s="136"/>
      <c r="B48" s="205" t="s">
        <v>928</v>
      </c>
      <c r="C48" s="192"/>
      <c r="D48" s="198"/>
      <c r="E48" s="198"/>
      <c r="F48" s="198"/>
      <c r="G48" s="677"/>
      <c r="H48" s="607"/>
      <c r="I48" s="194"/>
      <c r="J48" s="194"/>
      <c r="K48" s="194"/>
      <c r="L48" s="694"/>
      <c r="M48" s="199"/>
      <c r="N48" s="199"/>
      <c r="O48" s="199"/>
      <c r="P48" s="199"/>
      <c r="Q48" s="723"/>
      <c r="R48" s="620">
        <f t="shared" ref="R48:AA48" si="18">(R46-M46)/M46</f>
        <v>-0.99275362318840576</v>
      </c>
      <c r="S48" s="549">
        <f t="shared" si="18"/>
        <v>-0.97896213183730718</v>
      </c>
      <c r="T48" s="549">
        <f t="shared" si="18"/>
        <v>-0.96408839779005528</v>
      </c>
      <c r="U48" s="621">
        <f t="shared" si="18"/>
        <v>-0.98632010943912451</v>
      </c>
      <c r="V48" s="723">
        <f t="shared" si="18"/>
        <v>-0.98040587823652903</v>
      </c>
      <c r="W48" s="656">
        <f t="shared" si="18"/>
        <v>2</v>
      </c>
      <c r="X48" s="193">
        <f t="shared" si="18"/>
        <v>-0.26666666666666666</v>
      </c>
      <c r="Y48" s="567">
        <f t="shared" si="18"/>
        <v>31.56259017268064</v>
      </c>
      <c r="Z48" s="567">
        <f t="shared" si="18"/>
        <v>45.503417284631446</v>
      </c>
      <c r="AA48" s="760">
        <f t="shared" si="18"/>
        <v>22.886812809571627</v>
      </c>
      <c r="AE48" s="579" t="s">
        <v>928</v>
      </c>
      <c r="AF48" s="99"/>
      <c r="AJ48" s="583"/>
      <c r="AK48" s="99"/>
      <c r="AO48" s="583"/>
      <c r="AP48" s="99"/>
      <c r="AT48" s="583"/>
      <c r="AU48" s="99"/>
      <c r="AX48" s="220"/>
      <c r="AY48" s="537"/>
      <c r="AZ48" s="99"/>
      <c r="BE48" s="597"/>
      <c r="BF48" s="594"/>
    </row>
    <row r="49" spans="1:58" x14ac:dyDescent="0.3">
      <c r="A49" s="136"/>
      <c r="B49" s="205" t="s">
        <v>929</v>
      </c>
      <c r="C49" s="192"/>
      <c r="D49" s="198"/>
      <c r="E49" s="198"/>
      <c r="F49" s="198"/>
      <c r="G49" s="677"/>
      <c r="H49" s="607"/>
      <c r="I49" s="194"/>
      <c r="J49" s="194"/>
      <c r="K49" s="194"/>
      <c r="L49" s="694"/>
      <c r="M49" s="202">
        <f>M46/$Q$46</f>
        <v>0.24142757172848145</v>
      </c>
      <c r="N49" s="202">
        <f>N46/$Q$46</f>
        <v>0.24947515745276416</v>
      </c>
      <c r="O49" s="202">
        <f>O46/$Q$46</f>
        <v>0.25332400279916023</v>
      </c>
      <c r="P49" s="202">
        <f>P46/$Q$46</f>
        <v>0.2557732680195941</v>
      </c>
      <c r="Q49" s="722">
        <f>Q46/$Q$46</f>
        <v>1</v>
      </c>
      <c r="R49" s="622">
        <f>R46/$V$46</f>
        <v>8.9285714285714288E-2</v>
      </c>
      <c r="S49" s="550">
        <f>S46/$V$46</f>
        <v>0.26785714285714285</v>
      </c>
      <c r="T49" s="550">
        <f>T46/$V$46</f>
        <v>0.4642857142857143</v>
      </c>
      <c r="U49" s="626">
        <f>U46/$V$46</f>
        <v>0.17857142857142858</v>
      </c>
      <c r="V49" s="748">
        <f>V46/$V$46</f>
        <v>1</v>
      </c>
      <c r="W49" s="201"/>
      <c r="X49" s="230"/>
      <c r="Y49" s="544"/>
      <c r="Z49" s="544"/>
      <c r="AA49" s="761"/>
      <c r="AE49" s="579" t="s">
        <v>929</v>
      </c>
      <c r="AF49" s="99"/>
      <c r="AJ49" s="583"/>
      <c r="AK49" s="99"/>
      <c r="AO49" s="583"/>
      <c r="AP49" s="99"/>
      <c r="AT49" s="583"/>
      <c r="AU49" s="99"/>
      <c r="AX49" s="220"/>
      <c r="AY49" s="537"/>
      <c r="AZ49" s="99"/>
      <c r="BE49" s="597"/>
      <c r="BF49" s="594"/>
    </row>
    <row r="50" spans="1:58" x14ac:dyDescent="0.3">
      <c r="A50" s="136"/>
      <c r="B50" s="39" t="s">
        <v>911</v>
      </c>
      <c r="C50" s="151">
        <v>0</v>
      </c>
      <c r="D50" s="139">
        <v>0</v>
      </c>
      <c r="E50" s="139">
        <v>0</v>
      </c>
      <c r="F50" s="139">
        <v>0</v>
      </c>
      <c r="G50" s="666">
        <f>SUM(C50:F50)</f>
        <v>0</v>
      </c>
      <c r="H50" s="609">
        <v>0</v>
      </c>
      <c r="I50" s="119">
        <v>0</v>
      </c>
      <c r="J50" s="119">
        <v>0</v>
      </c>
      <c r="K50" s="119">
        <v>0</v>
      </c>
      <c r="L50" s="682">
        <f>SUM(H50:K50)</f>
        <v>0</v>
      </c>
      <c r="M50" s="119">
        <v>534</v>
      </c>
      <c r="N50" s="119">
        <v>513</v>
      </c>
      <c r="O50" s="119">
        <v>460</v>
      </c>
      <c r="P50" s="119">
        <v>409</v>
      </c>
      <c r="Q50" s="710">
        <f>SUM(M50:P50)</f>
        <v>1916</v>
      </c>
      <c r="R50" s="609">
        <v>491</v>
      </c>
      <c r="S50" s="119">
        <v>657</v>
      </c>
      <c r="T50" s="119">
        <v>706</v>
      </c>
      <c r="U50" s="627">
        <v>663</v>
      </c>
      <c r="V50" s="740">
        <f>SUM(R50:U50)</f>
        <v>2517</v>
      </c>
      <c r="W50" s="151">
        <v>407</v>
      </c>
      <c r="X50" s="139">
        <v>409</v>
      </c>
      <c r="Y50" s="566">
        <f>$Y$11*BE50</f>
        <v>857.38133366171701</v>
      </c>
      <c r="Z50" s="566">
        <f>$Y$11*BF50</f>
        <v>672.14601829701678</v>
      </c>
      <c r="AA50" s="758">
        <f>SUM(W50:Z50)</f>
        <v>2345.5273519587336</v>
      </c>
      <c r="AE50" s="64" t="s">
        <v>911</v>
      </c>
      <c r="AF50" s="580">
        <f t="shared" ref="AF50:BD50" si="19">C50/C11</f>
        <v>0</v>
      </c>
      <c r="AG50" s="581">
        <f t="shared" si="19"/>
        <v>0</v>
      </c>
      <c r="AH50" s="581">
        <f t="shared" si="19"/>
        <v>0</v>
      </c>
      <c r="AI50" s="581">
        <f t="shared" si="19"/>
        <v>0</v>
      </c>
      <c r="AJ50" s="582">
        <f t="shared" si="19"/>
        <v>0</v>
      </c>
      <c r="AK50" s="580">
        <f t="shared" si="19"/>
        <v>0</v>
      </c>
      <c r="AL50" s="581">
        <f t="shared" si="19"/>
        <v>0</v>
      </c>
      <c r="AM50" s="581">
        <f t="shared" si="19"/>
        <v>0</v>
      </c>
      <c r="AN50" s="581">
        <f t="shared" si="19"/>
        <v>0</v>
      </c>
      <c r="AO50" s="582">
        <f t="shared" si="19"/>
        <v>0</v>
      </c>
      <c r="AP50" s="580">
        <f t="shared" si="19"/>
        <v>6.1999303378613722E-2</v>
      </c>
      <c r="AQ50" s="581">
        <f t="shared" si="19"/>
        <v>3.8790170132325143E-2</v>
      </c>
      <c r="AR50" s="581">
        <f t="shared" si="19"/>
        <v>4.2687453600593915E-2</v>
      </c>
      <c r="AS50" s="581">
        <f t="shared" si="19"/>
        <v>2.0663871065528219E-2</v>
      </c>
      <c r="AT50" s="582">
        <f t="shared" si="19"/>
        <v>3.6560001526513633E-2</v>
      </c>
      <c r="AU50" s="580">
        <f t="shared" si="19"/>
        <v>3.1910053941639045E-2</v>
      </c>
      <c r="AV50" s="581">
        <f t="shared" si="19"/>
        <v>3.4167143377190699E-2</v>
      </c>
      <c r="AW50" s="581">
        <f t="shared" si="19"/>
        <v>2.6334439926890222E-2</v>
      </c>
      <c r="AX50" s="484">
        <f t="shared" si="19"/>
        <v>3.3445997074105838E-2</v>
      </c>
      <c r="AY50" s="536">
        <f t="shared" si="19"/>
        <v>3.0979224103977944E-2</v>
      </c>
      <c r="AZ50" s="580">
        <f t="shared" si="19"/>
        <v>3.1954149328727331E-2</v>
      </c>
      <c r="BA50" s="581">
        <f t="shared" si="19"/>
        <v>2.1813333333333334E-2</v>
      </c>
      <c r="BB50" s="581">
        <f t="shared" si="19"/>
        <v>3.451094676374207E-2</v>
      </c>
      <c r="BC50" s="581">
        <f t="shared" si="19"/>
        <v>2.4865412908463853E-2</v>
      </c>
      <c r="BD50" s="581">
        <f t="shared" si="19"/>
        <v>2.813661086126281E-2</v>
      </c>
      <c r="BE50" s="598">
        <f>AVERAGE(AW50,AR50)</f>
        <v>3.451094676374207E-2</v>
      </c>
      <c r="BF50" s="595">
        <f>AVERAGE(AX50,AS50)</f>
        <v>2.705493406981703E-2</v>
      </c>
    </row>
    <row r="51" spans="1:58" x14ac:dyDescent="0.3">
      <c r="A51" s="136"/>
      <c r="B51" s="205" t="s">
        <v>927</v>
      </c>
      <c r="C51" s="192"/>
      <c r="D51" s="198"/>
      <c r="E51" s="198"/>
      <c r="F51" s="198"/>
      <c r="G51" s="677"/>
      <c r="H51" s="607"/>
      <c r="I51" s="194"/>
      <c r="J51" s="194"/>
      <c r="K51" s="194"/>
      <c r="L51" s="694"/>
      <c r="M51" s="194"/>
      <c r="N51" s="199">
        <f>(N50-M50)/M50</f>
        <v>-3.9325842696629212E-2</v>
      </c>
      <c r="O51" s="199">
        <f>(O50-N50)/N50</f>
        <v>-0.10331384015594541</v>
      </c>
      <c r="P51" s="199">
        <f>(P50-O50)/O50</f>
        <v>-0.1108695652173913</v>
      </c>
      <c r="Q51" s="720"/>
      <c r="R51" s="620">
        <f>(R50-P50)/P50</f>
        <v>0.20048899755501223</v>
      </c>
      <c r="S51" s="549">
        <f>(S50-R50)/R50</f>
        <v>0.3380855397148676</v>
      </c>
      <c r="T51" s="549">
        <f>(T50-S50)/S50</f>
        <v>7.4581430745814303E-2</v>
      </c>
      <c r="U51" s="621">
        <f>(U50-T50)/T50</f>
        <v>-6.0906515580736544E-2</v>
      </c>
      <c r="V51" s="746"/>
      <c r="W51" s="656">
        <f>(W50-U50)/U50</f>
        <v>-0.38612368024132732</v>
      </c>
      <c r="X51" s="193">
        <f>(X50-W50)/W50</f>
        <v>4.9140049140049139E-3</v>
      </c>
      <c r="Y51" s="542"/>
      <c r="Z51" s="542"/>
      <c r="AA51" s="759"/>
      <c r="AE51" s="579" t="s">
        <v>927</v>
      </c>
      <c r="AF51" s="99"/>
      <c r="AJ51" s="583"/>
      <c r="AK51" s="99"/>
      <c r="AO51" s="583"/>
      <c r="AP51" s="99"/>
      <c r="AT51" s="583"/>
      <c r="AU51" s="99"/>
      <c r="AX51" s="220"/>
      <c r="AY51" s="537"/>
      <c r="AZ51" s="99"/>
      <c r="BE51" s="597"/>
      <c r="BF51" s="594"/>
    </row>
    <row r="52" spans="1:58" x14ac:dyDescent="0.3">
      <c r="A52" s="136"/>
      <c r="B52" s="205" t="s">
        <v>928</v>
      </c>
      <c r="C52" s="192"/>
      <c r="D52" s="198"/>
      <c r="E52" s="198"/>
      <c r="F52" s="198"/>
      <c r="G52" s="677"/>
      <c r="H52" s="607"/>
      <c r="I52" s="194"/>
      <c r="J52" s="194"/>
      <c r="K52" s="194"/>
      <c r="L52" s="694"/>
      <c r="M52" s="194"/>
      <c r="N52" s="194"/>
      <c r="O52" s="194"/>
      <c r="P52" s="194"/>
      <c r="Q52" s="720"/>
      <c r="R52" s="620">
        <f t="shared" ref="R52:AA52" si="20">(R50-M50)/M50</f>
        <v>-8.0524344569288392E-2</v>
      </c>
      <c r="S52" s="549">
        <f t="shared" si="20"/>
        <v>0.2807017543859649</v>
      </c>
      <c r="T52" s="549">
        <f t="shared" si="20"/>
        <v>0.5347826086956522</v>
      </c>
      <c r="U52" s="621">
        <f t="shared" si="20"/>
        <v>0.62102689486552565</v>
      </c>
      <c r="V52" s="723">
        <f t="shared" si="20"/>
        <v>0.31367432150313151</v>
      </c>
      <c r="W52" s="656">
        <f t="shared" si="20"/>
        <v>-0.17107942973523421</v>
      </c>
      <c r="X52" s="193">
        <f t="shared" si="20"/>
        <v>-0.37747336377473362</v>
      </c>
      <c r="Y52" s="567">
        <f t="shared" si="20"/>
        <v>0.21442115249534988</v>
      </c>
      <c r="Z52" s="567">
        <f t="shared" si="20"/>
        <v>1.3794899392182173E-2</v>
      </c>
      <c r="AA52" s="760">
        <f t="shared" si="20"/>
        <v>-6.8125803750999775E-2</v>
      </c>
      <c r="AE52" s="579" t="s">
        <v>928</v>
      </c>
      <c r="AF52" s="99"/>
      <c r="AJ52" s="583"/>
      <c r="AK52" s="99"/>
      <c r="AO52" s="583"/>
      <c r="AP52" s="99"/>
      <c r="AT52" s="583"/>
      <c r="AU52" s="99"/>
      <c r="AX52" s="220"/>
      <c r="AY52" s="537"/>
      <c r="AZ52" s="99"/>
      <c r="BE52" s="597"/>
      <c r="BF52" s="594"/>
    </row>
    <row r="53" spans="1:58" x14ac:dyDescent="0.3">
      <c r="A53" s="136"/>
      <c r="B53" s="205" t="s">
        <v>929</v>
      </c>
      <c r="C53" s="192"/>
      <c r="D53" s="198"/>
      <c r="E53" s="198"/>
      <c r="F53" s="198"/>
      <c r="G53" s="677"/>
      <c r="H53" s="607"/>
      <c r="I53" s="194"/>
      <c r="J53" s="194"/>
      <c r="K53" s="194"/>
      <c r="L53" s="694"/>
      <c r="M53" s="202">
        <f>M50/$Q$50</f>
        <v>0.27870563674321502</v>
      </c>
      <c r="N53" s="202">
        <f>N50/$Q$50</f>
        <v>0.2677453027139875</v>
      </c>
      <c r="O53" s="202">
        <f>O50/$Q$50</f>
        <v>0.24008350730688935</v>
      </c>
      <c r="P53" s="202">
        <f>P50/$Q$50</f>
        <v>0.21346555323590813</v>
      </c>
      <c r="Q53" s="722">
        <f>Q50/$Q$50</f>
        <v>1</v>
      </c>
      <c r="R53" s="622">
        <f>R50/$V$50</f>
        <v>0.19507350019864919</v>
      </c>
      <c r="S53" s="550">
        <f>S50/$V$50</f>
        <v>0.26102502979737785</v>
      </c>
      <c r="T53" s="550">
        <f>T50/$V$50</f>
        <v>0.28049264998013507</v>
      </c>
      <c r="U53" s="626">
        <f>U50/$V$50</f>
        <v>0.26340882002383792</v>
      </c>
      <c r="V53" s="748">
        <f>V50/$V$50</f>
        <v>1</v>
      </c>
      <c r="W53" s="192"/>
      <c r="X53" s="198"/>
      <c r="Y53" s="542"/>
      <c r="Z53" s="542"/>
      <c r="AA53" s="759"/>
      <c r="AE53" s="579" t="s">
        <v>929</v>
      </c>
      <c r="AF53" s="99"/>
      <c r="AJ53" s="583"/>
      <c r="AK53" s="99"/>
      <c r="AO53" s="583"/>
      <c r="AP53" s="99"/>
      <c r="AT53" s="583"/>
      <c r="AU53" s="99"/>
      <c r="AX53" s="220"/>
      <c r="AY53" s="537"/>
      <c r="AZ53" s="99"/>
      <c r="BE53" s="597"/>
      <c r="BF53" s="594"/>
    </row>
    <row r="54" spans="1:58" x14ac:dyDescent="0.3">
      <c r="A54" s="136"/>
      <c r="B54" s="39" t="s">
        <v>912</v>
      </c>
      <c r="C54" s="151">
        <v>0</v>
      </c>
      <c r="D54" s="139">
        <v>0</v>
      </c>
      <c r="E54" s="139">
        <v>0</v>
      </c>
      <c r="F54" s="139">
        <v>0</v>
      </c>
      <c r="G54" s="666">
        <f>SUM(C54:F54)</f>
        <v>0</v>
      </c>
      <c r="H54" s="609">
        <v>0</v>
      </c>
      <c r="I54" s="119">
        <v>0</v>
      </c>
      <c r="J54" s="119">
        <v>0</v>
      </c>
      <c r="K54" s="119">
        <v>0</v>
      </c>
      <c r="L54" s="682">
        <f>SUM(H54:K54)</f>
        <v>0</v>
      </c>
      <c r="M54" s="119">
        <v>230</v>
      </c>
      <c r="N54" s="119">
        <v>452</v>
      </c>
      <c r="O54" s="119">
        <v>332</v>
      </c>
      <c r="P54" s="119">
        <v>1626</v>
      </c>
      <c r="Q54" s="710">
        <f>SUM(M54:P54)</f>
        <v>2640</v>
      </c>
      <c r="R54" s="609">
        <v>454</v>
      </c>
      <c r="S54" s="119">
        <v>460</v>
      </c>
      <c r="T54" s="119">
        <v>249</v>
      </c>
      <c r="U54" s="627">
        <v>2053</v>
      </c>
      <c r="V54" s="740">
        <f>SUM(R54:U54)</f>
        <v>3216</v>
      </c>
      <c r="W54" s="151">
        <v>241</v>
      </c>
      <c r="X54" s="139">
        <v>616</v>
      </c>
      <c r="Y54" s="566">
        <f>$Y$11*BE54</f>
        <v>498.08155334868678</v>
      </c>
      <c r="Z54" s="566">
        <f>$Y$11*BF54</f>
        <v>2306.9511139089582</v>
      </c>
      <c r="AA54" s="758">
        <f>SUM(W54:Z54)</f>
        <v>3662.0326672576448</v>
      </c>
      <c r="AE54" s="64" t="s">
        <v>912</v>
      </c>
      <c r="AF54" s="580">
        <f t="shared" ref="AF54:BD54" si="21">C54/C11</f>
        <v>0</v>
      </c>
      <c r="AG54" s="581">
        <f t="shared" si="21"/>
        <v>0</v>
      </c>
      <c r="AH54" s="581">
        <f t="shared" si="21"/>
        <v>0</v>
      </c>
      <c r="AI54" s="581">
        <f t="shared" si="21"/>
        <v>0</v>
      </c>
      <c r="AJ54" s="582">
        <f t="shared" si="21"/>
        <v>0</v>
      </c>
      <c r="AK54" s="580">
        <f t="shared" si="21"/>
        <v>0</v>
      </c>
      <c r="AL54" s="581">
        <f t="shared" si="21"/>
        <v>0</v>
      </c>
      <c r="AM54" s="581">
        <f t="shared" si="21"/>
        <v>0</v>
      </c>
      <c r="AN54" s="581">
        <f t="shared" si="21"/>
        <v>0</v>
      </c>
      <c r="AO54" s="582">
        <f t="shared" si="21"/>
        <v>0</v>
      </c>
      <c r="AP54" s="580">
        <f t="shared" si="21"/>
        <v>2.6703819807268082E-2</v>
      </c>
      <c r="AQ54" s="581">
        <f t="shared" si="21"/>
        <v>3.4177693761814745E-2</v>
      </c>
      <c r="AR54" s="581">
        <f t="shared" si="21"/>
        <v>3.080920564216778E-2</v>
      </c>
      <c r="AS54" s="581">
        <f t="shared" si="21"/>
        <v>8.2150255140706313E-2</v>
      </c>
      <c r="AT54" s="582">
        <f t="shared" si="21"/>
        <v>5.0374949911271394E-2</v>
      </c>
      <c r="AU54" s="580">
        <f t="shared" si="21"/>
        <v>2.9505426658867875E-2</v>
      </c>
      <c r="AV54" s="581">
        <f t="shared" si="21"/>
        <v>2.3922200842477509E-2</v>
      </c>
      <c r="AW54" s="581">
        <f t="shared" si="21"/>
        <v>9.2879256965944269E-3</v>
      </c>
      <c r="AX54" s="484">
        <f t="shared" si="21"/>
        <v>0.10356656409221611</v>
      </c>
      <c r="AY54" s="536">
        <f t="shared" si="21"/>
        <v>3.9582512800315085E-2</v>
      </c>
      <c r="AZ54" s="580">
        <f t="shared" si="21"/>
        <v>1.8921253042317659E-2</v>
      </c>
      <c r="BA54" s="581">
        <f t="shared" si="21"/>
        <v>3.2853333333333332E-2</v>
      </c>
      <c r="BB54" s="581">
        <f t="shared" si="21"/>
        <v>2.0048565669381103E-2</v>
      </c>
      <c r="BC54" s="581">
        <f t="shared" si="21"/>
        <v>8.5343497462538595E-2</v>
      </c>
      <c r="BD54" s="581">
        <f t="shared" si="21"/>
        <v>4.3929220451773894E-2</v>
      </c>
      <c r="BE54" s="598">
        <f>AVERAGE(AW54,AR54)</f>
        <v>2.0048565669381103E-2</v>
      </c>
      <c r="BF54" s="595">
        <f>AVERAGE(AX54,AS54)</f>
        <v>9.2858409616461218E-2</v>
      </c>
    </row>
    <row r="55" spans="1:58" x14ac:dyDescent="0.3">
      <c r="A55" s="136"/>
      <c r="B55" s="205" t="s">
        <v>927</v>
      </c>
      <c r="C55" s="192"/>
      <c r="D55" s="198"/>
      <c r="E55" s="198"/>
      <c r="F55" s="198"/>
      <c r="G55" s="677"/>
      <c r="H55" s="607"/>
      <c r="I55" s="194"/>
      <c r="J55" s="194"/>
      <c r="K55" s="194"/>
      <c r="L55" s="694"/>
      <c r="M55" s="194"/>
      <c r="N55" s="194"/>
      <c r="O55" s="194"/>
      <c r="P55" s="194"/>
      <c r="Q55" s="720"/>
      <c r="R55" s="620">
        <f>(R54-P54)/P54</f>
        <v>-0.72078720787207873</v>
      </c>
      <c r="S55" s="549">
        <f>(S54-R54)/R54</f>
        <v>1.3215859030837005E-2</v>
      </c>
      <c r="T55" s="549">
        <f>(T54-S54)/S54</f>
        <v>-0.45869565217391306</v>
      </c>
      <c r="U55" s="621">
        <f>(U54-T54)/T54</f>
        <v>7.2449799196787152</v>
      </c>
      <c r="V55" s="746"/>
      <c r="W55" s="201">
        <f>(W54-U54)/U54</f>
        <v>-0.88261081344374082</v>
      </c>
      <c r="X55" s="230">
        <f>(X54-W54)/W54</f>
        <v>1.5560165975103735</v>
      </c>
      <c r="Y55" s="542"/>
      <c r="Z55" s="542"/>
      <c r="AA55" s="759"/>
      <c r="AE55" s="579" t="s">
        <v>927</v>
      </c>
      <c r="AF55" s="99"/>
      <c r="AJ55" s="583"/>
      <c r="AK55" s="99"/>
      <c r="AO55" s="583"/>
      <c r="AP55" s="99"/>
      <c r="AT55" s="583"/>
      <c r="AU55" s="99"/>
      <c r="AX55" s="220"/>
      <c r="AY55" s="537"/>
      <c r="AZ55" s="99"/>
      <c r="BE55" s="597"/>
      <c r="BF55" s="594"/>
    </row>
    <row r="56" spans="1:58" x14ac:dyDescent="0.3">
      <c r="A56" s="136"/>
      <c r="B56" s="205" t="s">
        <v>928</v>
      </c>
      <c r="C56" s="192"/>
      <c r="D56" s="198"/>
      <c r="E56" s="198"/>
      <c r="F56" s="198"/>
      <c r="G56" s="677"/>
      <c r="H56" s="607"/>
      <c r="I56" s="194"/>
      <c r="J56" s="194"/>
      <c r="K56" s="194"/>
      <c r="L56" s="694"/>
      <c r="M56" s="194"/>
      <c r="N56" s="194"/>
      <c r="O56" s="194"/>
      <c r="P56" s="194"/>
      <c r="Q56" s="720"/>
      <c r="R56" s="620">
        <f t="shared" ref="R56:AA56" si="22">(R54-M54)/M54</f>
        <v>0.97391304347826091</v>
      </c>
      <c r="S56" s="549">
        <f t="shared" si="22"/>
        <v>1.7699115044247787E-2</v>
      </c>
      <c r="T56" s="549">
        <f t="shared" si="22"/>
        <v>-0.25</v>
      </c>
      <c r="U56" s="621">
        <f t="shared" si="22"/>
        <v>0.26260762607626076</v>
      </c>
      <c r="V56" s="723">
        <f t="shared" si="22"/>
        <v>0.21818181818181817</v>
      </c>
      <c r="W56" s="656">
        <f t="shared" si="22"/>
        <v>-0.46916299559471364</v>
      </c>
      <c r="X56" s="193">
        <f t="shared" si="22"/>
        <v>0.33913043478260868</v>
      </c>
      <c r="Y56" s="567">
        <f t="shared" si="22"/>
        <v>1.0003275234887019</v>
      </c>
      <c r="Z56" s="567">
        <f t="shared" si="22"/>
        <v>0.1236975713146411</v>
      </c>
      <c r="AA56" s="760">
        <f t="shared" si="22"/>
        <v>0.13869174976916815</v>
      </c>
      <c r="AE56" s="579" t="s">
        <v>928</v>
      </c>
      <c r="AF56" s="99"/>
      <c r="AJ56" s="583"/>
      <c r="AK56" s="99"/>
      <c r="AO56" s="583"/>
      <c r="AP56" s="99"/>
      <c r="AT56" s="583"/>
      <c r="AU56" s="99"/>
      <c r="AX56" s="220"/>
      <c r="AY56" s="537"/>
      <c r="AZ56" s="99"/>
      <c r="BE56" s="597"/>
      <c r="BF56" s="594"/>
    </row>
    <row r="57" spans="1:58" x14ac:dyDescent="0.3">
      <c r="A57" s="136"/>
      <c r="B57" s="205" t="s">
        <v>929</v>
      </c>
      <c r="C57" s="192"/>
      <c r="D57" s="198"/>
      <c r="E57" s="198"/>
      <c r="F57" s="198"/>
      <c r="G57" s="677"/>
      <c r="H57" s="607"/>
      <c r="I57" s="194"/>
      <c r="J57" s="194"/>
      <c r="K57" s="194"/>
      <c r="L57" s="694"/>
      <c r="M57" s="202">
        <f>M54/$Q$54</f>
        <v>8.7121212121212127E-2</v>
      </c>
      <c r="N57" s="202">
        <f>N54/$Q$54</f>
        <v>0.1712121212121212</v>
      </c>
      <c r="O57" s="202">
        <f>O54/$Q$54</f>
        <v>0.12575757575757576</v>
      </c>
      <c r="P57" s="202">
        <f>P54/$Q$54</f>
        <v>0.61590909090909096</v>
      </c>
      <c r="Q57" s="722">
        <f>Q54/$Q$54</f>
        <v>1</v>
      </c>
      <c r="R57" s="622">
        <f>R54/$V$54</f>
        <v>0.14116915422885573</v>
      </c>
      <c r="S57" s="550">
        <f>S54/$V$54</f>
        <v>0.14303482587064675</v>
      </c>
      <c r="T57" s="550">
        <f>T54/$V$54</f>
        <v>7.742537313432836E-2</v>
      </c>
      <c r="U57" s="626">
        <f>U54/$V$54</f>
        <v>0.63837064676616917</v>
      </c>
      <c r="V57" s="748">
        <f>V54/$V$54</f>
        <v>1</v>
      </c>
      <c r="W57" s="192"/>
      <c r="X57" s="198"/>
      <c r="Y57" s="542"/>
      <c r="Z57" s="542"/>
      <c r="AA57" s="759"/>
      <c r="AE57" s="579" t="s">
        <v>929</v>
      </c>
      <c r="AF57" s="99"/>
      <c r="AJ57" s="583"/>
      <c r="AK57" s="99"/>
      <c r="AO57" s="583"/>
      <c r="AP57" s="99"/>
      <c r="AT57" s="583"/>
      <c r="AU57" s="99"/>
      <c r="AX57" s="220"/>
      <c r="AY57" s="537"/>
      <c r="AZ57" s="99"/>
      <c r="BE57" s="597"/>
      <c r="BF57" s="594"/>
    </row>
    <row r="58" spans="1:58" x14ac:dyDescent="0.3">
      <c r="A58" s="136"/>
      <c r="B58" s="39" t="s">
        <v>3</v>
      </c>
      <c r="C58" s="151">
        <v>720.4</v>
      </c>
      <c r="D58" s="139">
        <v>715.7</v>
      </c>
      <c r="E58" s="139">
        <v>740.3</v>
      </c>
      <c r="F58" s="139">
        <v>756.9</v>
      </c>
      <c r="G58" s="666">
        <f>SUM(C58:F58)</f>
        <v>2933.2999999999997</v>
      </c>
      <c r="H58" s="609">
        <v>749</v>
      </c>
      <c r="I58" s="119">
        <v>733</v>
      </c>
      <c r="J58" s="119">
        <v>698</v>
      </c>
      <c r="K58" s="119">
        <v>772</v>
      </c>
      <c r="L58" s="682">
        <f>SUM(H58:K58)</f>
        <v>2952</v>
      </c>
      <c r="M58" s="119">
        <v>846</v>
      </c>
      <c r="N58" s="119">
        <v>1049</v>
      </c>
      <c r="O58" s="119">
        <v>1023</v>
      </c>
      <c r="P58" s="119">
        <v>1068</v>
      </c>
      <c r="Q58" s="710">
        <f>SUM(M58:P58)</f>
        <v>3986</v>
      </c>
      <c r="R58" s="609">
        <v>1007</v>
      </c>
      <c r="S58" s="119">
        <v>1103</v>
      </c>
      <c r="T58" s="119">
        <v>1239</v>
      </c>
      <c r="U58" s="627">
        <v>1252</v>
      </c>
      <c r="V58" s="740">
        <f>SUM(R58:U58)</f>
        <v>4601</v>
      </c>
      <c r="W58" s="151">
        <v>926</v>
      </c>
      <c r="X58" s="139">
        <v>980</v>
      </c>
      <c r="Y58" s="566">
        <f>AVERAGE(W58:X58)</f>
        <v>953</v>
      </c>
      <c r="Z58" s="566">
        <f>Y58</f>
        <v>953</v>
      </c>
      <c r="AA58" s="758">
        <f>SUM(W58:Z58)</f>
        <v>3812</v>
      </c>
      <c r="AE58" s="64" t="s">
        <v>3</v>
      </c>
      <c r="AF58" s="580">
        <f t="shared" ref="AF58:BD58" si="23">C58/C11</f>
        <v>7.6668679875801851E-2</v>
      </c>
      <c r="AG58" s="581">
        <f t="shared" si="23"/>
        <v>6.2575547273740706E-2</v>
      </c>
      <c r="AH58" s="581">
        <f t="shared" si="23"/>
        <v>5.9666125993612665E-2</v>
      </c>
      <c r="AI58" s="581">
        <f t="shared" si="23"/>
        <v>5.2185693921838673E-2</v>
      </c>
      <c r="AJ58" s="582">
        <f t="shared" si="23"/>
        <v>6.1436799664886368E-2</v>
      </c>
      <c r="AK58" s="580">
        <f t="shared" si="23"/>
        <v>5.8533916849015315E-2</v>
      </c>
      <c r="AL58" s="581">
        <f t="shared" si="23"/>
        <v>6.675166196156998E-2</v>
      </c>
      <c r="AM58" s="581">
        <f t="shared" si="23"/>
        <v>5.4861274856558985E-2</v>
      </c>
      <c r="AN58" s="581">
        <f t="shared" si="23"/>
        <v>4.1761332900573406E-2</v>
      </c>
      <c r="AO58" s="582">
        <f t="shared" si="23"/>
        <v>5.3686392900010912E-2</v>
      </c>
      <c r="AP58" s="580">
        <f t="shared" si="23"/>
        <v>9.8223615464994779E-2</v>
      </c>
      <c r="AQ58" s="581">
        <f t="shared" si="23"/>
        <v>7.931947069943289E-2</v>
      </c>
      <c r="AR58" s="581">
        <f t="shared" si="23"/>
        <v>9.493318485523386E-2</v>
      </c>
      <c r="AS58" s="581">
        <f t="shared" si="23"/>
        <v>5.3958470166220379E-2</v>
      </c>
      <c r="AT58" s="582">
        <f t="shared" si="23"/>
        <v>7.6058541797851431E-2</v>
      </c>
      <c r="AU58" s="580">
        <f t="shared" si="23"/>
        <v>6.5444856047312663E-2</v>
      </c>
      <c r="AV58" s="581">
        <f t="shared" si="23"/>
        <v>5.7361277237505851E-2</v>
      </c>
      <c r="AW58" s="581">
        <f t="shared" si="23"/>
        <v>4.6215823044499983E-2</v>
      </c>
      <c r="AX58" s="484">
        <f t="shared" si="23"/>
        <v>6.3158956767391417E-2</v>
      </c>
      <c r="AY58" s="536">
        <f t="shared" si="23"/>
        <v>5.6629086254430881E-2</v>
      </c>
      <c r="AZ58" s="580">
        <f t="shared" si="23"/>
        <v>7.2701578079610585E-2</v>
      </c>
      <c r="BA58" s="581">
        <f t="shared" si="23"/>
        <v>5.226666666666667E-2</v>
      </c>
      <c r="BB58" s="581">
        <f t="shared" si="23"/>
        <v>3.8359748427672959E-2</v>
      </c>
      <c r="BC58" s="581">
        <f t="shared" si="23"/>
        <v>3.5255343119944847E-2</v>
      </c>
      <c r="BD58" s="581">
        <f t="shared" si="23"/>
        <v>4.5728207140097711E-2</v>
      </c>
      <c r="BE58" s="598">
        <f>AVERAGE(AW58,AR58)</f>
        <v>7.0574503949866918E-2</v>
      </c>
      <c r="BF58" s="595">
        <f>AVERAGE(AX58,AS58)</f>
        <v>5.8558713466805898E-2</v>
      </c>
    </row>
    <row r="59" spans="1:58" x14ac:dyDescent="0.3">
      <c r="A59" s="136"/>
      <c r="B59" s="205" t="s">
        <v>927</v>
      </c>
      <c r="C59" s="192"/>
      <c r="D59" s="193">
        <f>(D58-C58)/C58</f>
        <v>-6.5241532481953527E-3</v>
      </c>
      <c r="E59" s="193">
        <f>(E58-D58)/D58</f>
        <v>3.437194355176737E-2</v>
      </c>
      <c r="F59" s="193">
        <f>(F58-E58)/E58</f>
        <v>2.2423341888423643E-2</v>
      </c>
      <c r="G59" s="677"/>
      <c r="H59" s="620">
        <f>(H58-F58)/F58</f>
        <v>-1.0437310080591858E-2</v>
      </c>
      <c r="I59" s="549">
        <f>(I58-H58)/H58</f>
        <v>-2.1361815754339118E-2</v>
      </c>
      <c r="J59" s="549">
        <f>(J58-I58)/I58</f>
        <v>-4.7748976807639835E-2</v>
      </c>
      <c r="K59" s="549">
        <f>(K58-J58)/J58</f>
        <v>0.10601719197707736</v>
      </c>
      <c r="L59" s="694"/>
      <c r="M59" s="202">
        <f>(M58-K58)/K58</f>
        <v>9.585492227979274E-2</v>
      </c>
      <c r="N59" s="202" t="e">
        <f ca="1">(N59-M58)/M58</f>
        <v>#DIV/0!</v>
      </c>
      <c r="O59" s="202" t="e">
        <f ca="1">(O59-N58)/N58</f>
        <v>#DIV/0!</v>
      </c>
      <c r="P59" s="202" t="e">
        <f ca="1">(P59-O58)/O58</f>
        <v>#DIV/0!</v>
      </c>
      <c r="Q59" s="720"/>
      <c r="R59" s="620">
        <f>(R58-P58)/P58</f>
        <v>-5.7116104868913858E-2</v>
      </c>
      <c r="S59" s="549">
        <f>(S58-R58)/R58</f>
        <v>9.5332671300893748E-2</v>
      </c>
      <c r="T59" s="549">
        <f>(T58-S58)/S58</f>
        <v>0.12330009066183137</v>
      </c>
      <c r="U59" s="621">
        <f>(U58-T58)/T58</f>
        <v>1.0492332526230832E-2</v>
      </c>
      <c r="V59" s="746"/>
      <c r="W59" s="656">
        <f>(W58-U58)/U58</f>
        <v>-0.26038338658146964</v>
      </c>
      <c r="X59" s="193">
        <f>(X58-W58)/W58</f>
        <v>5.8315334773218146E-2</v>
      </c>
      <c r="Y59" s="542"/>
      <c r="Z59" s="542"/>
      <c r="AA59" s="759"/>
      <c r="AE59" s="579" t="s">
        <v>927</v>
      </c>
      <c r="AF59" s="99"/>
      <c r="AJ59" s="583"/>
      <c r="AK59" s="99"/>
      <c r="AO59" s="583"/>
      <c r="AP59" s="99"/>
      <c r="AT59" s="583"/>
      <c r="AU59" s="99"/>
      <c r="AX59" s="220"/>
      <c r="AY59" s="537"/>
      <c r="AZ59" s="99"/>
      <c r="BE59" s="597"/>
      <c r="BF59" s="594"/>
    </row>
    <row r="60" spans="1:58" x14ac:dyDescent="0.3">
      <c r="A60" s="136"/>
      <c r="B60" s="205" t="s">
        <v>928</v>
      </c>
      <c r="C60" s="192"/>
      <c r="D60" s="198"/>
      <c r="E60" s="198"/>
      <c r="F60" s="198"/>
      <c r="G60" s="677"/>
      <c r="H60" s="620">
        <f t="shared" ref="H60:AA60" si="24">(H58-C58)/C58</f>
        <v>3.970016657412552E-2</v>
      </c>
      <c r="I60" s="549">
        <f t="shared" si="24"/>
        <v>2.4172139164454317E-2</v>
      </c>
      <c r="J60" s="549">
        <f t="shared" si="24"/>
        <v>-5.7138997703633607E-2</v>
      </c>
      <c r="K60" s="549">
        <f t="shared" si="24"/>
        <v>1.9949795217333893E-2</v>
      </c>
      <c r="L60" s="695">
        <f t="shared" si="24"/>
        <v>6.3750724440051389E-3</v>
      </c>
      <c r="M60" s="199">
        <f t="shared" si="24"/>
        <v>0.12950600801068091</v>
      </c>
      <c r="N60" s="199">
        <f t="shared" si="24"/>
        <v>0.43110504774897679</v>
      </c>
      <c r="O60" s="199">
        <f t="shared" si="24"/>
        <v>0.46561604584527222</v>
      </c>
      <c r="P60" s="199">
        <f t="shared" si="24"/>
        <v>0.38341968911917096</v>
      </c>
      <c r="Q60" s="721">
        <f t="shared" si="24"/>
        <v>0.35027100271002709</v>
      </c>
      <c r="R60" s="620">
        <f t="shared" si="24"/>
        <v>0.19030732860520094</v>
      </c>
      <c r="S60" s="549">
        <f t="shared" si="24"/>
        <v>5.1477597712106769E-2</v>
      </c>
      <c r="T60" s="549">
        <f t="shared" si="24"/>
        <v>0.21114369501466276</v>
      </c>
      <c r="U60" s="621">
        <f t="shared" si="24"/>
        <v>0.17228464419475656</v>
      </c>
      <c r="V60" s="747">
        <f t="shared" si="24"/>
        <v>0.15429001505268439</v>
      </c>
      <c r="W60" s="656">
        <f t="shared" si="24"/>
        <v>-8.0436941410129095E-2</v>
      </c>
      <c r="X60" s="193">
        <f t="shared" si="24"/>
        <v>-0.1115140525838622</v>
      </c>
      <c r="Y60" s="543">
        <f t="shared" si="24"/>
        <v>-0.23083131557707828</v>
      </c>
      <c r="Z60" s="543">
        <f t="shared" si="24"/>
        <v>-0.23881789137380191</v>
      </c>
      <c r="AA60" s="761">
        <f t="shared" si="24"/>
        <v>-0.17148445990002173</v>
      </c>
      <c r="AE60" s="579" t="s">
        <v>928</v>
      </c>
      <c r="AF60" s="99"/>
      <c r="AJ60" s="583"/>
      <c r="AK60" s="99"/>
      <c r="AO60" s="583"/>
      <c r="AP60" s="99"/>
      <c r="AT60" s="583"/>
      <c r="AU60" s="99"/>
      <c r="AX60" s="220"/>
      <c r="AY60" s="537"/>
      <c r="AZ60" s="99"/>
      <c r="BE60" s="597"/>
      <c r="BF60" s="594"/>
    </row>
    <row r="61" spans="1:58" x14ac:dyDescent="0.3">
      <c r="A61" s="136"/>
      <c r="B61" s="205" t="s">
        <v>929</v>
      </c>
      <c r="C61" s="192"/>
      <c r="D61" s="198"/>
      <c r="E61" s="198"/>
      <c r="F61" s="198"/>
      <c r="G61" s="677"/>
      <c r="H61" s="607"/>
      <c r="I61" s="194"/>
      <c r="J61" s="194"/>
      <c r="K61" s="194"/>
      <c r="L61" s="694"/>
      <c r="M61" s="194"/>
      <c r="N61" s="194"/>
      <c r="O61" s="194"/>
      <c r="P61" s="194"/>
      <c r="Q61" s="720"/>
      <c r="R61" s="607"/>
      <c r="S61" s="194"/>
      <c r="T61" s="194"/>
      <c r="U61" s="608"/>
      <c r="V61" s="746"/>
      <c r="W61" s="192"/>
      <c r="X61" s="198"/>
      <c r="Y61" s="542"/>
      <c r="Z61" s="542"/>
      <c r="AA61" s="759"/>
      <c r="AE61" s="579" t="s">
        <v>929</v>
      </c>
      <c r="AF61" s="99"/>
      <c r="AJ61" s="583"/>
      <c r="AK61" s="99"/>
      <c r="AO61" s="583"/>
      <c r="AP61" s="99"/>
      <c r="AT61" s="583"/>
      <c r="AU61" s="99"/>
      <c r="AX61" s="220"/>
      <c r="AY61" s="537"/>
      <c r="AZ61" s="99"/>
      <c r="BE61" s="597"/>
      <c r="BF61" s="594"/>
    </row>
    <row r="62" spans="1:58" x14ac:dyDescent="0.3">
      <c r="A62" s="136" t="s">
        <v>930</v>
      </c>
      <c r="B62" s="39" t="s">
        <v>916</v>
      </c>
      <c r="C62" s="151">
        <v>790.2</v>
      </c>
      <c r="D62" s="139">
        <v>770.5</v>
      </c>
      <c r="E62" s="139">
        <v>729.7</v>
      </c>
      <c r="F62" s="139">
        <v>869.2</v>
      </c>
      <c r="G62" s="666">
        <f>SUM(C62:F62)</f>
        <v>3159.6000000000004</v>
      </c>
      <c r="H62" s="609">
        <v>820</v>
      </c>
      <c r="I62" s="119">
        <v>874</v>
      </c>
      <c r="J62" s="119">
        <v>867</v>
      </c>
      <c r="K62" s="119">
        <v>1266</v>
      </c>
      <c r="L62" s="682">
        <f>SUM(H62:K62)</f>
        <v>3827</v>
      </c>
      <c r="M62" s="119">
        <v>1583</v>
      </c>
      <c r="N62" s="119">
        <v>1870</v>
      </c>
      <c r="O62" s="119">
        <v>1792</v>
      </c>
      <c r="P62" s="119">
        <v>1983</v>
      </c>
      <c r="Q62" s="710">
        <f>SUM(M62:P62)</f>
        <v>7228</v>
      </c>
      <c r="R62" s="609">
        <v>2407</v>
      </c>
      <c r="S62" s="119">
        <v>2640</v>
      </c>
      <c r="T62" s="119">
        <v>2602</v>
      </c>
      <c r="U62" s="627">
        <v>2584</v>
      </c>
      <c r="V62" s="740">
        <f>SUM(R62:U62)</f>
        <v>10233</v>
      </c>
      <c r="W62" s="151">
        <v>2469</v>
      </c>
      <c r="X62" s="139">
        <v>2441</v>
      </c>
      <c r="Y62" s="566">
        <f>$Y$11*BE62</f>
        <v>3271.3309651896147</v>
      </c>
      <c r="Z62" s="566">
        <f>$Y$11*BF62</f>
        <v>2863.7460733699345</v>
      </c>
      <c r="AA62" s="758">
        <f>SUM(W62:Z62)</f>
        <v>11045.07703855955</v>
      </c>
      <c r="AB62" s="17" t="s">
        <v>965</v>
      </c>
      <c r="AE62" s="64" t="s">
        <v>916</v>
      </c>
      <c r="AF62" s="580">
        <f t="shared" ref="AF62:BD62" si="25">C62/C11</f>
        <v>8.4097155521736008E-2</v>
      </c>
      <c r="AG62" s="581">
        <f t="shared" si="25"/>
        <v>6.7366856468376701E-2</v>
      </c>
      <c r="AH62" s="581">
        <f t="shared" si="25"/>
        <v>5.8811795403943226E-2</v>
      </c>
      <c r="AI62" s="581">
        <f t="shared" si="25"/>
        <v>5.9928398938911581E-2</v>
      </c>
      <c r="AJ62" s="582">
        <f t="shared" si="25"/>
        <v>6.6176562990889101E-2</v>
      </c>
      <c r="AK62" s="580">
        <f t="shared" si="25"/>
        <v>6.4082525789309161E-2</v>
      </c>
      <c r="AL62" s="581">
        <f t="shared" si="25"/>
        <v>7.9592022584464073E-2</v>
      </c>
      <c r="AM62" s="581">
        <f t="shared" si="25"/>
        <v>6.8144305588304643E-2</v>
      </c>
      <c r="AN62" s="581">
        <f t="shared" si="25"/>
        <v>6.8484258357676076E-2</v>
      </c>
      <c r="AO62" s="582">
        <f t="shared" si="25"/>
        <v>6.9599534426945039E-2</v>
      </c>
      <c r="AP62" s="580">
        <f t="shared" si="25"/>
        <v>0.18379194241263208</v>
      </c>
      <c r="AQ62" s="581">
        <f t="shared" si="25"/>
        <v>0.14139886578449906</v>
      </c>
      <c r="AR62" s="581">
        <f t="shared" si="25"/>
        <v>0.16629547141796586</v>
      </c>
      <c r="AS62" s="581">
        <f t="shared" si="25"/>
        <v>0.10018693477492042</v>
      </c>
      <c r="AT62" s="582">
        <f t="shared" si="25"/>
        <v>0.13792050680252638</v>
      </c>
      <c r="AU62" s="580">
        <f t="shared" si="25"/>
        <v>0.15643075323324884</v>
      </c>
      <c r="AV62" s="581">
        <f t="shared" si="25"/>
        <v>0.13729263092204483</v>
      </c>
      <c r="AW62" s="581">
        <f t="shared" si="25"/>
        <v>9.7056958484091169E-2</v>
      </c>
      <c r="AX62" s="484">
        <f t="shared" si="25"/>
        <v>0.13035362962215608</v>
      </c>
      <c r="AY62" s="536">
        <f t="shared" si="25"/>
        <v>0.12594771563607721</v>
      </c>
      <c r="AZ62" s="580">
        <f t="shared" si="25"/>
        <v>0.19384470440449086</v>
      </c>
      <c r="BA62" s="581">
        <f t="shared" si="25"/>
        <v>0.13018666666666667</v>
      </c>
      <c r="BB62" s="581">
        <f t="shared" si="25"/>
        <v>0.13167621495102852</v>
      </c>
      <c r="BC62" s="581">
        <f t="shared" si="25"/>
        <v>0.10594160590246778</v>
      </c>
      <c r="BD62" s="581">
        <f t="shared" si="25"/>
        <v>0.13249516545057399</v>
      </c>
      <c r="BE62" s="598">
        <f>AVERAGE(AW62,AR62)</f>
        <v>0.13167621495102852</v>
      </c>
      <c r="BF62" s="595">
        <f>AVERAGE(AX62,AS62)</f>
        <v>0.11527028219853824</v>
      </c>
    </row>
    <row r="63" spans="1:58" x14ac:dyDescent="0.3">
      <c r="A63" s="136"/>
      <c r="B63" s="205" t="s">
        <v>927</v>
      </c>
      <c r="C63" s="192"/>
      <c r="D63" s="193">
        <f>(D62-C62)/C62</f>
        <v>-2.4930397367755056E-2</v>
      </c>
      <c r="E63" s="193">
        <f>(E62-D62)/D62</f>
        <v>-5.2952628163530115E-2</v>
      </c>
      <c r="F63" s="193">
        <f>(F62-E62)/E62</f>
        <v>0.19117445525558446</v>
      </c>
      <c r="G63" s="677"/>
      <c r="H63" s="620">
        <f>(H62-F62)/F62</f>
        <v>-5.660377358490571E-2</v>
      </c>
      <c r="I63" s="549">
        <f>(I62-H62)/H62</f>
        <v>6.5853658536585369E-2</v>
      </c>
      <c r="J63" s="549">
        <f>(J62-I62)/I62</f>
        <v>-8.0091533180778034E-3</v>
      </c>
      <c r="K63" s="549">
        <f>(K62-J62)/J62</f>
        <v>0.46020761245674741</v>
      </c>
      <c r="L63" s="694"/>
      <c r="M63" s="199">
        <f>(M62-K62)/K62</f>
        <v>0.25039494470774093</v>
      </c>
      <c r="N63" s="199">
        <f>(N62-M62)/M62</f>
        <v>0.18130132659507264</v>
      </c>
      <c r="O63" s="199">
        <f>(O62-N62)/N62</f>
        <v>-4.1711229946524063E-2</v>
      </c>
      <c r="P63" s="199">
        <f>(P62-O62)/O62</f>
        <v>0.10658482142857142</v>
      </c>
      <c r="Q63" s="720"/>
      <c r="R63" s="620">
        <f>(R62-P62)/P62</f>
        <v>0.21381744831064045</v>
      </c>
      <c r="S63" s="549">
        <f>(S62-R62)/R62</f>
        <v>9.6800997091815541E-2</v>
      </c>
      <c r="T63" s="549">
        <f>(T62-S62)/S62</f>
        <v>-1.4393939393939395E-2</v>
      </c>
      <c r="U63" s="621">
        <f>(U62-T62)/T62</f>
        <v>-6.9177555726364333E-3</v>
      </c>
      <c r="V63" s="746"/>
      <c r="W63" s="656">
        <f>(W62-U62)/U62</f>
        <v>-4.4504643962848298E-2</v>
      </c>
      <c r="X63" s="193">
        <f>(X62-W62)/W62</f>
        <v>-1.1340623734305387E-2</v>
      </c>
      <c r="Y63" s="542"/>
      <c r="Z63" s="542"/>
      <c r="AA63" s="759"/>
      <c r="AE63" s="579" t="s">
        <v>927</v>
      </c>
      <c r="AF63" s="99"/>
      <c r="AJ63" s="583"/>
      <c r="AK63" s="99"/>
      <c r="AO63" s="583"/>
      <c r="AP63" s="99"/>
      <c r="AT63" s="583"/>
      <c r="AU63" s="99"/>
      <c r="AX63" s="220"/>
      <c r="AY63" s="537"/>
      <c r="AZ63" s="99"/>
      <c r="BE63" s="597"/>
      <c r="BF63" s="594"/>
    </row>
    <row r="64" spans="1:58" x14ac:dyDescent="0.3">
      <c r="A64" s="136"/>
      <c r="B64" s="205" t="s">
        <v>928</v>
      </c>
      <c r="C64" s="192"/>
      <c r="D64" s="198"/>
      <c r="E64" s="198"/>
      <c r="F64" s="198"/>
      <c r="G64" s="677"/>
      <c r="H64" s="620">
        <f t="shared" ref="H64:AA64" si="26">(H62-C62)/C62</f>
        <v>3.7711971652746083E-2</v>
      </c>
      <c r="I64" s="549">
        <f t="shared" si="26"/>
        <v>0.13432835820895522</v>
      </c>
      <c r="J64" s="549">
        <f t="shared" si="26"/>
        <v>0.18815951760997662</v>
      </c>
      <c r="K64" s="549">
        <f t="shared" si="26"/>
        <v>0.45651173492866998</v>
      </c>
      <c r="L64" s="695">
        <f t="shared" si="26"/>
        <v>0.2112292695277882</v>
      </c>
      <c r="M64" s="199">
        <f t="shared" si="26"/>
        <v>0.93048780487804883</v>
      </c>
      <c r="N64" s="199">
        <f t="shared" si="26"/>
        <v>1.139588100686499</v>
      </c>
      <c r="O64" s="199">
        <f t="shared" si="26"/>
        <v>1.0668973471741638</v>
      </c>
      <c r="P64" s="199">
        <f t="shared" si="26"/>
        <v>0.56635071090047395</v>
      </c>
      <c r="Q64" s="721">
        <f t="shared" si="26"/>
        <v>0.88868565455970738</v>
      </c>
      <c r="R64" s="620">
        <f t="shared" si="26"/>
        <v>0.52053063802905875</v>
      </c>
      <c r="S64" s="549">
        <f t="shared" si="26"/>
        <v>0.41176470588235292</v>
      </c>
      <c r="T64" s="549">
        <f t="shared" si="26"/>
        <v>0.45200892857142855</v>
      </c>
      <c r="U64" s="621">
        <f t="shared" si="26"/>
        <v>0.30307614725163895</v>
      </c>
      <c r="V64" s="747">
        <f t="shared" si="26"/>
        <v>0.41574432761483121</v>
      </c>
      <c r="W64" s="656">
        <f t="shared" si="26"/>
        <v>2.5758205234732032E-2</v>
      </c>
      <c r="X64" s="193">
        <f t="shared" si="26"/>
        <v>-7.5378787878787878E-2</v>
      </c>
      <c r="Y64" s="543">
        <f t="shared" si="26"/>
        <v>0.2572371119099211</v>
      </c>
      <c r="Z64" s="543">
        <f t="shared" si="26"/>
        <v>0.1082608643072502</v>
      </c>
      <c r="AA64" s="761">
        <f t="shared" si="26"/>
        <v>7.9358647372183108E-2</v>
      </c>
      <c r="AE64" s="579" t="s">
        <v>928</v>
      </c>
      <c r="AF64" s="99"/>
      <c r="AJ64" s="583"/>
      <c r="AK64" s="99"/>
      <c r="AO64" s="583"/>
      <c r="AP64" s="99"/>
      <c r="AT64" s="583"/>
      <c r="AU64" s="99"/>
      <c r="AX64" s="220"/>
      <c r="AY64" s="537"/>
      <c r="AZ64" s="99"/>
      <c r="BE64" s="597"/>
      <c r="BF64" s="594"/>
    </row>
    <row r="65" spans="1:58" x14ac:dyDescent="0.3">
      <c r="A65" s="136"/>
      <c r="B65" s="205" t="s">
        <v>929</v>
      </c>
      <c r="C65" s="192"/>
      <c r="D65" s="198"/>
      <c r="E65" s="198"/>
      <c r="F65" s="198"/>
      <c r="G65" s="677"/>
      <c r="H65" s="607"/>
      <c r="I65" s="194"/>
      <c r="J65" s="194"/>
      <c r="K65" s="194"/>
      <c r="L65" s="694"/>
      <c r="M65" s="194"/>
      <c r="N65" s="194"/>
      <c r="O65" s="194"/>
      <c r="P65" s="194"/>
      <c r="Q65" s="720"/>
      <c r="R65" s="607"/>
      <c r="S65" s="194"/>
      <c r="T65" s="194"/>
      <c r="U65" s="608"/>
      <c r="V65" s="746"/>
      <c r="W65" s="192"/>
      <c r="X65" s="198"/>
      <c r="Y65" s="542"/>
      <c r="Z65" s="542"/>
      <c r="AA65" s="759"/>
      <c r="AE65" s="579" t="s">
        <v>929</v>
      </c>
      <c r="AF65" s="99"/>
      <c r="AJ65" s="583"/>
      <c r="AK65" s="99"/>
      <c r="AO65" s="583"/>
      <c r="AP65" s="99"/>
      <c r="AT65" s="583"/>
      <c r="AU65" s="99"/>
      <c r="AX65" s="220"/>
      <c r="AY65" s="537"/>
      <c r="AZ65" s="99"/>
      <c r="BE65" s="597"/>
      <c r="BF65" s="594"/>
    </row>
    <row r="66" spans="1:58" x14ac:dyDescent="0.3">
      <c r="A66" s="172"/>
      <c r="B66" s="207" t="s">
        <v>915</v>
      </c>
      <c r="C66" s="151">
        <v>335.5</v>
      </c>
      <c r="D66" s="139">
        <v>472.7</v>
      </c>
      <c r="E66" s="139">
        <v>439.2</v>
      </c>
      <c r="F66" s="139">
        <v>389.4</v>
      </c>
      <c r="G66" s="666">
        <f>SUM(C66:F66)</f>
        <v>1636.8000000000002</v>
      </c>
      <c r="H66" s="609">
        <v>376</v>
      </c>
      <c r="I66" s="119">
        <v>379</v>
      </c>
      <c r="J66" s="119">
        <v>405</v>
      </c>
      <c r="K66" s="119">
        <v>387</v>
      </c>
      <c r="L66" s="682">
        <f>SUM(H66:K66)</f>
        <v>1547</v>
      </c>
      <c r="M66" s="119">
        <v>582</v>
      </c>
      <c r="N66" s="119">
        <v>759</v>
      </c>
      <c r="O66" s="119">
        <v>870</v>
      </c>
      <c r="P66" s="119">
        <v>1018</v>
      </c>
      <c r="Q66" s="710">
        <f>SUM(M66:P66)</f>
        <v>3229</v>
      </c>
      <c r="R66" s="609">
        <v>1632</v>
      </c>
      <c r="S66" s="119">
        <v>1609</v>
      </c>
      <c r="T66" s="119">
        <v>1655</v>
      </c>
      <c r="U66" s="627">
        <v>1771</v>
      </c>
      <c r="V66" s="740">
        <f>SUM(R66:U66)</f>
        <v>6667</v>
      </c>
      <c r="W66" s="151">
        <v>1637</v>
      </c>
      <c r="X66" s="139">
        <v>1663</v>
      </c>
      <c r="Y66" s="566">
        <f>AVERAGE(W66:X66)</f>
        <v>1650</v>
      </c>
      <c r="Z66" s="566">
        <f>Y66</f>
        <v>1650</v>
      </c>
      <c r="AA66" s="758">
        <f>SUM(W66:Z66)</f>
        <v>6600</v>
      </c>
      <c r="AB66" s="17" t="s">
        <v>966</v>
      </c>
      <c r="AE66" s="52" t="s">
        <v>915</v>
      </c>
      <c r="AF66" s="580">
        <f t="shared" ref="AF66:BB66" si="27">C66/C11</f>
        <v>3.5705638670643421E-2</v>
      </c>
      <c r="AG66" s="581">
        <f t="shared" si="27"/>
        <v>4.1329413436212416E-2</v>
      </c>
      <c r="AH66" s="581">
        <f t="shared" si="27"/>
        <v>3.5398301413473839E-2</v>
      </c>
      <c r="AI66" s="581">
        <f t="shared" si="27"/>
        <v>2.6847812410046211E-2</v>
      </c>
      <c r="AJ66" s="582">
        <f t="shared" si="27"/>
        <v>3.4282123782595042E-2</v>
      </c>
      <c r="AK66" s="580">
        <f t="shared" si="27"/>
        <v>2.9384182557049079E-2</v>
      </c>
      <c r="AL66" s="581">
        <f t="shared" si="27"/>
        <v>3.4514160823240145E-2</v>
      </c>
      <c r="AM66" s="581">
        <f t="shared" si="27"/>
        <v>3.1832115067201135E-2</v>
      </c>
      <c r="AN66" s="581">
        <f t="shared" si="27"/>
        <v>2.0934761441090556E-2</v>
      </c>
      <c r="AO66" s="582">
        <f t="shared" si="27"/>
        <v>2.8134434219619541E-2</v>
      </c>
      <c r="AP66" s="580">
        <f t="shared" si="27"/>
        <v>6.7572274468826188E-2</v>
      </c>
      <c r="AQ66" s="581">
        <f t="shared" si="27"/>
        <v>5.7391304347826085E-2</v>
      </c>
      <c r="AR66" s="581">
        <f t="shared" si="27"/>
        <v>8.0734966592427612E-2</v>
      </c>
      <c r="AS66" s="581">
        <f t="shared" si="27"/>
        <v>5.1432324559187594E-2</v>
      </c>
      <c r="AT66" s="582">
        <f t="shared" si="27"/>
        <v>6.1613906539202776E-2</v>
      </c>
      <c r="AU66" s="580">
        <f t="shared" si="27"/>
        <v>0.10606356014817703</v>
      </c>
      <c r="AV66" s="581">
        <f t="shared" si="27"/>
        <v>8.3675698164231108E-2</v>
      </c>
      <c r="AW66" s="581">
        <f t="shared" si="27"/>
        <v>6.1733000111902719E-2</v>
      </c>
      <c r="AX66" s="484">
        <f t="shared" si="27"/>
        <v>8.9340664884225401E-2</v>
      </c>
      <c r="AY66" s="536">
        <f t="shared" si="27"/>
        <v>8.2057404489956673E-2</v>
      </c>
      <c r="AZ66" s="580">
        <f t="shared" si="27"/>
        <v>0.12852320012561827</v>
      </c>
      <c r="BA66" s="581">
        <f t="shared" si="27"/>
        <v>8.8693333333333332E-2</v>
      </c>
      <c r="BB66" s="581">
        <f t="shared" si="27"/>
        <v>6.6415094339622643E-2</v>
      </c>
      <c r="BE66" s="598">
        <f>AVERAGE(AW66,AR66)</f>
        <v>7.1233983352165159E-2</v>
      </c>
      <c r="BF66" s="595">
        <f>AVERAGE(AX66,AS66)</f>
        <v>7.0386494721706494E-2</v>
      </c>
    </row>
    <row r="67" spans="1:58" x14ac:dyDescent="0.3">
      <c r="A67" s="172"/>
      <c r="B67" s="205" t="s">
        <v>927</v>
      </c>
      <c r="C67" s="192"/>
      <c r="D67" s="193">
        <f>(D66-C66)/C66</f>
        <v>0.40894187779433677</v>
      </c>
      <c r="E67" s="193">
        <f>(E66-D66)/D66</f>
        <v>-7.0869473238840699E-2</v>
      </c>
      <c r="F67" s="193">
        <f>(F66-E66)/E66</f>
        <v>-0.11338797814207653</v>
      </c>
      <c r="G67" s="677"/>
      <c r="H67" s="622">
        <f>(H66-F66)/F66</f>
        <v>-3.4411915767847912E-2</v>
      </c>
      <c r="I67" s="550">
        <f>(I66-H66)/H66</f>
        <v>7.9787234042553185E-3</v>
      </c>
      <c r="J67" s="550">
        <f>(J66-I66)/I66</f>
        <v>6.860158311345646E-2</v>
      </c>
      <c r="K67" s="550">
        <f>(K66-J66)/J66</f>
        <v>-4.4444444444444446E-2</v>
      </c>
      <c r="L67" s="694"/>
      <c r="M67" s="202">
        <f>(M66-K66)/K66</f>
        <v>0.50387596899224807</v>
      </c>
      <c r="N67" s="202">
        <f>(N66-M66)/M66</f>
        <v>0.30412371134020616</v>
      </c>
      <c r="O67" s="202">
        <f>(O66-N66)/N66</f>
        <v>0.14624505928853754</v>
      </c>
      <c r="P67" s="202">
        <f>(P66-O66)/O66</f>
        <v>0.17011494252873563</v>
      </c>
      <c r="Q67" s="720"/>
      <c r="R67" s="622">
        <f>(R66-P66)/P66</f>
        <v>0.60314341846758346</v>
      </c>
      <c r="S67" s="550">
        <f>(S66-R66)/R66</f>
        <v>-1.4093137254901961E-2</v>
      </c>
      <c r="T67" s="550">
        <f>(T66-S66)/S66</f>
        <v>2.8589185829707892E-2</v>
      </c>
      <c r="U67" s="626">
        <f>(U66-T66)/T66</f>
        <v>7.009063444108761E-2</v>
      </c>
      <c r="V67" s="746"/>
      <c r="W67" s="201">
        <f>(W66-U66)/U66</f>
        <v>-7.5663466967814799E-2</v>
      </c>
      <c r="X67" s="230">
        <f>(X66-W66)/W66</f>
        <v>1.588271227855834E-2</v>
      </c>
      <c r="Y67" s="542"/>
      <c r="Z67" s="542"/>
      <c r="AA67" s="759"/>
      <c r="AE67" s="250"/>
      <c r="AF67" s="99"/>
      <c r="AJ67" s="583"/>
      <c r="AK67" s="99"/>
      <c r="AO67" s="583"/>
      <c r="AP67" s="99"/>
      <c r="AT67" s="583"/>
      <c r="AU67" s="99"/>
      <c r="AX67" s="220"/>
      <c r="AY67" s="537"/>
      <c r="AZ67" s="99"/>
      <c r="BE67" s="597"/>
      <c r="BF67" s="594"/>
    </row>
    <row r="68" spans="1:58" x14ac:dyDescent="0.3">
      <c r="A68" s="54"/>
      <c r="B68" s="205" t="s">
        <v>928</v>
      </c>
      <c r="C68" s="607"/>
      <c r="D68" s="194"/>
      <c r="E68" s="194"/>
      <c r="F68" s="194"/>
      <c r="G68" s="679"/>
      <c r="H68" s="620">
        <f t="shared" ref="H68:AA68" si="28">(H66-C66)/C66</f>
        <v>0.12071535022354694</v>
      </c>
      <c r="I68" s="549">
        <f t="shared" si="28"/>
        <v>-0.19822297440236936</v>
      </c>
      <c r="J68" s="549">
        <f t="shared" si="28"/>
        <v>-7.7868852459016369E-2</v>
      </c>
      <c r="K68" s="549">
        <f t="shared" si="28"/>
        <v>-6.1633281972264444E-3</v>
      </c>
      <c r="L68" s="697">
        <f t="shared" si="28"/>
        <v>-5.4863147605083193E-2</v>
      </c>
      <c r="M68" s="199">
        <f t="shared" si="28"/>
        <v>0.5478723404255319</v>
      </c>
      <c r="N68" s="199">
        <f t="shared" si="28"/>
        <v>1.0026385224274406</v>
      </c>
      <c r="O68" s="199">
        <f t="shared" si="28"/>
        <v>1.1481481481481481</v>
      </c>
      <c r="P68" s="199">
        <f t="shared" si="28"/>
        <v>1.6304909560723515</v>
      </c>
      <c r="Q68" s="725">
        <f t="shared" si="28"/>
        <v>1.0872656755009695</v>
      </c>
      <c r="R68" s="620">
        <f t="shared" si="28"/>
        <v>1.8041237113402062</v>
      </c>
      <c r="S68" s="549">
        <f t="shared" si="28"/>
        <v>1.1198945981554678</v>
      </c>
      <c r="T68" s="549">
        <f t="shared" si="28"/>
        <v>0.9022988505747126</v>
      </c>
      <c r="U68" s="621">
        <f t="shared" si="28"/>
        <v>0.73968565815324161</v>
      </c>
      <c r="V68" s="725">
        <f t="shared" si="28"/>
        <v>1.0647259213378755</v>
      </c>
      <c r="W68" s="656">
        <f t="shared" si="28"/>
        <v>3.0637254901960784E-3</v>
      </c>
      <c r="X68" s="193">
        <f t="shared" si="28"/>
        <v>3.3561218147917959E-2</v>
      </c>
      <c r="Y68" s="543">
        <f t="shared" si="28"/>
        <v>-3.0211480362537764E-3</v>
      </c>
      <c r="Z68" s="543">
        <f t="shared" si="28"/>
        <v>-6.8322981366459631E-2</v>
      </c>
      <c r="AA68" s="761">
        <f t="shared" si="28"/>
        <v>-1.0049497525123744E-2</v>
      </c>
      <c r="AE68" s="250"/>
      <c r="AF68" s="99"/>
      <c r="AJ68" s="583"/>
      <c r="AK68" s="99"/>
      <c r="AO68" s="583"/>
      <c r="AP68" s="99"/>
      <c r="AT68" s="583"/>
      <c r="AU68" s="99"/>
      <c r="AX68" s="220"/>
      <c r="AY68" s="537"/>
      <c r="AZ68" s="99"/>
      <c r="BE68" s="597"/>
      <c r="BF68" s="594"/>
    </row>
    <row r="69" spans="1:58" x14ac:dyDescent="0.3">
      <c r="A69" s="54"/>
      <c r="B69" s="205" t="s">
        <v>929</v>
      </c>
      <c r="C69" s="607"/>
      <c r="D69" s="194"/>
      <c r="E69" s="194"/>
      <c r="F69" s="194"/>
      <c r="G69" s="679"/>
      <c r="H69" s="607"/>
      <c r="I69" s="194"/>
      <c r="J69" s="194"/>
      <c r="K69" s="194"/>
      <c r="L69" s="698"/>
      <c r="M69" s="194"/>
      <c r="N69" s="194"/>
      <c r="O69" s="194"/>
      <c r="P69" s="194"/>
      <c r="Q69" s="726"/>
      <c r="R69" s="607"/>
      <c r="S69" s="194"/>
      <c r="T69" s="194"/>
      <c r="U69" s="608"/>
      <c r="V69" s="726"/>
      <c r="W69" s="192"/>
      <c r="X69" s="198"/>
      <c r="Y69" s="542"/>
      <c r="Z69" s="542"/>
      <c r="AA69" s="759"/>
      <c r="AE69" s="250"/>
      <c r="AF69" s="99"/>
      <c r="AJ69" s="583"/>
      <c r="AK69" s="99"/>
      <c r="AO69" s="583"/>
      <c r="AP69" s="99"/>
      <c r="AT69" s="583"/>
      <c r="AU69" s="99"/>
      <c r="AX69" s="220"/>
      <c r="AY69" s="537"/>
      <c r="AZ69" s="99"/>
      <c r="BE69" s="597"/>
      <c r="BF69" s="594"/>
    </row>
    <row r="70" spans="1:58" x14ac:dyDescent="0.3">
      <c r="A70" s="136"/>
      <c r="B70" s="150" t="s">
        <v>5</v>
      </c>
      <c r="C70" s="151">
        <v>499.7</v>
      </c>
      <c r="D70" s="139">
        <v>445.4</v>
      </c>
      <c r="E70" s="139">
        <v>587.79999999999995</v>
      </c>
      <c r="F70" s="139">
        <v>540.1</v>
      </c>
      <c r="G70" s="666">
        <f>SUM(C70:F70)</f>
        <v>2073</v>
      </c>
      <c r="H70" s="609">
        <v>723</v>
      </c>
      <c r="I70" s="119">
        <v>592</v>
      </c>
      <c r="J70" s="119">
        <v>459</v>
      </c>
      <c r="K70" s="119">
        <v>738</v>
      </c>
      <c r="L70" s="682">
        <f>SUM(H70:K70)</f>
        <v>2512</v>
      </c>
      <c r="M70" s="119">
        <v>1045</v>
      </c>
      <c r="N70" s="119">
        <v>1009</v>
      </c>
      <c r="O70" s="119">
        <v>1100</v>
      </c>
      <c r="P70" s="119">
        <v>1442</v>
      </c>
      <c r="Q70" s="710">
        <f>SUM(M70:P70)</f>
        <v>4596</v>
      </c>
      <c r="R70" s="609">
        <v>1460</v>
      </c>
      <c r="S70" s="119">
        <v>1183</v>
      </c>
      <c r="T70" s="119">
        <v>1469</v>
      </c>
      <c r="U70" s="627">
        <v>1459</v>
      </c>
      <c r="V70" s="740">
        <f>SUM(R70:U70)</f>
        <v>5571</v>
      </c>
      <c r="W70" s="151">
        <v>780</v>
      </c>
      <c r="X70" s="139">
        <v>798</v>
      </c>
      <c r="Y70" s="764">
        <f>Y11*BE70</f>
        <v>1948.6658016411318</v>
      </c>
      <c r="Z70" s="764">
        <f>Z11*BF70</f>
        <v>1979.4447417130939</v>
      </c>
      <c r="AA70" s="758">
        <f>SUM(W70:Z70)</f>
        <v>5506.1105433542261</v>
      </c>
      <c r="AE70" s="574" t="s">
        <v>5</v>
      </c>
      <c r="AF70" s="580">
        <f t="shared" ref="AF70:BB70" si="29">C70/C11</f>
        <v>5.3180648714517192E-2</v>
      </c>
      <c r="AG70" s="581">
        <f t="shared" si="29"/>
        <v>3.8942502103848128E-2</v>
      </c>
      <c r="AH70" s="581">
        <f t="shared" si="29"/>
        <v>4.7375049113934246E-2</v>
      </c>
      <c r="AI70" s="581">
        <f t="shared" si="29"/>
        <v>3.7238067495290086E-2</v>
      </c>
      <c r="AJ70" s="582">
        <f t="shared" si="29"/>
        <v>4.3418158969525604E-2</v>
      </c>
      <c r="AK70" s="580">
        <f t="shared" si="29"/>
        <v>5.6502031884964055E-2</v>
      </c>
      <c r="AL70" s="581">
        <f t="shared" si="29"/>
        <v>5.3911301338675895E-2</v>
      </c>
      <c r="AM70" s="581">
        <f t="shared" si="29"/>
        <v>3.6076397076161282E-2</v>
      </c>
      <c r="AN70" s="581">
        <f t="shared" si="29"/>
        <v>3.9922103213242452E-2</v>
      </c>
      <c r="AO70" s="582">
        <f t="shared" si="29"/>
        <v>4.5684356017895465E-2</v>
      </c>
      <c r="AP70" s="580">
        <f t="shared" si="29"/>
        <v>0.12132822477650064</v>
      </c>
      <c r="AQ70" s="581">
        <f t="shared" si="29"/>
        <v>7.6294896030245751E-2</v>
      </c>
      <c r="AR70" s="581">
        <f t="shared" si="29"/>
        <v>0.10207869339272457</v>
      </c>
      <c r="AS70" s="581">
        <f t="shared" si="29"/>
        <v>7.2854039306825644E-2</v>
      </c>
      <c r="AT70" s="582">
        <f t="shared" si="29"/>
        <v>8.7698208254622476E-2</v>
      </c>
      <c r="AU70" s="580">
        <f t="shared" si="29"/>
        <v>9.4885292779619157E-2</v>
      </c>
      <c r="AV70" s="581">
        <f t="shared" si="29"/>
        <v>6.152165999271933E-2</v>
      </c>
      <c r="AW70" s="581">
        <f t="shared" si="29"/>
        <v>5.4795031519265916E-2</v>
      </c>
      <c r="AX70" s="484">
        <f t="shared" si="29"/>
        <v>7.3601372143469707E-2</v>
      </c>
      <c r="AY70" s="536">
        <f t="shared" si="29"/>
        <v>6.8567841669948795E-2</v>
      </c>
      <c r="AZ70" s="580">
        <f t="shared" si="29"/>
        <v>6.1238910261443041E-2</v>
      </c>
      <c r="BA70" s="581">
        <f t="shared" si="29"/>
        <v>4.2560000000000001E-2</v>
      </c>
      <c r="BB70" s="581">
        <f t="shared" si="29"/>
        <v>7.8436862455995238E-2</v>
      </c>
      <c r="BE70" s="598">
        <f>AVERAGE(AW70,AR70)</f>
        <v>7.8436862455995238E-2</v>
      </c>
      <c r="BF70" s="595">
        <f>AVERAGE(AX70,AS70)</f>
        <v>7.3227705725147668E-2</v>
      </c>
    </row>
    <row r="71" spans="1:58" x14ac:dyDescent="0.3">
      <c r="B71" s="205" t="s">
        <v>927</v>
      </c>
      <c r="C71" s="192"/>
      <c r="D71" s="193">
        <f>(D70-C70)/C70</f>
        <v>-0.10866519911947171</v>
      </c>
      <c r="E71" s="193">
        <f>(E70-D70)/D70</f>
        <v>0.31971261787157607</v>
      </c>
      <c r="F71" s="193">
        <f>(F70-E70)/E70</f>
        <v>-8.1150051037767845E-2</v>
      </c>
      <c r="G71" s="677"/>
      <c r="H71" s="620">
        <f>(H70-F70)/F70</f>
        <v>0.33864099240881312</v>
      </c>
      <c r="I71" s="549">
        <f>(I70-H70)/H70</f>
        <v>-0.18118948824343015</v>
      </c>
      <c r="J71" s="549">
        <f>(J70-I70)/I70</f>
        <v>-0.22466216216216217</v>
      </c>
      <c r="K71" s="549">
        <f>(K70-J70)/J70</f>
        <v>0.60784313725490191</v>
      </c>
      <c r="L71" s="698"/>
      <c r="M71" s="199">
        <f>(M70-K70)/K70</f>
        <v>0.4159891598915989</v>
      </c>
      <c r="N71" s="199">
        <f>(N70-M70)/M70</f>
        <v>-3.4449760765550237E-2</v>
      </c>
      <c r="O71" s="199">
        <f>(O70-N70)/N70</f>
        <v>9.0188305252725476E-2</v>
      </c>
      <c r="P71" s="199">
        <f>(P70-O70)/O70</f>
        <v>0.31090909090909091</v>
      </c>
      <c r="Q71" s="726"/>
      <c r="R71" s="637">
        <f>(R70-P70)/P70</f>
        <v>1.2482662968099861E-2</v>
      </c>
      <c r="S71" s="208">
        <f>(S70-R70)/R70</f>
        <v>-0.18972602739726027</v>
      </c>
      <c r="T71" s="208">
        <f>(T70-S70)/S70</f>
        <v>0.24175824175824176</v>
      </c>
      <c r="U71" s="623">
        <f>(U70-T70)/T70</f>
        <v>-6.8073519400953025E-3</v>
      </c>
      <c r="V71" s="726"/>
      <c r="W71" s="659">
        <f>(W70-U70)/U70</f>
        <v>-0.46538725154215216</v>
      </c>
      <c r="X71" s="200">
        <f>(X70-W70)/W70</f>
        <v>2.3076923076923078E-2</v>
      </c>
      <c r="Y71" s="542"/>
      <c r="Z71" s="542"/>
      <c r="AA71" s="655"/>
      <c r="AE71" s="250"/>
      <c r="AF71" s="99"/>
      <c r="AJ71" s="220"/>
      <c r="AK71" s="99"/>
      <c r="AO71" s="220"/>
      <c r="AP71" s="99"/>
      <c r="AT71" s="220"/>
      <c r="AU71" s="99"/>
      <c r="AX71" s="220"/>
      <c r="AZ71" s="99"/>
      <c r="BE71" s="250"/>
      <c r="BF71" s="220"/>
    </row>
    <row r="72" spans="1:58" x14ac:dyDescent="0.3">
      <c r="B72" s="205" t="s">
        <v>928</v>
      </c>
      <c r="C72" s="192"/>
      <c r="D72" s="198"/>
      <c r="E72" s="198"/>
      <c r="F72" s="198"/>
      <c r="G72" s="677"/>
      <c r="H72" s="620">
        <f t="shared" ref="H72:AA72" si="30">(H70-C70)/C70</f>
        <v>0.44686812087252353</v>
      </c>
      <c r="I72" s="549">
        <f t="shared" si="30"/>
        <v>0.32914234396048503</v>
      </c>
      <c r="J72" s="549">
        <f t="shared" si="30"/>
        <v>-0.21912215039128949</v>
      </c>
      <c r="K72" s="549">
        <f t="shared" si="30"/>
        <v>0.36641362710609143</v>
      </c>
      <c r="L72" s="697">
        <f t="shared" si="30"/>
        <v>0.21177038109020743</v>
      </c>
      <c r="M72" s="199">
        <f t="shared" si="30"/>
        <v>0.44536652835408025</v>
      </c>
      <c r="N72" s="199">
        <f t="shared" si="30"/>
        <v>0.70439189189189189</v>
      </c>
      <c r="O72" s="199">
        <f t="shared" si="30"/>
        <v>1.3965141612200436</v>
      </c>
      <c r="P72" s="199">
        <f t="shared" si="30"/>
        <v>0.95392953929539293</v>
      </c>
      <c r="Q72" s="725">
        <f t="shared" si="30"/>
        <v>0.82961783439490444</v>
      </c>
      <c r="R72" s="637">
        <f t="shared" si="30"/>
        <v>0.39712918660287083</v>
      </c>
      <c r="S72" s="208">
        <f t="shared" si="30"/>
        <v>0.17244796828543113</v>
      </c>
      <c r="T72" s="208">
        <f t="shared" si="30"/>
        <v>0.33545454545454545</v>
      </c>
      <c r="U72" s="623">
        <f t="shared" si="30"/>
        <v>1.1789181692094313E-2</v>
      </c>
      <c r="V72" s="725">
        <f t="shared" si="30"/>
        <v>0.21214099216710183</v>
      </c>
      <c r="W72" s="659">
        <f t="shared" si="30"/>
        <v>-0.46575342465753422</v>
      </c>
      <c r="X72" s="200">
        <f t="shared" si="30"/>
        <v>-0.32544378698224852</v>
      </c>
      <c r="Y72" s="543">
        <f t="shared" si="30"/>
        <v>0.32652539253991275</v>
      </c>
      <c r="Z72" s="543">
        <f t="shared" si="30"/>
        <v>0.35671332536881006</v>
      </c>
      <c r="AA72" s="657">
        <f t="shared" si="30"/>
        <v>-1.1647721530384826E-2</v>
      </c>
      <c r="AE72" s="250"/>
      <c r="AF72" s="99"/>
      <c r="AJ72" s="220"/>
      <c r="AK72" s="99"/>
      <c r="AO72" s="220"/>
      <c r="AP72" s="99"/>
      <c r="AT72" s="220"/>
      <c r="AU72" s="99"/>
      <c r="AX72" s="220"/>
      <c r="AZ72" s="99"/>
      <c r="BE72" s="250"/>
      <c r="BF72" s="220"/>
    </row>
    <row r="73" spans="1:58" ht="14.5" thickBot="1" x14ac:dyDescent="0.35">
      <c r="B73" s="210" t="s">
        <v>929</v>
      </c>
      <c r="C73" s="211"/>
      <c r="D73" s="212"/>
      <c r="E73" s="212"/>
      <c r="F73" s="212"/>
      <c r="G73" s="680"/>
      <c r="H73" s="607"/>
      <c r="I73" s="194"/>
      <c r="J73" s="194"/>
      <c r="K73" s="194"/>
      <c r="L73" s="698"/>
      <c r="M73" s="194"/>
      <c r="N73" s="194"/>
      <c r="O73" s="194"/>
      <c r="P73" s="194"/>
      <c r="Q73" s="726"/>
      <c r="R73" s="191"/>
      <c r="S73" s="209"/>
      <c r="T73" s="209"/>
      <c r="U73" s="624"/>
      <c r="V73" s="726"/>
      <c r="W73" s="238"/>
      <c r="X73" s="196"/>
      <c r="Y73" s="542"/>
      <c r="Z73" s="542"/>
      <c r="AA73" s="655"/>
      <c r="AE73" s="250"/>
      <c r="AF73" s="99"/>
      <c r="AJ73" s="220"/>
      <c r="AK73" s="99"/>
      <c r="AO73" s="220"/>
      <c r="AP73" s="99"/>
      <c r="AT73" s="220"/>
      <c r="AU73" s="99"/>
      <c r="AX73" s="220"/>
      <c r="AZ73" s="99"/>
      <c r="BE73" s="250"/>
      <c r="BF73" s="220"/>
    </row>
    <row r="74" spans="1:58" ht="14.5" thickBot="1" x14ac:dyDescent="0.35">
      <c r="A74" s="54"/>
      <c r="B74" s="165" t="s">
        <v>917</v>
      </c>
      <c r="C74" s="166">
        <f t="shared" ref="C74:AA74" si="31">C22+C26++C30+C34+C38+C42+C46+C50+C54+C58+C62+C66+C70</f>
        <v>8868.7000000000007</v>
      </c>
      <c r="D74" s="167">
        <f t="shared" si="31"/>
        <v>10370.6</v>
      </c>
      <c r="E74" s="167">
        <f t="shared" si="31"/>
        <v>11122.5</v>
      </c>
      <c r="F74" s="167">
        <f t="shared" si="31"/>
        <v>4022.2</v>
      </c>
      <c r="G74" s="673">
        <f t="shared" si="31"/>
        <v>34384</v>
      </c>
      <c r="H74" s="169">
        <f t="shared" si="31"/>
        <v>4030</v>
      </c>
      <c r="I74" s="168">
        <f t="shared" si="31"/>
        <v>3797</v>
      </c>
      <c r="J74" s="168">
        <f t="shared" si="31"/>
        <v>3870</v>
      </c>
      <c r="K74" s="168">
        <f t="shared" si="31"/>
        <v>4746</v>
      </c>
      <c r="L74" s="699">
        <f t="shared" si="31"/>
        <v>16443</v>
      </c>
      <c r="M74" s="168">
        <f t="shared" si="31"/>
        <v>8216</v>
      </c>
      <c r="N74" s="168">
        <f t="shared" si="31"/>
        <v>12194</v>
      </c>
      <c r="O74" s="168">
        <f t="shared" si="31"/>
        <v>10001</v>
      </c>
      <c r="P74" s="168">
        <f t="shared" si="31"/>
        <v>17915</v>
      </c>
      <c r="Q74" s="727">
        <f t="shared" si="31"/>
        <v>48326</v>
      </c>
      <c r="R74" s="169">
        <f t="shared" si="31"/>
        <v>14149</v>
      </c>
      <c r="S74" s="168">
        <f t="shared" si="31"/>
        <v>17379</v>
      </c>
      <c r="T74" s="168">
        <f t="shared" si="31"/>
        <v>23878</v>
      </c>
      <c r="U74" s="625">
        <f t="shared" si="31"/>
        <v>19182</v>
      </c>
      <c r="V74" s="727">
        <f>SUM(R74:U74)</f>
        <v>74588</v>
      </c>
      <c r="W74" s="222">
        <f t="shared" si="31"/>
        <v>12452</v>
      </c>
      <c r="X74" s="223">
        <f t="shared" si="31"/>
        <v>17503</v>
      </c>
      <c r="Y74" s="765">
        <f t="shared" si="31"/>
        <v>21672.254944794866</v>
      </c>
      <c r="Z74" s="765">
        <f t="shared" si="31"/>
        <v>23497.661702097339</v>
      </c>
      <c r="AA74" s="766">
        <f t="shared" si="31"/>
        <v>75124.916646892219</v>
      </c>
      <c r="AE74" s="250"/>
      <c r="AF74" s="121"/>
      <c r="AG74" s="122"/>
      <c r="AH74" s="122"/>
      <c r="AI74" s="122"/>
      <c r="AJ74" s="123"/>
      <c r="AK74" s="121"/>
      <c r="AL74" s="122"/>
      <c r="AM74" s="122"/>
      <c r="AN74" s="122"/>
      <c r="AO74" s="123"/>
      <c r="AP74" s="121"/>
      <c r="AQ74" s="122"/>
      <c r="AR74" s="122"/>
      <c r="AS74" s="122"/>
      <c r="AT74" s="123"/>
      <c r="AU74" s="121"/>
      <c r="AV74" s="122"/>
      <c r="AW74" s="122"/>
      <c r="AX74" s="123"/>
      <c r="AZ74" s="121"/>
      <c r="BA74" s="122"/>
      <c r="BB74" s="122"/>
      <c r="BC74" s="122"/>
      <c r="BD74" s="122"/>
      <c r="BE74" s="120"/>
      <c r="BF74" s="123"/>
    </row>
    <row r="75" spans="1:58" ht="14.5" thickBot="1" x14ac:dyDescent="0.35">
      <c r="A75" s="136"/>
      <c r="B75" s="99"/>
      <c r="C75" s="174"/>
      <c r="D75" s="175"/>
      <c r="E75" s="175"/>
      <c r="F75" s="175"/>
      <c r="G75" s="674"/>
      <c r="H75" s="218"/>
      <c r="I75" s="216"/>
      <c r="J75" s="216"/>
      <c r="K75" s="216"/>
      <c r="L75" s="700"/>
      <c r="M75" s="215"/>
      <c r="N75" s="219"/>
      <c r="O75" s="216"/>
      <c r="P75" s="216"/>
      <c r="Q75" s="728"/>
      <c r="R75" s="218"/>
      <c r="S75" s="216"/>
      <c r="T75" s="216"/>
      <c r="U75" s="217"/>
      <c r="V75" s="749"/>
      <c r="W75" s="3"/>
      <c r="X75" s="19"/>
      <c r="Y75" s="540"/>
      <c r="Z75" s="540"/>
      <c r="AA75" s="642"/>
      <c r="AE75" s="120"/>
    </row>
    <row r="76" spans="1:58" ht="14.5" thickBot="1" x14ac:dyDescent="0.35">
      <c r="A76" s="172">
        <v>3</v>
      </c>
      <c r="B76" s="221" t="s">
        <v>918</v>
      </c>
      <c r="C76" s="222">
        <f>C20-C74</f>
        <v>911.47499999999854</v>
      </c>
      <c r="D76" s="223">
        <f>D20-D74</f>
        <v>1431.2749999999996</v>
      </c>
      <c r="E76" s="223">
        <f>E20-E74</f>
        <v>1497.5750000000007</v>
      </c>
      <c r="F76" s="223">
        <f>F20-F74</f>
        <v>10677.474999999999</v>
      </c>
      <c r="G76" s="666">
        <f>SUM(C76:F76)</f>
        <v>14517.799999999997</v>
      </c>
      <c r="H76" s="227">
        <f>H20-H74</f>
        <v>8988</v>
      </c>
      <c r="I76" s="225">
        <v>1308</v>
      </c>
      <c r="J76" s="225">
        <v>1450</v>
      </c>
      <c r="K76" s="225">
        <v>1819</v>
      </c>
      <c r="L76" s="701">
        <f>SUM(H76:K76)</f>
        <v>13565</v>
      </c>
      <c r="M76" s="224">
        <f>SUM(M20-M74)</f>
        <v>711</v>
      </c>
      <c r="N76" s="225">
        <f>SUM(N20-N74)</f>
        <v>1434</v>
      </c>
      <c r="O76" s="225">
        <f>SUM(O20-O74)</f>
        <v>1030</v>
      </c>
      <c r="P76" s="225">
        <f>SUM(P20-P74)</f>
        <v>2028</v>
      </c>
      <c r="Q76" s="729">
        <f>SUM(M76:P76)</f>
        <v>5203</v>
      </c>
      <c r="R76" s="227">
        <f t="shared" ref="R76:AA76" si="32">R20-R74</f>
        <v>1525</v>
      </c>
      <c r="S76" s="225">
        <f t="shared" si="32"/>
        <v>2248</v>
      </c>
      <c r="T76" s="225">
        <f t="shared" si="32"/>
        <v>3085</v>
      </c>
      <c r="U76" s="226">
        <f t="shared" si="32"/>
        <v>987</v>
      </c>
      <c r="V76" s="732">
        <f t="shared" si="32"/>
        <v>7845</v>
      </c>
      <c r="W76" s="5">
        <f t="shared" si="32"/>
        <v>511</v>
      </c>
      <c r="X76" s="22">
        <f t="shared" si="32"/>
        <v>1664</v>
      </c>
      <c r="Y76" s="767">
        <f t="shared" si="32"/>
        <v>3536.7980109901728</v>
      </c>
      <c r="Z76" s="767">
        <f t="shared" si="32"/>
        <v>3872.0387659285479</v>
      </c>
      <c r="AA76" s="768">
        <f t="shared" si="32"/>
        <v>9583.8367769187025</v>
      </c>
    </row>
    <row r="77" spans="1:58" x14ac:dyDescent="0.3">
      <c r="A77" s="136"/>
      <c r="B77" s="99" t="s">
        <v>919</v>
      </c>
      <c r="C77" s="151">
        <v>0</v>
      </c>
      <c r="D77" s="139">
        <v>0</v>
      </c>
      <c r="E77" s="139">
        <v>0</v>
      </c>
      <c r="F77" s="139">
        <v>0</v>
      </c>
      <c r="G77" s="666">
        <f>SUM(C77:F77)</f>
        <v>0</v>
      </c>
      <c r="H77" s="609">
        <v>0</v>
      </c>
      <c r="I77" s="119">
        <v>0</v>
      </c>
      <c r="J77" s="119">
        <v>0</v>
      </c>
      <c r="K77" s="119">
        <v>0</v>
      </c>
      <c r="L77" s="702">
        <f>(SUM(H77:K77))/10</f>
        <v>0</v>
      </c>
      <c r="M77" s="119">
        <v>894</v>
      </c>
      <c r="N77" s="119">
        <v>0</v>
      </c>
      <c r="O77" s="119">
        <v>0</v>
      </c>
      <c r="P77" s="119">
        <v>0</v>
      </c>
      <c r="Q77" s="730">
        <f>SUM(M77:P77)</f>
        <v>894</v>
      </c>
      <c r="R77" s="609">
        <v>380</v>
      </c>
      <c r="S77" s="119">
        <v>0</v>
      </c>
      <c r="T77" s="119">
        <v>0</v>
      </c>
      <c r="U77" s="627">
        <v>0</v>
      </c>
      <c r="V77" s="750">
        <f>SUM(R77:U77)</f>
        <v>380</v>
      </c>
      <c r="W77" s="151">
        <v>0</v>
      </c>
      <c r="X77" s="139">
        <v>0</v>
      </c>
      <c r="Y77" s="540">
        <v>0</v>
      </c>
      <c r="Z77" s="540">
        <v>0</v>
      </c>
      <c r="AA77" s="642">
        <v>0</v>
      </c>
    </row>
    <row r="78" spans="1:58" x14ac:dyDescent="0.3">
      <c r="A78" s="136"/>
      <c r="B78" s="205" t="s">
        <v>927</v>
      </c>
      <c r="C78" s="192"/>
      <c r="D78" s="198"/>
      <c r="E78" s="198"/>
      <c r="F78" s="198"/>
      <c r="G78" s="677"/>
      <c r="H78" s="607"/>
      <c r="I78" s="194"/>
      <c r="J78" s="194"/>
      <c r="K78" s="194"/>
      <c r="L78" s="703"/>
      <c r="M78" s="194">
        <v>0</v>
      </c>
      <c r="N78" s="194">
        <v>0</v>
      </c>
      <c r="O78" s="194">
        <v>0</v>
      </c>
      <c r="P78" s="194">
        <v>0</v>
      </c>
      <c r="Q78" s="731"/>
      <c r="R78" s="228"/>
      <c r="S78" s="229"/>
      <c r="T78" s="229"/>
      <c r="U78" s="638"/>
      <c r="V78" s="751"/>
      <c r="W78" s="238"/>
      <c r="X78" s="196"/>
      <c r="Y78" s="542"/>
      <c r="Z78" s="542"/>
      <c r="AA78" s="655"/>
    </row>
    <row r="79" spans="1:58" x14ac:dyDescent="0.3">
      <c r="A79" s="136"/>
      <c r="B79" s="205" t="s">
        <v>928</v>
      </c>
      <c r="C79" s="192"/>
      <c r="D79" s="198"/>
      <c r="E79" s="198"/>
      <c r="F79" s="198"/>
      <c r="G79" s="677"/>
      <c r="H79" s="607"/>
      <c r="I79" s="194"/>
      <c r="J79" s="194"/>
      <c r="K79" s="194"/>
      <c r="L79" s="703"/>
      <c r="M79" s="194"/>
      <c r="N79" s="194"/>
      <c r="O79" s="194"/>
      <c r="P79" s="194"/>
      <c r="Q79" s="731"/>
      <c r="R79" s="228"/>
      <c r="S79" s="229"/>
      <c r="T79" s="229"/>
      <c r="U79" s="638"/>
      <c r="V79" s="751"/>
      <c r="W79" s="238"/>
      <c r="X79" s="196"/>
      <c r="Y79" s="542"/>
      <c r="Z79" s="542"/>
      <c r="AA79" s="655"/>
    </row>
    <row r="80" spans="1:58" ht="14.5" thickBot="1" x14ac:dyDescent="0.35">
      <c r="A80" s="136"/>
      <c r="B80" s="205" t="s">
        <v>929</v>
      </c>
      <c r="C80" s="192"/>
      <c r="D80" s="198"/>
      <c r="E80" s="198"/>
      <c r="F80" s="198"/>
      <c r="G80" s="677"/>
      <c r="H80" s="607"/>
      <c r="I80" s="194"/>
      <c r="J80" s="194"/>
      <c r="K80" s="194"/>
      <c r="L80" s="703"/>
      <c r="M80" s="194">
        <v>0</v>
      </c>
      <c r="N80" s="194">
        <v>0</v>
      </c>
      <c r="O80" s="194">
        <v>0</v>
      </c>
      <c r="P80" s="194">
        <v>0</v>
      </c>
      <c r="Q80" s="731"/>
      <c r="R80" s="228"/>
      <c r="S80" s="229"/>
      <c r="T80" s="229"/>
      <c r="U80" s="638"/>
      <c r="V80" s="751"/>
      <c r="W80" s="238"/>
      <c r="X80" s="196"/>
      <c r="Y80" s="542"/>
      <c r="Z80" s="542"/>
      <c r="AA80" s="655"/>
    </row>
    <row r="81" spans="1:58" ht="14.5" thickBot="1" x14ac:dyDescent="0.35">
      <c r="A81" s="136"/>
      <c r="B81" s="165" t="s">
        <v>923</v>
      </c>
      <c r="C81" s="222">
        <f>C76+C77</f>
        <v>911.47499999999854</v>
      </c>
      <c r="D81" s="223">
        <f>D76+D77</f>
        <v>1431.2749999999996</v>
      </c>
      <c r="E81" s="223">
        <f>E76+E77</f>
        <v>1497.5750000000007</v>
      </c>
      <c r="F81" s="223">
        <f>F76+F77</f>
        <v>10677.474999999999</v>
      </c>
      <c r="G81" s="666">
        <f>SUM(C81:F81)</f>
        <v>14517.799999999997</v>
      </c>
      <c r="H81" s="227">
        <f t="shared" ref="H81:U81" si="33">SUM(H76:H77)</f>
        <v>8988</v>
      </c>
      <c r="I81" s="224">
        <f t="shared" si="33"/>
        <v>1308</v>
      </c>
      <c r="J81" s="224">
        <f t="shared" si="33"/>
        <v>1450</v>
      </c>
      <c r="K81" s="224">
        <f t="shared" si="33"/>
        <v>1819</v>
      </c>
      <c r="L81" s="704">
        <f t="shared" si="33"/>
        <v>13565</v>
      </c>
      <c r="M81" s="224">
        <f t="shared" si="33"/>
        <v>1605</v>
      </c>
      <c r="N81" s="224">
        <f t="shared" si="33"/>
        <v>1434</v>
      </c>
      <c r="O81" s="224">
        <f t="shared" si="33"/>
        <v>1030</v>
      </c>
      <c r="P81" s="224">
        <f t="shared" si="33"/>
        <v>2028</v>
      </c>
      <c r="Q81" s="732">
        <f t="shared" si="33"/>
        <v>6097</v>
      </c>
      <c r="R81" s="227">
        <f t="shared" si="33"/>
        <v>1905</v>
      </c>
      <c r="S81" s="225">
        <f t="shared" si="33"/>
        <v>2248</v>
      </c>
      <c r="T81" s="225">
        <f t="shared" si="33"/>
        <v>3085</v>
      </c>
      <c r="U81" s="226">
        <f t="shared" si="33"/>
        <v>987</v>
      </c>
      <c r="V81" s="752">
        <f>SUM(R81:U81)</f>
        <v>8225</v>
      </c>
      <c r="W81" s="5">
        <f>SUM(W76:W77)</f>
        <v>511</v>
      </c>
      <c r="X81" s="22">
        <f>SUM(X76:X77)</f>
        <v>1664</v>
      </c>
      <c r="Y81" s="22">
        <f>SUM(Y76:Y77)</f>
        <v>3536.7980109901728</v>
      </c>
      <c r="Z81" s="22">
        <f>SUM(Z76:Z77)</f>
        <v>3872.0387659285479</v>
      </c>
      <c r="AA81" s="137">
        <f>SUM(AA76:AA77)</f>
        <v>9583.8367769187025</v>
      </c>
    </row>
    <row r="82" spans="1:58" x14ac:dyDescent="0.3">
      <c r="A82" s="172">
        <v>4</v>
      </c>
      <c r="B82" s="173" t="s">
        <v>920</v>
      </c>
      <c r="C82" s="222"/>
      <c r="D82" s="223"/>
      <c r="E82" s="223"/>
      <c r="F82" s="223"/>
      <c r="G82" s="666"/>
      <c r="H82" s="609"/>
      <c r="I82" s="119"/>
      <c r="J82" s="119"/>
      <c r="K82" s="119"/>
      <c r="L82" s="682"/>
      <c r="M82" s="119"/>
      <c r="N82" s="119"/>
      <c r="O82" s="119"/>
      <c r="P82" s="119"/>
      <c r="Q82" s="710"/>
      <c r="R82" s="177"/>
      <c r="S82" s="118"/>
      <c r="T82" s="118"/>
      <c r="U82" s="179"/>
      <c r="V82" s="740"/>
      <c r="W82" s="3"/>
      <c r="X82" s="19"/>
      <c r="Y82" s="540"/>
      <c r="Z82" s="540"/>
      <c r="AA82" s="642"/>
    </row>
    <row r="83" spans="1:58" x14ac:dyDescent="0.3">
      <c r="A83" s="136"/>
      <c r="B83" s="39" t="s">
        <v>12</v>
      </c>
      <c r="C83" s="151">
        <v>140.5</v>
      </c>
      <c r="D83" s="139">
        <v>487.3</v>
      </c>
      <c r="E83" s="139">
        <v>432.9</v>
      </c>
      <c r="F83" s="139">
        <v>940.5</v>
      </c>
      <c r="G83" s="666">
        <f>SUM(C83:F83)</f>
        <v>2001.1999999999998</v>
      </c>
      <c r="H83" s="609">
        <v>660</v>
      </c>
      <c r="I83" s="119">
        <v>501</v>
      </c>
      <c r="J83" s="119">
        <v>356</v>
      </c>
      <c r="K83" s="119">
        <v>671</v>
      </c>
      <c r="L83" s="682">
        <f>SUM(H83:K83)</f>
        <v>2188</v>
      </c>
      <c r="M83" s="119">
        <v>319</v>
      </c>
      <c r="N83" s="119">
        <v>428</v>
      </c>
      <c r="O83" s="119">
        <v>411</v>
      </c>
      <c r="P83" s="119">
        <v>556</v>
      </c>
      <c r="Q83" s="733">
        <f>SUM(M83:P83)</f>
        <v>1714</v>
      </c>
      <c r="R83" s="609">
        <v>642</v>
      </c>
      <c r="S83" s="119">
        <v>295</v>
      </c>
      <c r="T83" s="119">
        <v>705</v>
      </c>
      <c r="U83" s="627">
        <v>38</v>
      </c>
      <c r="V83" s="740">
        <f>SUM(R83:U83)</f>
        <v>1680</v>
      </c>
      <c r="W83" s="151">
        <v>2960</v>
      </c>
      <c r="X83" s="139">
        <v>550</v>
      </c>
      <c r="Y83" s="540">
        <f>AVERAGE(W83:X83)</f>
        <v>1755</v>
      </c>
      <c r="Z83" s="540">
        <f>Y83</f>
        <v>1755</v>
      </c>
      <c r="AA83" s="757">
        <f>SUM(W83:Z83)</f>
        <v>7020</v>
      </c>
      <c r="AE83" s="39" t="s">
        <v>12</v>
      </c>
      <c r="AF83" s="580">
        <f>C83/C11</f>
        <v>1.4952733929136812E-2</v>
      </c>
      <c r="AG83" s="580">
        <f t="shared" ref="AG83:AJ83" si="34">D83/D11</f>
        <v>4.2605930119454856E-2</v>
      </c>
      <c r="AH83" s="580">
        <f t="shared" si="34"/>
        <v>3.4890538893198597E-2</v>
      </c>
      <c r="AI83" s="580">
        <f t="shared" si="34"/>
        <v>6.4844292685281107E-2</v>
      </c>
      <c r="AJ83" s="580">
        <f t="shared" si="34"/>
        <v>4.1914336579746567E-2</v>
      </c>
      <c r="AK83" s="580">
        <f t="shared" ref="AK83" si="35">H83/H11</f>
        <v>5.1578618318224446E-2</v>
      </c>
      <c r="AL83" s="580">
        <f t="shared" ref="AL83" si="36">I83/I11</f>
        <v>4.5624260085602407E-2</v>
      </c>
      <c r="AM83" s="580">
        <f t="shared" ref="AM83" si="37">J83/J11</f>
        <v>2.7980822133144699E-2</v>
      </c>
      <c r="AN83" s="580">
        <f t="shared" ref="AN83" si="38">K83/K11</f>
        <v>3.6297738829384397E-2</v>
      </c>
      <c r="AO83" s="580">
        <f t="shared" ref="AO83" si="39">L83/L11</f>
        <v>3.9791947041065E-2</v>
      </c>
      <c r="AP83" s="580">
        <f t="shared" ref="AP83" si="40">M83/M11</f>
        <v>3.7037037037037035E-2</v>
      </c>
      <c r="AQ83" s="580">
        <f t="shared" ref="AQ83" si="41">N83/N11</f>
        <v>3.2362948960302458E-2</v>
      </c>
      <c r="AR83" s="580">
        <f t="shared" ref="AR83" si="42">O83/O11</f>
        <v>3.8140311804008911E-2</v>
      </c>
      <c r="AS83" s="580">
        <f t="shared" ref="AS83" si="43">P83/P11</f>
        <v>2.8090739150204616E-2</v>
      </c>
      <c r="AT83" s="580">
        <f t="shared" ref="AT83" si="44">Q83/Q11</f>
        <v>3.2705554601484534E-2</v>
      </c>
      <c r="AU83" s="580">
        <f t="shared" ref="AU83" si="45">R83/R11</f>
        <v>4.1723532852407874E-2</v>
      </c>
      <c r="AV83" s="580">
        <f t="shared" ref="AV83" si="46">S83/S11</f>
        <v>1.5341411409849705E-2</v>
      </c>
      <c r="AW83" s="580">
        <f t="shared" ref="AW83" si="47">T83/T11</f>
        <v>2.6297139020478196E-2</v>
      </c>
      <c r="AX83" s="580">
        <f t="shared" ref="AX83" si="48">U83/U11</f>
        <v>1.9169651415022954E-3</v>
      </c>
      <c r="AY83" s="580">
        <f t="shared" ref="AY83" si="49">V83/V11</f>
        <v>2.067743205986609E-2</v>
      </c>
      <c r="AZ83" s="580">
        <f t="shared" ref="AZ83" si="50">W83/W11</f>
        <v>0.23239381329983513</v>
      </c>
      <c r="BA83" s="580">
        <f t="shared" ref="BA83" si="51">X83/X11</f>
        <v>2.9333333333333333E-2</v>
      </c>
      <c r="BB83" s="794"/>
      <c r="BE83" s="598">
        <f>AVERAGE(AW83,AR83)</f>
        <v>3.2218725412243555E-2</v>
      </c>
      <c r="BF83" s="595">
        <f>AVERAGE(AX83,AS83)</f>
        <v>1.5003852145853456E-2</v>
      </c>
    </row>
    <row r="84" spans="1:58" x14ac:dyDescent="0.3">
      <c r="A84" s="136"/>
      <c r="B84" s="205" t="s">
        <v>927</v>
      </c>
      <c r="C84" s="192"/>
      <c r="D84" s="230">
        <f>(D83-C83)/C83</f>
        <v>2.4683274021352313</v>
      </c>
      <c r="E84" s="230">
        <f>(E83-D83)/D83</f>
        <v>-0.11163554278678439</v>
      </c>
      <c r="F84" s="230">
        <f>(F83-E83)/E83</f>
        <v>1.1725571725571726</v>
      </c>
      <c r="G84" s="677"/>
      <c r="H84" s="620">
        <f>(H83-F83)/F83</f>
        <v>-0.2982456140350877</v>
      </c>
      <c r="I84" s="549">
        <f>(I83-H83)/H83</f>
        <v>-0.24090909090909091</v>
      </c>
      <c r="J84" s="549">
        <f>(J83-I83)/I83</f>
        <v>-0.28942115768463073</v>
      </c>
      <c r="K84" s="549">
        <f>(K83-J83)/J83</f>
        <v>0.8848314606741573</v>
      </c>
      <c r="L84" s="694"/>
      <c r="M84" s="194"/>
      <c r="N84" s="199">
        <f>(N83-M83)/M83</f>
        <v>0.34169278996865204</v>
      </c>
      <c r="O84" s="199">
        <f>(O83-N83)/N83</f>
        <v>-3.9719626168224297E-2</v>
      </c>
      <c r="P84" s="199">
        <f>(P83-O83)/O83</f>
        <v>0.35279805352798055</v>
      </c>
      <c r="Q84" s="734"/>
      <c r="R84" s="607">
        <v>0</v>
      </c>
      <c r="S84" s="194">
        <v>0</v>
      </c>
      <c r="T84" s="194">
        <v>0</v>
      </c>
      <c r="U84" s="608">
        <v>0</v>
      </c>
      <c r="V84" s="746"/>
      <c r="W84" s="192">
        <v>0</v>
      </c>
      <c r="X84" s="198">
        <v>0</v>
      </c>
      <c r="Y84" s="542"/>
      <c r="Z84" s="542"/>
      <c r="AA84" s="655"/>
    </row>
    <row r="85" spans="1:58" x14ac:dyDescent="0.3">
      <c r="A85" s="136"/>
      <c r="B85" s="205" t="s">
        <v>928</v>
      </c>
      <c r="C85" s="192"/>
      <c r="D85" s="198"/>
      <c r="E85" s="198"/>
      <c r="F85" s="198"/>
      <c r="G85" s="677"/>
      <c r="H85" s="620">
        <f t="shared" ref="H85:AA85" si="52">(H83-C83)/C83</f>
        <v>3.697508896797153</v>
      </c>
      <c r="I85" s="549">
        <f t="shared" si="52"/>
        <v>2.8114098091524705E-2</v>
      </c>
      <c r="J85" s="549">
        <f t="shared" si="52"/>
        <v>-0.17763917763917761</v>
      </c>
      <c r="K85" s="549">
        <f t="shared" si="52"/>
        <v>-0.28654970760233917</v>
      </c>
      <c r="L85" s="695">
        <f t="shared" si="52"/>
        <v>9.3343993603837799E-2</v>
      </c>
      <c r="M85" s="199">
        <f t="shared" si="52"/>
        <v>-0.51666666666666672</v>
      </c>
      <c r="N85" s="199">
        <f t="shared" si="52"/>
        <v>-0.14570858283433133</v>
      </c>
      <c r="O85" s="199">
        <f t="shared" si="52"/>
        <v>0.1544943820224719</v>
      </c>
      <c r="P85" s="199">
        <f t="shared" si="52"/>
        <v>-0.17138599105812222</v>
      </c>
      <c r="Q85" s="735">
        <f t="shared" si="52"/>
        <v>-0.21663619744058502</v>
      </c>
      <c r="R85" s="620">
        <f t="shared" si="52"/>
        <v>1.0125391849529781</v>
      </c>
      <c r="S85" s="549">
        <f t="shared" si="52"/>
        <v>-0.31074766355140188</v>
      </c>
      <c r="T85" s="549">
        <f t="shared" si="52"/>
        <v>0.71532846715328469</v>
      </c>
      <c r="U85" s="621">
        <f t="shared" si="52"/>
        <v>-0.93165467625899279</v>
      </c>
      <c r="V85" s="747">
        <f t="shared" si="52"/>
        <v>-1.9836639439906652E-2</v>
      </c>
      <c r="W85" s="656">
        <f t="shared" si="52"/>
        <v>3.6105919003115265</v>
      </c>
      <c r="X85" s="193">
        <f t="shared" si="52"/>
        <v>0.86440677966101698</v>
      </c>
      <c r="Y85" s="543">
        <f t="shared" si="52"/>
        <v>1.4893617021276595</v>
      </c>
      <c r="Z85" s="543">
        <f t="shared" si="52"/>
        <v>45.184210526315788</v>
      </c>
      <c r="AA85" s="657">
        <f t="shared" si="52"/>
        <v>3.1785714285714284</v>
      </c>
    </row>
    <row r="86" spans="1:58" x14ac:dyDescent="0.3">
      <c r="A86" s="136"/>
      <c r="B86" s="205" t="s">
        <v>929</v>
      </c>
      <c r="C86" s="201">
        <f>(C83/$G$83)</f>
        <v>7.0207875274835102E-2</v>
      </c>
      <c r="D86" s="230">
        <f>(D83/$G$83)</f>
        <v>0.24350389766140318</v>
      </c>
      <c r="E86" s="230">
        <f>(E83/$G$83)</f>
        <v>0.21632020787527484</v>
      </c>
      <c r="F86" s="230">
        <f>(F83/$G$83)</f>
        <v>0.46996801918848696</v>
      </c>
      <c r="G86" s="681">
        <f>(G83/$G$83)</f>
        <v>1</v>
      </c>
      <c r="H86" s="622">
        <f>(H83/$L$83)</f>
        <v>0.3016453382084095</v>
      </c>
      <c r="I86" s="550">
        <f>(I83/$L$83)</f>
        <v>0.2289762340036563</v>
      </c>
      <c r="J86" s="550">
        <f>(J83/$L$83)</f>
        <v>0.16270566727605118</v>
      </c>
      <c r="K86" s="550">
        <f>(K83/$L$83)</f>
        <v>0.30667276051188302</v>
      </c>
      <c r="L86" s="705">
        <f>(L83/$L$83)</f>
        <v>1</v>
      </c>
      <c r="M86" s="202">
        <f>(M83/$Q$83)</f>
        <v>0.18611435239206534</v>
      </c>
      <c r="N86" s="202">
        <f>(N83/$Q$83)</f>
        <v>0.24970828471411902</v>
      </c>
      <c r="O86" s="202">
        <f>(O83/$Q$83)</f>
        <v>0.23978996499416569</v>
      </c>
      <c r="P86" s="202">
        <f>(P83/$Q$83)</f>
        <v>0.32438739789964993</v>
      </c>
      <c r="Q86" s="736">
        <f>(Q83/$Q$83)</f>
        <v>1</v>
      </c>
      <c r="R86" s="622">
        <f>R83/$V$83</f>
        <v>0.38214285714285712</v>
      </c>
      <c r="S86" s="550">
        <f>S83/$V$83</f>
        <v>0.17559523809523808</v>
      </c>
      <c r="T86" s="550">
        <f>T83/$V$83</f>
        <v>0.41964285714285715</v>
      </c>
      <c r="U86" s="626">
        <f>U83/$V$83</f>
        <v>2.2619047619047618E-2</v>
      </c>
      <c r="V86" s="748">
        <f>V83/$V$83</f>
        <v>1</v>
      </c>
      <c r="W86" s="192"/>
      <c r="X86" s="198"/>
      <c r="Y86" s="542"/>
      <c r="Z86" s="542"/>
      <c r="AA86" s="655"/>
    </row>
    <row r="87" spans="1:58" x14ac:dyDescent="0.3">
      <c r="A87" s="172"/>
      <c r="B87" s="99" t="s">
        <v>99</v>
      </c>
      <c r="C87" s="151">
        <v>0</v>
      </c>
      <c r="D87" s="139">
        <v>0</v>
      </c>
      <c r="E87" s="139">
        <v>0</v>
      </c>
      <c r="F87" s="139">
        <f>(-4007)/10</f>
        <v>-400.7</v>
      </c>
      <c r="G87" s="666">
        <f>SUM(C87:F87)</f>
        <v>-400.7</v>
      </c>
      <c r="H87" s="609">
        <f>((-127)*10)/10</f>
        <v>-127</v>
      </c>
      <c r="I87" s="119">
        <f>((-54)*10)/10</f>
        <v>-54</v>
      </c>
      <c r="J87" s="119">
        <v>112</v>
      </c>
      <c r="K87" s="119">
        <v>16</v>
      </c>
      <c r="L87" s="682">
        <f>SUM(H87:K87)</f>
        <v>-53</v>
      </c>
      <c r="M87" s="119">
        <v>57</v>
      </c>
      <c r="N87" s="119">
        <v>78</v>
      </c>
      <c r="O87" s="119">
        <v>8</v>
      </c>
      <c r="P87" s="119">
        <v>128</v>
      </c>
      <c r="Q87" s="710">
        <f>SUM(M87:P87)</f>
        <v>271</v>
      </c>
      <c r="R87" s="609">
        <v>69</v>
      </c>
      <c r="S87" s="119">
        <v>433</v>
      </c>
      <c r="T87" s="119">
        <v>247</v>
      </c>
      <c r="U87" s="627">
        <v>354</v>
      </c>
      <c r="V87" s="740">
        <f>SUM(R87:U87)</f>
        <v>1103</v>
      </c>
      <c r="W87" s="151">
        <v>30</v>
      </c>
      <c r="X87" s="139">
        <v>55</v>
      </c>
      <c r="Y87" s="540"/>
      <c r="Z87" s="540"/>
      <c r="AA87" s="642"/>
    </row>
    <row r="88" spans="1:58" x14ac:dyDescent="0.3">
      <c r="A88" s="172"/>
      <c r="B88" s="205" t="s">
        <v>927</v>
      </c>
      <c r="C88" s="192"/>
      <c r="D88" s="198"/>
      <c r="E88" s="198"/>
      <c r="F88" s="198"/>
      <c r="G88" s="677"/>
      <c r="H88" s="620">
        <f>(H87-F87)/F87</f>
        <v>-0.683054654354879</v>
      </c>
      <c r="I88" s="549">
        <f>(I87-H87)/H87</f>
        <v>-0.57480314960629919</v>
      </c>
      <c r="J88" s="549">
        <f>(J87-I87)/I87</f>
        <v>-3.074074074074074</v>
      </c>
      <c r="K88" s="549">
        <f>(K87-J87)/J87</f>
        <v>-0.8571428571428571</v>
      </c>
      <c r="L88" s="694"/>
      <c r="M88" s="202">
        <f>(M87-K87)/K87</f>
        <v>2.5625</v>
      </c>
      <c r="N88" s="202">
        <f>(N87-M87)/M87</f>
        <v>0.36842105263157893</v>
      </c>
      <c r="O88" s="202">
        <f>(O87-N87)/N87</f>
        <v>-0.89743589743589747</v>
      </c>
      <c r="P88" s="202">
        <f>(P87-O87)/O87</f>
        <v>15</v>
      </c>
      <c r="Q88" s="720"/>
      <c r="R88" s="231">
        <f>(R87-P87)/P87</f>
        <v>-0.4609375</v>
      </c>
      <c r="S88" s="232">
        <f>(S87-R87)/R87</f>
        <v>5.27536231884058</v>
      </c>
      <c r="T88" s="232">
        <f>(T87-S87)/S87</f>
        <v>-0.42956120092378752</v>
      </c>
      <c r="U88" s="639">
        <f>(U87-T87)/T87</f>
        <v>0.4331983805668016</v>
      </c>
      <c r="V88" s="746"/>
      <c r="W88" s="660">
        <f>(W87-U87)/U87</f>
        <v>-0.9152542372881356</v>
      </c>
      <c r="X88" s="206">
        <f>(X87-W87)/W87</f>
        <v>0.83333333333333337</v>
      </c>
      <c r="Y88" s="542"/>
      <c r="Z88" s="542"/>
      <c r="AA88" s="655"/>
    </row>
    <row r="89" spans="1:58" x14ac:dyDescent="0.3">
      <c r="A89" s="172"/>
      <c r="B89" s="205" t="s">
        <v>928</v>
      </c>
      <c r="C89" s="192"/>
      <c r="D89" s="198"/>
      <c r="E89" s="198"/>
      <c r="F89" s="198"/>
      <c r="G89" s="677"/>
      <c r="H89" s="620" t="e">
        <f t="shared" ref="H89:AA89" si="53">(H87-C87)/C87</f>
        <v>#DIV/0!</v>
      </c>
      <c r="I89" s="549" t="e">
        <f t="shared" si="53"/>
        <v>#DIV/0!</v>
      </c>
      <c r="J89" s="549" t="e">
        <f t="shared" si="53"/>
        <v>#DIV/0!</v>
      </c>
      <c r="K89" s="549">
        <f t="shared" si="53"/>
        <v>-1.0399301222859996</v>
      </c>
      <c r="L89" s="696">
        <f t="shared" si="53"/>
        <v>-0.86773146992762662</v>
      </c>
      <c r="M89" s="549">
        <f t="shared" si="53"/>
        <v>-1.4488188976377954</v>
      </c>
      <c r="N89" s="549">
        <f t="shared" si="53"/>
        <v>-2.4444444444444446</v>
      </c>
      <c r="O89" s="549">
        <f t="shared" si="53"/>
        <v>-0.9285714285714286</v>
      </c>
      <c r="P89" s="549">
        <f t="shared" si="53"/>
        <v>7</v>
      </c>
      <c r="Q89" s="723">
        <f t="shared" si="53"/>
        <v>-6.1132075471698117</v>
      </c>
      <c r="R89" s="620">
        <f t="shared" si="53"/>
        <v>0.21052631578947367</v>
      </c>
      <c r="S89" s="549">
        <f t="shared" si="53"/>
        <v>4.5512820512820511</v>
      </c>
      <c r="T89" s="549">
        <f t="shared" si="53"/>
        <v>29.875</v>
      </c>
      <c r="U89" s="621">
        <f t="shared" si="53"/>
        <v>1.765625</v>
      </c>
      <c r="V89" s="723">
        <f t="shared" si="53"/>
        <v>3.0701107011070112</v>
      </c>
      <c r="W89" s="656">
        <f t="shared" si="53"/>
        <v>-0.56521739130434778</v>
      </c>
      <c r="X89" s="193">
        <f t="shared" si="53"/>
        <v>-0.87297921478060048</v>
      </c>
      <c r="Y89" s="567">
        <f t="shared" si="53"/>
        <v>-1</v>
      </c>
      <c r="Z89" s="567">
        <f t="shared" si="53"/>
        <v>-1</v>
      </c>
      <c r="AA89" s="658">
        <f t="shared" si="53"/>
        <v>-1</v>
      </c>
    </row>
    <row r="90" spans="1:58" ht="14.5" thickBot="1" x14ac:dyDescent="0.35">
      <c r="A90" s="172"/>
      <c r="B90" s="205" t="s">
        <v>929</v>
      </c>
      <c r="C90" s="201">
        <f>C87/$G$87</f>
        <v>0</v>
      </c>
      <c r="D90" s="230">
        <f>D87/$G$87</f>
        <v>0</v>
      </c>
      <c r="E90" s="230">
        <f>E87/$G$87</f>
        <v>0</v>
      </c>
      <c r="F90" s="230">
        <f>F87/$G$87</f>
        <v>1</v>
      </c>
      <c r="G90" s="681">
        <f>G87/$G$87</f>
        <v>1</v>
      </c>
      <c r="H90" s="622">
        <f>H87/$L$87</f>
        <v>2.3962264150943398</v>
      </c>
      <c r="I90" s="550">
        <f>I87/$L$87</f>
        <v>1.0188679245283019</v>
      </c>
      <c r="J90" s="550">
        <f>J87/$L$87</f>
        <v>-2.1132075471698113</v>
      </c>
      <c r="K90" s="550">
        <f>K87/$L$87</f>
        <v>-0.30188679245283018</v>
      </c>
      <c r="L90" s="706">
        <f>L87/$L$87</f>
        <v>1</v>
      </c>
      <c r="M90" s="202">
        <f>M87/$Q$87</f>
        <v>0.21033210332103322</v>
      </c>
      <c r="N90" s="202">
        <f>N87/$Q$87</f>
        <v>0.28782287822878228</v>
      </c>
      <c r="O90" s="202">
        <f>O87/$Q$87</f>
        <v>2.9520295202952029E-2</v>
      </c>
      <c r="P90" s="202">
        <f>P87/$Q$87</f>
        <v>0.47232472324723246</v>
      </c>
      <c r="Q90" s="722">
        <f>Q87/$Q$87</f>
        <v>1</v>
      </c>
      <c r="R90" s="233">
        <f>R87/$V$87</f>
        <v>6.2556663644605617E-2</v>
      </c>
      <c r="S90" s="232">
        <f>S87/$V$87</f>
        <v>0.39256572982774252</v>
      </c>
      <c r="T90" s="232">
        <f>T87/$V$87</f>
        <v>0.22393472348141433</v>
      </c>
      <c r="U90" s="639">
        <f>U87/$V$87</f>
        <v>0.32094288304623753</v>
      </c>
      <c r="V90" s="748">
        <f>V87/$V$87</f>
        <v>1</v>
      </c>
      <c r="W90" s="238" t="e">
        <f>W87/$AA$87</f>
        <v>#DIV/0!</v>
      </c>
      <c r="X90" s="196" t="e">
        <f>X87/$AA$87</f>
        <v>#DIV/0!</v>
      </c>
      <c r="Y90" s="542" t="e">
        <f>Y87/$AA$87</f>
        <v>#DIV/0!</v>
      </c>
      <c r="Z90" s="542" t="e">
        <f>Z87/$AA$87</f>
        <v>#DIV/0!</v>
      </c>
      <c r="AA90" s="655" t="e">
        <f>AA87/$AA$87</f>
        <v>#DIV/0!</v>
      </c>
    </row>
    <row r="91" spans="1:58" ht="14.5" thickBot="1" x14ac:dyDescent="0.35">
      <c r="A91" s="172"/>
      <c r="B91" s="165" t="s">
        <v>922</v>
      </c>
      <c r="C91" s="222">
        <f>C83+C87</f>
        <v>140.5</v>
      </c>
      <c r="D91" s="223">
        <f>D83+D87</f>
        <v>487.3</v>
      </c>
      <c r="E91" s="223">
        <f>E83+E87</f>
        <v>432.9</v>
      </c>
      <c r="F91" s="223">
        <f>F83+F87</f>
        <v>539.79999999999995</v>
      </c>
      <c r="G91" s="666">
        <f>SUM(C91:F91)</f>
        <v>1600.4999999999998</v>
      </c>
      <c r="H91" s="227">
        <f t="shared" ref="H91:AA91" si="54">H83+H87</f>
        <v>533</v>
      </c>
      <c r="I91" s="224">
        <f t="shared" si="54"/>
        <v>447</v>
      </c>
      <c r="J91" s="224">
        <f t="shared" si="54"/>
        <v>468</v>
      </c>
      <c r="K91" s="224">
        <f t="shared" si="54"/>
        <v>687</v>
      </c>
      <c r="L91" s="704">
        <f t="shared" si="54"/>
        <v>2135</v>
      </c>
      <c r="M91" s="224">
        <f t="shared" si="54"/>
        <v>376</v>
      </c>
      <c r="N91" s="224">
        <f t="shared" si="54"/>
        <v>506</v>
      </c>
      <c r="O91" s="224">
        <f t="shared" si="54"/>
        <v>419</v>
      </c>
      <c r="P91" s="224">
        <f t="shared" si="54"/>
        <v>684</v>
      </c>
      <c r="Q91" s="732">
        <f t="shared" si="54"/>
        <v>1985</v>
      </c>
      <c r="R91" s="227">
        <f t="shared" si="54"/>
        <v>711</v>
      </c>
      <c r="S91" s="225">
        <f t="shared" si="54"/>
        <v>728</v>
      </c>
      <c r="T91" s="225">
        <f t="shared" si="54"/>
        <v>952</v>
      </c>
      <c r="U91" s="226">
        <f t="shared" si="54"/>
        <v>392</v>
      </c>
      <c r="V91" s="752">
        <f t="shared" si="54"/>
        <v>2783</v>
      </c>
      <c r="W91" s="5">
        <f t="shared" si="54"/>
        <v>2990</v>
      </c>
      <c r="X91" s="22">
        <f t="shared" si="54"/>
        <v>605</v>
      </c>
      <c r="Y91" s="540">
        <f t="shared" si="54"/>
        <v>1755</v>
      </c>
      <c r="Z91" s="540">
        <f t="shared" si="54"/>
        <v>1755</v>
      </c>
      <c r="AA91" s="642">
        <f t="shared" si="54"/>
        <v>7020</v>
      </c>
    </row>
    <row r="92" spans="1:58" x14ac:dyDescent="0.3">
      <c r="A92" s="136">
        <v>5</v>
      </c>
      <c r="B92" s="173" t="s">
        <v>921</v>
      </c>
      <c r="C92" s="222">
        <f>C81-C91</f>
        <v>770.97499999999854</v>
      </c>
      <c r="D92" s="223">
        <f>D81-D91</f>
        <v>943.97499999999968</v>
      </c>
      <c r="E92" s="223">
        <f>E81-E91</f>
        <v>1064.6750000000006</v>
      </c>
      <c r="F92" s="223">
        <f>F81-F91</f>
        <v>10137.674999999999</v>
      </c>
      <c r="G92" s="666">
        <f>SUM(C92:F92)</f>
        <v>12917.3</v>
      </c>
      <c r="H92" s="235">
        <f t="shared" ref="H92:X92" si="55">H81-H91</f>
        <v>8455</v>
      </c>
      <c r="I92" s="234">
        <f t="shared" si="55"/>
        <v>861</v>
      </c>
      <c r="J92" s="234">
        <f t="shared" si="55"/>
        <v>982</v>
      </c>
      <c r="K92" s="234">
        <f t="shared" si="55"/>
        <v>1132</v>
      </c>
      <c r="L92" s="707">
        <f t="shared" si="55"/>
        <v>11430</v>
      </c>
      <c r="M92" s="234">
        <f t="shared" si="55"/>
        <v>1229</v>
      </c>
      <c r="N92" s="234">
        <f t="shared" si="55"/>
        <v>928</v>
      </c>
      <c r="O92" s="234">
        <f t="shared" si="55"/>
        <v>611</v>
      </c>
      <c r="P92" s="234">
        <f t="shared" si="55"/>
        <v>1344</v>
      </c>
      <c r="Q92" s="737">
        <f t="shared" si="55"/>
        <v>4112</v>
      </c>
      <c r="R92" s="235">
        <f t="shared" si="55"/>
        <v>1194</v>
      </c>
      <c r="S92" s="236">
        <f t="shared" si="55"/>
        <v>1520</v>
      </c>
      <c r="T92" s="236">
        <f t="shared" si="55"/>
        <v>2133</v>
      </c>
      <c r="U92" s="640">
        <f t="shared" si="55"/>
        <v>595</v>
      </c>
      <c r="V92" s="737">
        <f t="shared" si="55"/>
        <v>5442</v>
      </c>
      <c r="W92" s="5">
        <f t="shared" si="55"/>
        <v>-2479</v>
      </c>
      <c r="X92" s="22">
        <f t="shared" si="55"/>
        <v>1059</v>
      </c>
      <c r="Y92" s="540"/>
      <c r="Z92" s="540"/>
      <c r="AA92" s="642"/>
    </row>
    <row r="93" spans="1:58" x14ac:dyDescent="0.3">
      <c r="A93" s="136"/>
      <c r="B93" s="173"/>
      <c r="C93" s="222"/>
      <c r="D93" s="223"/>
      <c r="E93" s="223"/>
      <c r="F93" s="223"/>
      <c r="G93" s="666"/>
      <c r="H93" s="235"/>
      <c r="I93" s="234"/>
      <c r="J93" s="234"/>
      <c r="K93" s="234"/>
      <c r="L93" s="665"/>
      <c r="M93" s="234"/>
      <c r="N93" s="237"/>
      <c r="O93" s="234"/>
      <c r="P93" s="234"/>
      <c r="Q93" s="733"/>
      <c r="R93" s="235"/>
      <c r="S93" s="236"/>
      <c r="T93" s="236"/>
      <c r="U93" s="640"/>
      <c r="V93" s="752"/>
      <c r="W93" s="5"/>
      <c r="X93" s="22"/>
      <c r="Y93" s="540"/>
      <c r="Z93" s="540"/>
      <c r="AA93" s="642"/>
    </row>
    <row r="94" spans="1:58" x14ac:dyDescent="0.3">
      <c r="A94" s="172"/>
      <c r="B94" s="55" t="s">
        <v>926</v>
      </c>
      <c r="C94" s="3">
        <v>28</v>
      </c>
      <c r="D94" s="22">
        <v>350</v>
      </c>
      <c r="E94" s="22">
        <v>582</v>
      </c>
      <c r="F94" s="22">
        <v>247</v>
      </c>
      <c r="G94" s="666">
        <f>SUM(C94:F94)</f>
        <v>1207</v>
      </c>
      <c r="H94" s="3">
        <v>56</v>
      </c>
      <c r="I94" s="19">
        <v>46</v>
      </c>
      <c r="J94" s="19">
        <v>10</v>
      </c>
      <c r="K94" s="19">
        <v>24</v>
      </c>
      <c r="L94" s="682">
        <f>SUM(H94:K94)</f>
        <v>136</v>
      </c>
      <c r="M94" s="138">
        <v>75</v>
      </c>
      <c r="N94" s="136">
        <v>94</v>
      </c>
      <c r="O94" s="19">
        <v>63</v>
      </c>
      <c r="P94" s="19">
        <v>75</v>
      </c>
      <c r="Q94" s="710">
        <f>O94+P94</f>
        <v>138</v>
      </c>
      <c r="R94" s="609">
        <v>450</v>
      </c>
      <c r="S94" s="119">
        <v>520</v>
      </c>
      <c r="T94" s="119">
        <v>310</v>
      </c>
      <c r="U94" s="627">
        <f>(-84)*10</f>
        <v>-840</v>
      </c>
      <c r="V94" s="740">
        <f>SUM(R94:U94)</f>
        <v>440</v>
      </c>
      <c r="W94" s="151">
        <f>(-12)*10</f>
        <v>-120</v>
      </c>
      <c r="X94" s="139">
        <f>(-121)</f>
        <v>-121</v>
      </c>
      <c r="Y94" s="540"/>
      <c r="Z94" s="540"/>
      <c r="AA94" s="642"/>
    </row>
    <row r="95" spans="1:58" x14ac:dyDescent="0.3">
      <c r="A95" s="172"/>
      <c r="B95" s="205" t="s">
        <v>927</v>
      </c>
      <c r="C95" s="238"/>
      <c r="D95" s="239"/>
      <c r="E95" s="239"/>
      <c r="F95" s="239"/>
      <c r="G95" s="677"/>
      <c r="H95" s="238"/>
      <c r="I95" s="196"/>
      <c r="J95" s="196"/>
      <c r="K95" s="196"/>
      <c r="L95" s="694"/>
      <c r="M95" s="240"/>
      <c r="N95" s="197"/>
      <c r="O95" s="196"/>
      <c r="P95" s="196"/>
      <c r="Q95" s="720"/>
      <c r="R95" s="607"/>
      <c r="S95" s="194"/>
      <c r="T95" s="194"/>
      <c r="U95" s="608"/>
      <c r="V95" s="746"/>
      <c r="W95" s="192"/>
      <c r="X95" s="198"/>
      <c r="Y95" s="542"/>
      <c r="Z95" s="542"/>
      <c r="AA95" s="655"/>
    </row>
    <row r="96" spans="1:58" x14ac:dyDescent="0.3">
      <c r="A96" s="172"/>
      <c r="B96" s="205" t="s">
        <v>928</v>
      </c>
      <c r="C96" s="238"/>
      <c r="D96" s="239"/>
      <c r="E96" s="239"/>
      <c r="F96" s="239"/>
      <c r="G96" s="677"/>
      <c r="H96" s="238"/>
      <c r="I96" s="196"/>
      <c r="J96" s="196"/>
      <c r="K96" s="196"/>
      <c r="L96" s="694"/>
      <c r="M96" s="240"/>
      <c r="N96" s="197"/>
      <c r="O96" s="196"/>
      <c r="P96" s="196"/>
      <c r="Q96" s="720"/>
      <c r="R96" s="238"/>
      <c r="S96" s="196"/>
      <c r="T96" s="196"/>
      <c r="U96" s="195"/>
      <c r="V96" s="746"/>
      <c r="W96" s="238"/>
      <c r="X96" s="196"/>
      <c r="Y96" s="542"/>
      <c r="Z96" s="542"/>
      <c r="AA96" s="655"/>
    </row>
    <row r="97" spans="1:27" x14ac:dyDescent="0.3">
      <c r="A97" s="172"/>
      <c r="B97" s="205" t="s">
        <v>929</v>
      </c>
      <c r="C97" s="238"/>
      <c r="D97" s="239"/>
      <c r="E97" s="239"/>
      <c r="F97" s="239"/>
      <c r="G97" s="677"/>
      <c r="H97" s="238"/>
      <c r="I97" s="196"/>
      <c r="J97" s="196"/>
      <c r="K97" s="196"/>
      <c r="L97" s="694"/>
      <c r="M97" s="240"/>
      <c r="N97" s="197"/>
      <c r="O97" s="196"/>
      <c r="P97" s="196"/>
      <c r="Q97" s="720"/>
      <c r="R97" s="238"/>
      <c r="S97" s="196"/>
      <c r="T97" s="196"/>
      <c r="U97" s="195"/>
      <c r="V97" s="746"/>
      <c r="W97" s="238"/>
      <c r="X97" s="196"/>
      <c r="Y97" s="542"/>
      <c r="Z97" s="542"/>
      <c r="AA97" s="655"/>
    </row>
    <row r="98" spans="1:27" x14ac:dyDescent="0.3">
      <c r="A98" s="136"/>
      <c r="B98" s="39"/>
      <c r="C98" s="5">
        <f>C92+C94</f>
        <v>798.97499999999854</v>
      </c>
      <c r="D98" s="22">
        <f>D92+D94</f>
        <v>1293.9749999999997</v>
      </c>
      <c r="E98" s="22">
        <f>E92+E94</f>
        <v>1646.6750000000006</v>
      </c>
      <c r="F98" s="22">
        <f>F92+F94</f>
        <v>10384.674999999999</v>
      </c>
      <c r="G98" s="666">
        <f>SUM(C98:F98)</f>
        <v>14124.299999999997</v>
      </c>
      <c r="H98" s="3">
        <f>H92+H94</f>
        <v>8511</v>
      </c>
      <c r="I98" s="19">
        <f>I92+I94</f>
        <v>907</v>
      </c>
      <c r="J98" s="19">
        <f>J92+J94</f>
        <v>992</v>
      </c>
      <c r="K98" s="19">
        <f>K92+K94</f>
        <v>1156</v>
      </c>
      <c r="L98" s="682">
        <f t="shared" ref="L98:Q98" si="56">L92+L94</f>
        <v>11566</v>
      </c>
      <c r="M98" s="138">
        <f t="shared" si="56"/>
        <v>1304</v>
      </c>
      <c r="N98" s="19">
        <f t="shared" si="56"/>
        <v>1022</v>
      </c>
      <c r="O98" s="19">
        <f t="shared" si="56"/>
        <v>674</v>
      </c>
      <c r="P98" s="19">
        <f t="shared" si="56"/>
        <v>1419</v>
      </c>
      <c r="Q98" s="710">
        <f t="shared" si="56"/>
        <v>4250</v>
      </c>
      <c r="R98" s="3">
        <f>SUM(R92:R94)</f>
        <v>1644</v>
      </c>
      <c r="S98" s="19">
        <f>SUM(S92:S94)</f>
        <v>2040</v>
      </c>
      <c r="T98" s="19">
        <f>SUM(T92:T94)</f>
        <v>2443</v>
      </c>
      <c r="U98" s="23">
        <f>SUM(U92:U94)</f>
        <v>-245</v>
      </c>
      <c r="V98" s="740">
        <f>SUM(R98:U98)</f>
        <v>5882</v>
      </c>
      <c r="W98" s="3">
        <f>SUM(W92:W94)</f>
        <v>-2599</v>
      </c>
      <c r="X98" s="19">
        <f>SUM(X92:X94)</f>
        <v>938</v>
      </c>
      <c r="Y98" s="540"/>
      <c r="Z98" s="540"/>
      <c r="AA98" s="642"/>
    </row>
    <row r="99" spans="1:27" x14ac:dyDescent="0.3">
      <c r="A99" s="172"/>
      <c r="B99" s="39"/>
      <c r="C99" s="3"/>
      <c r="D99" s="19"/>
      <c r="E99" s="19"/>
      <c r="F99" s="19"/>
      <c r="G99" s="682"/>
      <c r="H99" s="3"/>
      <c r="I99" s="19"/>
      <c r="J99" s="19"/>
      <c r="K99" s="19"/>
      <c r="L99" s="682"/>
      <c r="M99" s="138"/>
      <c r="N99" s="19"/>
      <c r="O99" s="19"/>
      <c r="P99" s="19"/>
      <c r="Q99" s="710"/>
      <c r="R99" s="3"/>
      <c r="S99" s="19"/>
      <c r="T99" s="19"/>
      <c r="U99" s="23"/>
      <c r="V99" s="740"/>
      <c r="W99" s="3"/>
      <c r="X99" s="19"/>
      <c r="Y99" s="540"/>
      <c r="Z99" s="540"/>
      <c r="AA99" s="642"/>
    </row>
    <row r="100" spans="1:27" x14ac:dyDescent="0.3">
      <c r="A100" s="136"/>
      <c r="B100" s="55"/>
      <c r="C100" s="3"/>
      <c r="D100" s="19"/>
      <c r="E100" s="19"/>
      <c r="F100" s="19"/>
      <c r="G100" s="682"/>
      <c r="H100" s="3"/>
      <c r="I100" s="19"/>
      <c r="J100" s="19"/>
      <c r="K100" s="19"/>
      <c r="L100" s="682"/>
      <c r="M100" s="138"/>
      <c r="N100" s="19"/>
      <c r="O100" s="19"/>
      <c r="P100" s="19"/>
      <c r="Q100" s="710"/>
      <c r="R100" s="3"/>
      <c r="S100" s="19"/>
      <c r="T100" s="19"/>
      <c r="U100" s="23"/>
      <c r="V100" s="740"/>
      <c r="W100" s="3"/>
      <c r="X100" s="19"/>
      <c r="Y100" s="540"/>
      <c r="Z100" s="540"/>
      <c r="AA100" s="642"/>
    </row>
    <row r="101" spans="1:27" x14ac:dyDescent="0.3">
      <c r="A101" s="136"/>
      <c r="B101" s="39"/>
      <c r="C101" s="3"/>
      <c r="D101" s="19"/>
      <c r="E101" s="19"/>
      <c r="F101" s="19"/>
      <c r="G101" s="682"/>
      <c r="H101" s="3"/>
      <c r="I101" s="19"/>
      <c r="J101" s="19"/>
      <c r="K101" s="19"/>
      <c r="L101" s="682"/>
      <c r="M101" s="138"/>
      <c r="N101" s="19"/>
      <c r="O101" s="19"/>
      <c r="P101" s="19"/>
      <c r="Q101" s="710"/>
      <c r="R101" s="3"/>
      <c r="S101" s="19"/>
      <c r="T101" s="19"/>
      <c r="U101" s="23"/>
      <c r="V101" s="740"/>
      <c r="W101" s="3"/>
      <c r="X101" s="19"/>
      <c r="Y101" s="540"/>
      <c r="Z101" s="540"/>
      <c r="AA101" s="642"/>
    </row>
    <row r="102" spans="1:27" ht="14.5" thickBot="1" x14ac:dyDescent="0.35">
      <c r="A102" s="136"/>
      <c r="B102" s="241"/>
      <c r="C102" s="24"/>
      <c r="D102" s="25"/>
      <c r="E102" s="25"/>
      <c r="F102" s="25"/>
      <c r="G102" s="683"/>
      <c r="H102" s="24"/>
      <c r="I102" s="25"/>
      <c r="J102" s="25"/>
      <c r="K102" s="25"/>
      <c r="L102" s="683"/>
      <c r="M102" s="242"/>
      <c r="N102" s="25"/>
      <c r="O102" s="25"/>
      <c r="P102" s="25"/>
      <c r="Q102" s="738"/>
      <c r="R102" s="24"/>
      <c r="S102" s="25"/>
      <c r="T102" s="25"/>
      <c r="U102" s="26"/>
      <c r="V102" s="753"/>
      <c r="W102" s="24"/>
      <c r="X102" s="25"/>
      <c r="Y102" s="661"/>
      <c r="Z102" s="661"/>
      <c r="AA102" s="662"/>
    </row>
    <row r="118" spans="2:28" ht="14.5" x14ac:dyDescent="0.35">
      <c r="B118"/>
      <c r="C118"/>
      <c r="D118"/>
      <c r="E118"/>
      <c r="F118"/>
      <c r="G118"/>
      <c r="H118"/>
      <c r="I118"/>
      <c r="J118"/>
      <c r="K118"/>
      <c r="L118"/>
      <c r="M118"/>
      <c r="N118"/>
      <c r="O118"/>
      <c r="P118"/>
      <c r="Q118"/>
      <c r="R118"/>
      <c r="S118"/>
      <c r="T118"/>
      <c r="U118"/>
      <c r="V118"/>
      <c r="W118"/>
      <c r="X118"/>
      <c r="Y118"/>
      <c r="Z118"/>
      <c r="AA118"/>
      <c r="AB118"/>
    </row>
    <row r="119" spans="2:28" ht="14.5" x14ac:dyDescent="0.35">
      <c r="B119"/>
      <c r="C119"/>
      <c r="D119"/>
      <c r="E119"/>
      <c r="F119"/>
      <c r="G119"/>
      <c r="H119"/>
      <c r="I119"/>
      <c r="J119"/>
      <c r="K119"/>
      <c r="L119"/>
      <c r="M119"/>
      <c r="N119"/>
      <c r="O119"/>
      <c r="P119"/>
      <c r="Q119"/>
      <c r="R119"/>
      <c r="S119"/>
      <c r="T119"/>
      <c r="U119"/>
      <c r="V119"/>
      <c r="W119"/>
      <c r="X119"/>
      <c r="Y119"/>
      <c r="Z119"/>
      <c r="AA119"/>
      <c r="AB119"/>
    </row>
    <row r="120" spans="2:28" ht="14.5" x14ac:dyDescent="0.35">
      <c r="B120"/>
      <c r="C120"/>
      <c r="D120"/>
      <c r="E120"/>
      <c r="F120"/>
      <c r="G120"/>
      <c r="H120"/>
      <c r="I120"/>
      <c r="J120"/>
      <c r="K120"/>
      <c r="L120"/>
      <c r="M120"/>
      <c r="N120"/>
      <c r="O120"/>
      <c r="P120"/>
      <c r="Q120"/>
      <c r="R120"/>
      <c r="S120"/>
      <c r="T120"/>
      <c r="U120"/>
      <c r="V120"/>
      <c r="W120"/>
      <c r="X120"/>
      <c r="Y120"/>
      <c r="Z120"/>
      <c r="AA120"/>
      <c r="AB120"/>
    </row>
    <row r="121" spans="2:28" ht="14.5" x14ac:dyDescent="0.35">
      <c r="B121"/>
      <c r="C121"/>
      <c r="D121"/>
      <c r="E121"/>
      <c r="F121"/>
      <c r="G121"/>
      <c r="H121"/>
      <c r="I121"/>
      <c r="J121"/>
      <c r="K121"/>
      <c r="L121"/>
      <c r="M121"/>
      <c r="N121"/>
      <c r="O121"/>
      <c r="P121"/>
      <c r="Q121"/>
      <c r="R121"/>
      <c r="S121"/>
      <c r="T121"/>
      <c r="U121"/>
      <c r="V121"/>
      <c r="W121"/>
      <c r="X121"/>
      <c r="Y121"/>
      <c r="Z121"/>
      <c r="AA121"/>
      <c r="AB121"/>
    </row>
    <row r="122" spans="2:28" ht="14.5" x14ac:dyDescent="0.35">
      <c r="B122"/>
      <c r="C122"/>
      <c r="D122"/>
      <c r="E122"/>
      <c r="F122"/>
      <c r="G122"/>
      <c r="H122"/>
      <c r="I122"/>
      <c r="J122"/>
      <c r="K122"/>
      <c r="L122"/>
      <c r="M122"/>
      <c r="N122"/>
      <c r="O122"/>
      <c r="P122"/>
      <c r="Q122"/>
      <c r="R122"/>
      <c r="S122"/>
      <c r="T122"/>
      <c r="U122"/>
      <c r="V122"/>
      <c r="W122"/>
      <c r="X122"/>
      <c r="Y122"/>
      <c r="Z122"/>
      <c r="AA122"/>
      <c r="AB122"/>
    </row>
    <row r="123" spans="2:28" ht="14.5" x14ac:dyDescent="0.35">
      <c r="B123"/>
      <c r="C123"/>
      <c r="D123"/>
      <c r="E123"/>
      <c r="F123"/>
      <c r="G123"/>
      <c r="H123"/>
      <c r="I123"/>
      <c r="J123"/>
      <c r="K123"/>
      <c r="L123"/>
      <c r="M123"/>
      <c r="N123"/>
      <c r="O123"/>
      <c r="P123"/>
      <c r="Q123"/>
      <c r="R123"/>
      <c r="S123"/>
      <c r="T123"/>
      <c r="U123"/>
      <c r="V123"/>
      <c r="W123"/>
      <c r="X123"/>
      <c r="Y123"/>
      <c r="Z123"/>
      <c r="AA123"/>
      <c r="AB123"/>
    </row>
    <row r="124" spans="2:28" ht="14.5" x14ac:dyDescent="0.35">
      <c r="B124"/>
      <c r="C124"/>
      <c r="D124"/>
      <c r="E124"/>
      <c r="F124"/>
      <c r="G124"/>
      <c r="H124"/>
      <c r="I124"/>
      <c r="J124"/>
      <c r="K124"/>
      <c r="L124"/>
      <c r="M124"/>
      <c r="N124"/>
      <c r="O124"/>
      <c r="P124"/>
      <c r="Q124"/>
      <c r="R124"/>
      <c r="S124"/>
      <c r="T124"/>
      <c r="U124"/>
      <c r="V124"/>
      <c r="W124"/>
      <c r="X124"/>
      <c r="Y124"/>
      <c r="Z124"/>
      <c r="AA124"/>
      <c r="AB124"/>
    </row>
    <row r="125" spans="2:28" ht="14.5" x14ac:dyDescent="0.35">
      <c r="B125"/>
      <c r="C125"/>
      <c r="D125"/>
      <c r="E125"/>
      <c r="F125"/>
      <c r="G125"/>
      <c r="H125"/>
      <c r="I125"/>
      <c r="J125"/>
      <c r="K125"/>
      <c r="L125"/>
      <c r="M125"/>
      <c r="N125"/>
      <c r="O125"/>
      <c r="P125"/>
      <c r="Q125"/>
      <c r="R125"/>
      <c r="S125"/>
      <c r="T125"/>
      <c r="U125"/>
      <c r="V125"/>
      <c r="W125"/>
      <c r="X125"/>
      <c r="Y125"/>
      <c r="Z125"/>
      <c r="AA125"/>
      <c r="AB125"/>
    </row>
    <row r="126" spans="2:28" ht="14.5" x14ac:dyDescent="0.35">
      <c r="B126"/>
      <c r="C126"/>
      <c r="D126"/>
      <c r="E126"/>
      <c r="F126"/>
      <c r="G126"/>
      <c r="H126"/>
      <c r="I126"/>
      <c r="J126"/>
      <c r="K126"/>
      <c r="L126"/>
      <c r="M126"/>
      <c r="N126"/>
      <c r="O126"/>
      <c r="P126"/>
      <c r="Q126"/>
      <c r="R126"/>
      <c r="S126"/>
      <c r="T126"/>
      <c r="U126"/>
      <c r="V126"/>
      <c r="W126"/>
      <c r="X126"/>
      <c r="Y126"/>
      <c r="Z126"/>
      <c r="AA126"/>
      <c r="AB126"/>
    </row>
    <row r="127" spans="2:28" ht="14.5" x14ac:dyDescent="0.35">
      <c r="B127"/>
      <c r="C127"/>
      <c r="D127"/>
      <c r="E127"/>
      <c r="F127"/>
      <c r="G127"/>
      <c r="H127"/>
      <c r="I127"/>
      <c r="J127"/>
      <c r="K127"/>
      <c r="L127"/>
      <c r="M127"/>
      <c r="N127"/>
      <c r="O127"/>
      <c r="P127"/>
      <c r="Q127"/>
      <c r="R127"/>
      <c r="S127"/>
      <c r="T127"/>
      <c r="U127"/>
      <c r="V127"/>
      <c r="W127"/>
      <c r="X127"/>
      <c r="Y127"/>
      <c r="Z127"/>
      <c r="AA127"/>
      <c r="AB127"/>
    </row>
    <row r="128" spans="2:28" ht="14.5" x14ac:dyDescent="0.35">
      <c r="B128"/>
      <c r="C128"/>
      <c r="D128"/>
      <c r="E128"/>
      <c r="F128"/>
      <c r="G128"/>
      <c r="H128"/>
      <c r="I128"/>
      <c r="J128"/>
      <c r="K128"/>
      <c r="L128"/>
      <c r="M128"/>
      <c r="N128"/>
      <c r="O128"/>
      <c r="P128"/>
      <c r="Q128"/>
      <c r="R128"/>
      <c r="S128"/>
      <c r="T128"/>
      <c r="U128"/>
      <c r="V128"/>
      <c r="W128"/>
      <c r="X128"/>
      <c r="Y128"/>
      <c r="Z128"/>
      <c r="AA128"/>
      <c r="AB128"/>
    </row>
    <row r="129" spans="2:28" ht="14.5" x14ac:dyDescent="0.35">
      <c r="B129"/>
      <c r="C129"/>
      <c r="D129"/>
      <c r="E129"/>
      <c r="F129"/>
      <c r="G129"/>
      <c r="H129"/>
      <c r="I129"/>
      <c r="J129"/>
      <c r="K129"/>
      <c r="L129"/>
      <c r="M129"/>
      <c r="N129"/>
      <c r="O129"/>
      <c r="P129"/>
      <c r="Q129"/>
      <c r="R129"/>
      <c r="S129"/>
      <c r="T129"/>
      <c r="U129"/>
      <c r="V129"/>
      <c r="W129"/>
      <c r="X129"/>
      <c r="Y129"/>
      <c r="Z129"/>
      <c r="AA129"/>
      <c r="AB129"/>
    </row>
    <row r="130" spans="2:28" ht="14.5" x14ac:dyDescent="0.35">
      <c r="B130"/>
      <c r="C130"/>
      <c r="D130"/>
      <c r="E130"/>
      <c r="F130"/>
      <c r="G130"/>
      <c r="H130"/>
      <c r="I130"/>
      <c r="J130"/>
      <c r="K130"/>
      <c r="L130"/>
      <c r="M130"/>
      <c r="N130"/>
      <c r="O130"/>
      <c r="P130"/>
      <c r="Q130"/>
      <c r="R130"/>
      <c r="S130"/>
      <c r="T130"/>
      <c r="U130"/>
      <c r="V130"/>
      <c r="W130"/>
      <c r="X130"/>
      <c r="Y130"/>
      <c r="Z130"/>
      <c r="AA130"/>
      <c r="AB130"/>
    </row>
    <row r="131" spans="2:28" ht="14.5" x14ac:dyDescent="0.35">
      <c r="B131"/>
      <c r="C131"/>
      <c r="D131"/>
      <c r="E131"/>
      <c r="F131"/>
      <c r="G131"/>
      <c r="H131"/>
      <c r="I131"/>
      <c r="J131"/>
      <c r="K131"/>
      <c r="L131"/>
      <c r="M131"/>
      <c r="N131"/>
      <c r="O131"/>
      <c r="P131"/>
      <c r="Q131"/>
      <c r="R131"/>
      <c r="S131"/>
      <c r="T131"/>
      <c r="U131"/>
      <c r="V131"/>
      <c r="W131"/>
      <c r="X131"/>
      <c r="Y131"/>
      <c r="Z131"/>
      <c r="AA131"/>
      <c r="AB131"/>
    </row>
    <row r="132" spans="2:28" ht="14.5" x14ac:dyDescent="0.35">
      <c r="B132"/>
      <c r="C132"/>
      <c r="D132"/>
      <c r="E132"/>
      <c r="F132"/>
      <c r="G132"/>
      <c r="H132"/>
      <c r="I132"/>
      <c r="J132"/>
      <c r="K132"/>
      <c r="L132"/>
      <c r="M132"/>
      <c r="N132"/>
      <c r="O132"/>
      <c r="P132"/>
      <c r="Q132"/>
      <c r="R132"/>
      <c r="S132"/>
      <c r="T132"/>
      <c r="U132"/>
      <c r="V132"/>
      <c r="W132"/>
      <c r="X132"/>
      <c r="Y132"/>
      <c r="Z132"/>
      <c r="AA132"/>
      <c r="AB132"/>
    </row>
    <row r="133" spans="2:28" ht="14.5" x14ac:dyDescent="0.35">
      <c r="B133"/>
      <c r="C133"/>
      <c r="D133"/>
      <c r="E133"/>
      <c r="F133"/>
      <c r="G133"/>
      <c r="H133"/>
      <c r="I133"/>
      <c r="J133"/>
      <c r="K133"/>
      <c r="L133"/>
      <c r="M133"/>
      <c r="N133"/>
      <c r="O133"/>
      <c r="P133"/>
      <c r="Q133"/>
      <c r="R133"/>
      <c r="S133"/>
      <c r="T133"/>
      <c r="U133"/>
      <c r="V133"/>
      <c r="W133"/>
      <c r="X133"/>
      <c r="Y133"/>
      <c r="Z133"/>
      <c r="AA133"/>
      <c r="AB133"/>
    </row>
    <row r="134" spans="2:28" ht="14.5" x14ac:dyDescent="0.35">
      <c r="B134"/>
      <c r="C134"/>
      <c r="D134"/>
      <c r="E134"/>
      <c r="F134"/>
      <c r="G134"/>
      <c r="H134"/>
      <c r="I134"/>
      <c r="J134"/>
      <c r="K134"/>
      <c r="L134"/>
      <c r="M134"/>
      <c r="N134"/>
      <c r="O134"/>
      <c r="P134"/>
      <c r="Q134"/>
      <c r="R134"/>
      <c r="S134"/>
      <c r="T134"/>
      <c r="U134"/>
      <c r="V134"/>
      <c r="W134"/>
      <c r="X134"/>
      <c r="Y134"/>
      <c r="Z134"/>
      <c r="AA134"/>
      <c r="AB134"/>
    </row>
    <row r="135" spans="2:28" ht="14.5" x14ac:dyDescent="0.35">
      <c r="B135"/>
      <c r="C135"/>
      <c r="D135"/>
      <c r="E135"/>
      <c r="F135"/>
      <c r="G135"/>
      <c r="H135"/>
      <c r="I135"/>
      <c r="J135"/>
      <c r="K135"/>
      <c r="L135"/>
      <c r="M135"/>
      <c r="N135"/>
      <c r="O135"/>
      <c r="P135"/>
      <c r="Q135"/>
      <c r="R135"/>
      <c r="S135"/>
      <c r="T135"/>
      <c r="U135"/>
      <c r="V135"/>
      <c r="W135"/>
      <c r="X135"/>
      <c r="Y135"/>
      <c r="Z135"/>
      <c r="AA135"/>
      <c r="AB135"/>
    </row>
    <row r="136" spans="2:28" ht="18.5" customHeight="1" x14ac:dyDescent="0.35">
      <c r="B136"/>
      <c r="C136"/>
      <c r="D136"/>
      <c r="E136"/>
      <c r="F136"/>
      <c r="G136"/>
      <c r="H136"/>
      <c r="I136"/>
      <c r="J136"/>
      <c r="K136"/>
      <c r="L136"/>
      <c r="M136"/>
      <c r="N136"/>
      <c r="O136"/>
      <c r="P136"/>
      <c r="Q136"/>
      <c r="R136"/>
      <c r="S136"/>
      <c r="T136"/>
      <c r="U136"/>
      <c r="V136"/>
      <c r="W136"/>
      <c r="X136"/>
      <c r="Y136"/>
      <c r="Z136"/>
      <c r="AA136"/>
      <c r="AB136"/>
    </row>
    <row r="137" spans="2:28" ht="18.5" customHeight="1" x14ac:dyDescent="0.35">
      <c r="B137"/>
      <c r="C137"/>
      <c r="D137"/>
      <c r="E137"/>
      <c r="F137"/>
      <c r="G137"/>
      <c r="H137"/>
      <c r="I137"/>
      <c r="J137"/>
      <c r="K137"/>
      <c r="L137"/>
      <c r="M137"/>
      <c r="N137"/>
      <c r="O137"/>
      <c r="P137"/>
      <c r="Q137"/>
      <c r="R137"/>
      <c r="S137"/>
      <c r="T137"/>
      <c r="U137"/>
      <c r="V137"/>
      <c r="W137"/>
      <c r="X137"/>
      <c r="Y137"/>
      <c r="Z137"/>
      <c r="AA137"/>
      <c r="AB137"/>
    </row>
    <row r="138" spans="2:28" ht="14.5" x14ac:dyDescent="0.35">
      <c r="B138"/>
      <c r="C138"/>
      <c r="D138"/>
      <c r="E138"/>
      <c r="F138"/>
      <c r="G138"/>
      <c r="H138"/>
      <c r="I138"/>
      <c r="J138"/>
      <c r="K138"/>
      <c r="L138"/>
      <c r="M138"/>
      <c r="N138"/>
      <c r="O138"/>
      <c r="P138"/>
      <c r="Q138"/>
      <c r="R138"/>
      <c r="S138"/>
      <c r="T138"/>
      <c r="U138"/>
      <c r="V138"/>
      <c r="W138"/>
      <c r="X138"/>
      <c r="Y138"/>
      <c r="Z138"/>
      <c r="AA138"/>
      <c r="AB138"/>
    </row>
    <row r="139" spans="2:28" ht="14.5" x14ac:dyDescent="0.35">
      <c r="B139"/>
      <c r="C139"/>
      <c r="D139"/>
      <c r="E139"/>
      <c r="F139"/>
      <c r="G139"/>
      <c r="H139"/>
      <c r="I139"/>
      <c r="J139"/>
      <c r="K139"/>
      <c r="L139"/>
      <c r="M139"/>
      <c r="N139"/>
      <c r="O139"/>
      <c r="P139"/>
      <c r="Q139"/>
      <c r="R139"/>
      <c r="S139"/>
      <c r="T139"/>
      <c r="U139"/>
      <c r="V139"/>
      <c r="W139"/>
      <c r="X139"/>
      <c r="Y139"/>
      <c r="Z139"/>
      <c r="AA139"/>
      <c r="AB139"/>
    </row>
    <row r="140" spans="2:28" ht="14.5" x14ac:dyDescent="0.35">
      <c r="B140"/>
      <c r="C140"/>
      <c r="D140"/>
      <c r="E140"/>
      <c r="F140"/>
      <c r="G140"/>
      <c r="H140"/>
      <c r="I140"/>
      <c r="J140"/>
      <c r="K140"/>
      <c r="L140"/>
      <c r="M140"/>
      <c r="N140"/>
      <c r="O140"/>
      <c r="P140"/>
      <c r="Q140"/>
      <c r="R140"/>
      <c r="S140"/>
      <c r="T140"/>
      <c r="U140"/>
      <c r="V140"/>
      <c r="W140"/>
      <c r="X140"/>
      <c r="Y140"/>
      <c r="Z140"/>
      <c r="AA140"/>
      <c r="AB140"/>
    </row>
    <row r="141" spans="2:28" ht="14.5" x14ac:dyDescent="0.35">
      <c r="B141"/>
      <c r="C141"/>
      <c r="D141"/>
      <c r="E141"/>
      <c r="F141"/>
      <c r="G141"/>
      <c r="H141"/>
      <c r="I141"/>
      <c r="J141"/>
      <c r="K141"/>
      <c r="L141"/>
      <c r="M141"/>
      <c r="N141"/>
      <c r="O141"/>
      <c r="P141"/>
      <c r="Q141"/>
      <c r="R141"/>
      <c r="S141"/>
      <c r="T141"/>
      <c r="U141"/>
      <c r="V141"/>
      <c r="W141"/>
      <c r="X141"/>
      <c r="Y141"/>
      <c r="Z141"/>
      <c r="AA141"/>
      <c r="AB141"/>
    </row>
    <row r="179" spans="3:7" ht="14.5" thickBot="1" x14ac:dyDescent="0.35"/>
    <row r="180" spans="3:7" ht="14.5" thickBot="1" x14ac:dyDescent="0.35">
      <c r="C180" s="1022">
        <v>2016</v>
      </c>
      <c r="D180" s="1023"/>
      <c r="E180" s="1023"/>
      <c r="F180" s="1023"/>
      <c r="G180" s="1024"/>
    </row>
    <row r="181" spans="3:7" ht="17.5" thickBot="1" x14ac:dyDescent="0.5">
      <c r="C181" s="251" t="s">
        <v>937</v>
      </c>
      <c r="D181" s="213" t="s">
        <v>938</v>
      </c>
      <c r="E181" s="213" t="s">
        <v>939</v>
      </c>
      <c r="F181" s="214" t="s">
        <v>940</v>
      </c>
      <c r="G181" s="252" t="s">
        <v>195</v>
      </c>
    </row>
    <row r="182" spans="3:7" x14ac:dyDescent="0.3">
      <c r="C182" s="99"/>
      <c r="F182" s="220"/>
      <c r="G182" s="250"/>
    </row>
    <row r="183" spans="3:7" x14ac:dyDescent="0.3">
      <c r="C183" s="99"/>
      <c r="D183" s="99"/>
      <c r="E183" s="99"/>
      <c r="F183" s="99"/>
      <c r="G183" s="253"/>
    </row>
    <row r="184" spans="3:7" x14ac:dyDescent="0.3">
      <c r="C184" s="254">
        <v>61120</v>
      </c>
      <c r="D184" s="46">
        <v>70910</v>
      </c>
      <c r="E184" s="46">
        <v>58840</v>
      </c>
      <c r="F184" s="258">
        <v>124110</v>
      </c>
      <c r="G184" s="255">
        <f t="shared" ref="G184:G196" si="57">(SUM(C184:F184))</f>
        <v>314980</v>
      </c>
    </row>
    <row r="185" spans="3:7" x14ac:dyDescent="0.3">
      <c r="C185" s="99">
        <v>9.2000000000000011</v>
      </c>
      <c r="D185" s="17">
        <v>11.6</v>
      </c>
      <c r="E185" s="17">
        <v>10</v>
      </c>
      <c r="F185" s="220">
        <v>19.3</v>
      </c>
      <c r="G185" s="255">
        <f t="shared" si="57"/>
        <v>50.1</v>
      </c>
    </row>
    <row r="186" spans="3:7" x14ac:dyDescent="0.3">
      <c r="C186" s="254">
        <v>66430</v>
      </c>
      <c r="D186" s="46">
        <v>61130</v>
      </c>
      <c r="E186" s="46">
        <v>58890</v>
      </c>
      <c r="F186" s="258">
        <v>64240</v>
      </c>
      <c r="G186" s="255">
        <f t="shared" si="57"/>
        <v>250690</v>
      </c>
    </row>
    <row r="187" spans="3:7" x14ac:dyDescent="0.3">
      <c r="C187" s="254">
        <v>103730</v>
      </c>
      <c r="D187" s="46">
        <v>94130</v>
      </c>
      <c r="E187" s="46">
        <v>93470</v>
      </c>
      <c r="F187" s="258">
        <v>103800</v>
      </c>
      <c r="G187" s="255">
        <f t="shared" si="57"/>
        <v>395130</v>
      </c>
    </row>
    <row r="188" spans="3:7" x14ac:dyDescent="0.3">
      <c r="C188" s="99">
        <v>2.6</v>
      </c>
      <c r="D188" s="17">
        <v>4.3</v>
      </c>
      <c r="E188" s="17">
        <v>2.4</v>
      </c>
      <c r="F188" s="220">
        <v>4</v>
      </c>
      <c r="G188" s="255">
        <f t="shared" si="57"/>
        <v>13.3</v>
      </c>
    </row>
    <row r="189" spans="3:7" x14ac:dyDescent="0.3">
      <c r="C189" s="99">
        <v>1.2</v>
      </c>
      <c r="D189" s="17">
        <v>16.899999999999999</v>
      </c>
      <c r="E189" s="17">
        <v>0.6</v>
      </c>
      <c r="F189" s="220">
        <v>29.1</v>
      </c>
      <c r="G189" s="255">
        <f t="shared" si="57"/>
        <v>47.8</v>
      </c>
    </row>
    <row r="190" spans="3:7" x14ac:dyDescent="0.3">
      <c r="C190" s="99" t="s">
        <v>40</v>
      </c>
      <c r="D190" s="17">
        <v>22.799999999999997</v>
      </c>
      <c r="E190" s="17">
        <v>15.5</v>
      </c>
      <c r="F190" s="220">
        <v>45.199999999999996</v>
      </c>
      <c r="G190" s="255">
        <f t="shared" si="57"/>
        <v>83.5</v>
      </c>
    </row>
    <row r="191" spans="3:7" x14ac:dyDescent="0.3">
      <c r="C191" s="99">
        <v>0</v>
      </c>
      <c r="D191" s="17">
        <v>0</v>
      </c>
      <c r="E191" s="17">
        <v>0</v>
      </c>
      <c r="F191" s="220">
        <v>0</v>
      </c>
      <c r="G191" s="255">
        <f t="shared" si="57"/>
        <v>0</v>
      </c>
    </row>
    <row r="192" spans="3:7" x14ac:dyDescent="0.3">
      <c r="C192" s="254">
        <v>52660</v>
      </c>
      <c r="D192" s="46">
        <v>60510</v>
      </c>
      <c r="E192" s="46">
        <v>51230</v>
      </c>
      <c r="F192" s="258">
        <v>98890</v>
      </c>
      <c r="G192" s="255">
        <f t="shared" si="57"/>
        <v>263290</v>
      </c>
    </row>
    <row r="193" spans="3:7" x14ac:dyDescent="0.3">
      <c r="C193" s="99">
        <v>8</v>
      </c>
      <c r="D193" s="17">
        <v>10.199999999999999</v>
      </c>
      <c r="E193" s="17">
        <v>9</v>
      </c>
      <c r="F193" s="220">
        <v>15.3</v>
      </c>
      <c r="G193" s="255">
        <f t="shared" si="57"/>
        <v>42.5</v>
      </c>
    </row>
    <row r="194" spans="3:7" x14ac:dyDescent="0.3">
      <c r="C194" s="254">
        <v>100340</v>
      </c>
      <c r="D194" s="46">
        <v>77550</v>
      </c>
      <c r="E194" s="46">
        <v>79760</v>
      </c>
      <c r="F194" s="258">
        <v>86240</v>
      </c>
      <c r="G194" s="255">
        <f t="shared" si="57"/>
        <v>343890</v>
      </c>
    </row>
    <row r="195" spans="3:7" x14ac:dyDescent="0.3">
      <c r="C195" s="99">
        <v>0.4</v>
      </c>
      <c r="D195" s="46">
        <v>0.5</v>
      </c>
      <c r="E195" s="17">
        <v>1.5</v>
      </c>
      <c r="F195" s="220">
        <v>1.7000000000000002</v>
      </c>
      <c r="G195" s="255">
        <f t="shared" si="57"/>
        <v>4.0999999999999996</v>
      </c>
    </row>
    <row r="196" spans="3:7" ht="14.5" thickBot="1" x14ac:dyDescent="0.35">
      <c r="C196" s="256">
        <v>13120</v>
      </c>
      <c r="D196" s="257">
        <v>10020</v>
      </c>
      <c r="E196" s="257">
        <v>12150</v>
      </c>
      <c r="F196" s="259">
        <v>12610</v>
      </c>
      <c r="G196" s="255">
        <f t="shared" si="57"/>
        <v>47900</v>
      </c>
    </row>
  </sheetData>
  <mergeCells count="22">
    <mergeCell ref="AZ6:BD6"/>
    <mergeCell ref="AU6:AX6"/>
    <mergeCell ref="AF7:AI7"/>
    <mergeCell ref="AK7:AN7"/>
    <mergeCell ref="AP7:AS7"/>
    <mergeCell ref="AU7:AX7"/>
    <mergeCell ref="C180:G180"/>
    <mergeCell ref="BE8:BF8"/>
    <mergeCell ref="W6:AA6"/>
    <mergeCell ref="C6:G6"/>
    <mergeCell ref="H6:L6"/>
    <mergeCell ref="M6:Q6"/>
    <mergeCell ref="R6:U6"/>
    <mergeCell ref="M7:P7"/>
    <mergeCell ref="H7:K7"/>
    <mergeCell ref="C7:F7"/>
    <mergeCell ref="W7:Z7"/>
    <mergeCell ref="R7:U7"/>
    <mergeCell ref="AF6:AJ6"/>
    <mergeCell ref="AK6:AO6"/>
    <mergeCell ref="AP6:AT6"/>
    <mergeCell ref="AZ7:B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443"/>
  <sheetViews>
    <sheetView showGridLines="0" topLeftCell="B1" zoomScale="98" zoomScaleNormal="98" workbookViewId="0">
      <selection activeCell="C2" sqref="C2:I2"/>
    </sheetView>
  </sheetViews>
  <sheetFormatPr defaultColWidth="13.7265625" defaultRowHeight="14" x14ac:dyDescent="0.3"/>
  <cols>
    <col min="1" max="2" width="13.7265625" style="17"/>
    <col min="3" max="3" width="69.1796875" style="17" customWidth="1"/>
    <col min="4" max="16384" width="13.7265625" style="17"/>
  </cols>
  <sheetData>
    <row r="1" spans="1:23" ht="14.5" x14ac:dyDescent="0.35">
      <c r="K1"/>
      <c r="L1"/>
      <c r="M1"/>
      <c r="N1"/>
      <c r="O1"/>
      <c r="P1"/>
      <c r="R1" s="1009" t="s">
        <v>684</v>
      </c>
      <c r="S1" s="1009"/>
      <c r="T1" s="1009"/>
      <c r="U1" s="1009"/>
      <c r="V1" s="1009"/>
      <c r="W1" s="1009"/>
    </row>
    <row r="2" spans="1:23" ht="17.5" x14ac:dyDescent="0.35">
      <c r="C2" s="1151" t="s">
        <v>1207</v>
      </c>
      <c r="D2" s="1151"/>
      <c r="E2" s="1151"/>
      <c r="F2" s="1151"/>
      <c r="G2" s="1151"/>
      <c r="H2" s="1151"/>
      <c r="I2" s="1151"/>
      <c r="K2"/>
      <c r="L2"/>
      <c r="M2"/>
      <c r="N2"/>
      <c r="O2"/>
      <c r="P2"/>
      <c r="R2" s="27"/>
      <c r="S2" s="27"/>
      <c r="T2" s="27"/>
      <c r="U2" s="27"/>
      <c r="V2" s="27"/>
      <c r="W2" s="27"/>
    </row>
    <row r="3" spans="1:23" ht="14.5" x14ac:dyDescent="0.35">
      <c r="K3"/>
      <c r="L3"/>
      <c r="M3"/>
      <c r="N3"/>
      <c r="O3"/>
      <c r="P3"/>
      <c r="R3" s="27"/>
      <c r="S3" s="27"/>
      <c r="T3" s="27"/>
      <c r="U3" s="27"/>
      <c r="V3" s="27"/>
      <c r="W3" s="27"/>
    </row>
    <row r="4" spans="1:23" ht="23.25" customHeight="1" x14ac:dyDescent="0.35">
      <c r="C4" s="1082" t="s">
        <v>681</v>
      </c>
      <c r="D4" s="1082"/>
      <c r="E4" s="1082"/>
      <c r="F4" s="1082"/>
      <c r="G4" s="1082"/>
      <c r="H4" s="1082"/>
      <c r="I4" s="1082"/>
      <c r="J4"/>
      <c r="K4"/>
      <c r="L4"/>
      <c r="M4"/>
      <c r="N4"/>
      <c r="O4"/>
      <c r="P4"/>
      <c r="R4" s="1110" t="s">
        <v>553</v>
      </c>
      <c r="S4" s="1111"/>
      <c r="T4" s="1111"/>
      <c r="U4" s="1111"/>
      <c r="V4" s="1111"/>
      <c r="W4" s="1111"/>
    </row>
    <row r="5" spans="1:23" ht="14.5" x14ac:dyDescent="0.35">
      <c r="C5" s="22" t="s">
        <v>49</v>
      </c>
      <c r="D5" s="22" t="s">
        <v>50</v>
      </c>
      <c r="E5" s="284" t="s">
        <v>931</v>
      </c>
      <c r="F5" s="284" t="s">
        <v>410</v>
      </c>
      <c r="G5" s="284" t="s">
        <v>152</v>
      </c>
      <c r="H5" s="284" t="s">
        <v>153</v>
      </c>
      <c r="I5" s="284" t="s">
        <v>868</v>
      </c>
      <c r="K5"/>
      <c r="L5"/>
      <c r="M5"/>
      <c r="N5"/>
      <c r="O5"/>
      <c r="P5"/>
      <c r="R5" s="1110" t="s">
        <v>558</v>
      </c>
      <c r="S5" s="1111"/>
      <c r="T5" s="1111"/>
      <c r="U5" s="1111"/>
      <c r="V5" s="1111"/>
      <c r="W5" s="1111"/>
    </row>
    <row r="6" spans="1:23" ht="14.5" x14ac:dyDescent="0.35">
      <c r="C6" s="22" t="s">
        <v>53</v>
      </c>
      <c r="D6" s="19"/>
      <c r="E6" s="285"/>
      <c r="F6" s="285"/>
      <c r="G6" s="19"/>
      <c r="H6" s="19"/>
      <c r="I6" s="19"/>
      <c r="K6"/>
      <c r="L6"/>
      <c r="M6"/>
      <c r="N6"/>
      <c r="O6"/>
      <c r="P6"/>
      <c r="R6" s="1110" t="s">
        <v>559</v>
      </c>
      <c r="S6" s="1111"/>
      <c r="T6" s="1111"/>
      <c r="U6" s="1111"/>
      <c r="V6" s="1111"/>
      <c r="W6" s="1111"/>
    </row>
    <row r="7" spans="1:23" ht="14.5" x14ac:dyDescent="0.35">
      <c r="C7" s="286" t="s">
        <v>51</v>
      </c>
      <c r="D7" s="19"/>
      <c r="E7" s="285"/>
      <c r="F7" s="19"/>
      <c r="G7" s="19"/>
      <c r="H7" s="19"/>
      <c r="I7" s="19"/>
      <c r="K7"/>
      <c r="L7"/>
      <c r="M7"/>
      <c r="N7"/>
      <c r="O7"/>
      <c r="P7"/>
      <c r="R7" s="1110" t="s">
        <v>560</v>
      </c>
      <c r="S7" s="1111"/>
      <c r="T7" s="1111"/>
      <c r="U7" s="1111"/>
      <c r="V7" s="1111"/>
      <c r="W7" s="1111"/>
    </row>
    <row r="8" spans="1:23" ht="14.5" x14ac:dyDescent="0.35">
      <c r="A8" s="287"/>
      <c r="C8" s="19" t="s">
        <v>43</v>
      </c>
      <c r="D8" s="19"/>
      <c r="E8" s="288">
        <v>43819</v>
      </c>
      <c r="F8" s="289">
        <v>34762</v>
      </c>
      <c r="G8" s="19">
        <v>40484</v>
      </c>
      <c r="H8" s="19">
        <v>33637</v>
      </c>
      <c r="I8" s="19">
        <v>58865</v>
      </c>
      <c r="K8"/>
      <c r="L8"/>
      <c r="M8"/>
      <c r="N8"/>
      <c r="O8"/>
      <c r="P8"/>
      <c r="R8" s="1111" t="s">
        <v>562</v>
      </c>
      <c r="S8" s="1111"/>
      <c r="T8" s="1111"/>
      <c r="U8" s="1111"/>
      <c r="V8" s="1111"/>
      <c r="W8" s="1111"/>
    </row>
    <row r="9" spans="1:23" ht="14.5" x14ac:dyDescent="0.35">
      <c r="C9" s="286" t="s">
        <v>42</v>
      </c>
      <c r="D9" s="19"/>
      <c r="E9" s="19"/>
      <c r="F9" s="19"/>
      <c r="G9" s="19"/>
      <c r="H9" s="19"/>
      <c r="I9" s="19"/>
      <c r="K9"/>
      <c r="L9"/>
      <c r="M9"/>
      <c r="N9"/>
      <c r="O9"/>
      <c r="P9"/>
      <c r="R9" s="1111" t="s">
        <v>561</v>
      </c>
      <c r="S9" s="1111"/>
      <c r="T9" s="1111"/>
      <c r="U9" s="1111"/>
      <c r="V9" s="1111"/>
      <c r="W9" s="1111"/>
    </row>
    <row r="10" spans="1:23" ht="14.5" x14ac:dyDescent="0.35">
      <c r="C10" s="290" t="s">
        <v>52</v>
      </c>
      <c r="D10" s="19"/>
      <c r="E10" s="19">
        <v>92</v>
      </c>
      <c r="F10" s="19">
        <v>15</v>
      </c>
      <c r="G10" s="19">
        <v>0</v>
      </c>
      <c r="H10" s="19">
        <v>225</v>
      </c>
      <c r="I10" s="19">
        <v>43</v>
      </c>
      <c r="K10"/>
      <c r="L10"/>
      <c r="M10"/>
      <c r="N10"/>
      <c r="O10"/>
      <c r="P10"/>
      <c r="R10" s="1111" t="s">
        <v>566</v>
      </c>
      <c r="S10" s="1111"/>
      <c r="T10" s="1111"/>
      <c r="U10" s="1111"/>
      <c r="V10" s="1111"/>
      <c r="W10" s="1111"/>
    </row>
    <row r="11" spans="1:23" ht="14.5" x14ac:dyDescent="0.35">
      <c r="C11" s="19" t="s">
        <v>797</v>
      </c>
      <c r="D11" s="19"/>
      <c r="E11" s="19">
        <v>5060</v>
      </c>
      <c r="F11" s="19">
        <v>5168</v>
      </c>
      <c r="G11" s="19">
        <v>5263</v>
      </c>
      <c r="H11" s="107">
        <f>E32</f>
        <v>7106</v>
      </c>
      <c r="I11" s="107">
        <f>F32</f>
        <v>9002</v>
      </c>
      <c r="K11"/>
      <c r="L11"/>
      <c r="M11"/>
      <c r="N11"/>
      <c r="O11"/>
      <c r="P11"/>
      <c r="R11" s="1111" t="s">
        <v>567</v>
      </c>
      <c r="S11" s="1111"/>
      <c r="T11" s="1111"/>
      <c r="U11" s="1111"/>
      <c r="V11" s="1111"/>
      <c r="W11" s="1111"/>
    </row>
    <row r="12" spans="1:23" ht="14.5" x14ac:dyDescent="0.35">
      <c r="C12" s="19" t="s">
        <v>45</v>
      </c>
      <c r="D12" s="19"/>
      <c r="E12" s="19">
        <v>5720</v>
      </c>
      <c r="F12" s="19">
        <v>7492</v>
      </c>
      <c r="G12" s="19">
        <v>8508</v>
      </c>
      <c r="H12" s="19"/>
      <c r="I12" s="19"/>
      <c r="K12"/>
      <c r="L12"/>
      <c r="M12"/>
      <c r="N12"/>
      <c r="O12"/>
      <c r="P12"/>
      <c r="R12" s="1115" t="s">
        <v>570</v>
      </c>
      <c r="S12" s="1115"/>
      <c r="T12" s="1115"/>
      <c r="U12" s="1115"/>
      <c r="V12" s="1115"/>
      <c r="W12" s="1115"/>
    </row>
    <row r="13" spans="1:23" ht="14.5" x14ac:dyDescent="0.35">
      <c r="C13" s="19" t="s">
        <v>44</v>
      </c>
      <c r="D13" s="19"/>
      <c r="E13" s="19">
        <v>619</v>
      </c>
      <c r="F13" s="19">
        <v>308</v>
      </c>
      <c r="G13" s="19">
        <v>731</v>
      </c>
      <c r="H13" s="19">
        <v>979</v>
      </c>
      <c r="I13" s="19">
        <v>1061</v>
      </c>
      <c r="K13"/>
      <c r="L13"/>
      <c r="M13"/>
      <c r="N13"/>
      <c r="O13"/>
      <c r="P13"/>
      <c r="R13" s="1115" t="s">
        <v>571</v>
      </c>
      <c r="S13" s="1115"/>
      <c r="T13" s="1115"/>
      <c r="U13" s="1115"/>
      <c r="V13" s="1115"/>
      <c r="W13" s="1115"/>
    </row>
    <row r="14" spans="1:23" x14ac:dyDescent="0.3">
      <c r="C14" s="19" t="s">
        <v>46</v>
      </c>
      <c r="D14" s="19"/>
      <c r="E14" s="19"/>
      <c r="F14" s="19">
        <v>0</v>
      </c>
      <c r="G14" s="19">
        <v>0</v>
      </c>
      <c r="H14" s="19">
        <v>0</v>
      </c>
      <c r="I14" s="19"/>
      <c r="R14" s="1115" t="s">
        <v>572</v>
      </c>
      <c r="S14" s="1115"/>
      <c r="T14" s="1115"/>
      <c r="U14" s="1115"/>
      <c r="V14" s="1115"/>
      <c r="W14" s="1115"/>
    </row>
    <row r="15" spans="1:23" x14ac:dyDescent="0.3">
      <c r="C15" s="19" t="s">
        <v>47</v>
      </c>
      <c r="D15" s="19"/>
      <c r="E15" s="19"/>
      <c r="F15" s="19">
        <v>0</v>
      </c>
      <c r="G15" s="19">
        <v>0</v>
      </c>
      <c r="H15" s="19">
        <v>0</v>
      </c>
      <c r="I15" s="19"/>
      <c r="R15" s="1115" t="s">
        <v>573</v>
      </c>
      <c r="S15" s="1115"/>
      <c r="T15" s="1115"/>
      <c r="U15" s="1115"/>
      <c r="V15" s="1115"/>
      <c r="W15" s="1115"/>
    </row>
    <row r="16" spans="1:23" x14ac:dyDescent="0.3">
      <c r="C16" s="291" t="s">
        <v>48</v>
      </c>
      <c r="D16" s="19"/>
      <c r="E16" s="19"/>
      <c r="F16" s="19">
        <v>0</v>
      </c>
      <c r="G16" s="19">
        <v>0</v>
      </c>
      <c r="H16" s="19">
        <v>0</v>
      </c>
      <c r="I16" s="19"/>
      <c r="R16" s="1118" t="s">
        <v>613</v>
      </c>
      <c r="S16" s="1118"/>
      <c r="T16" s="1118"/>
      <c r="U16" s="1118"/>
      <c r="V16" s="1118"/>
      <c r="W16" s="1118"/>
    </row>
    <row r="17" spans="3:23" x14ac:dyDescent="0.3">
      <c r="C17" s="291" t="s">
        <v>798</v>
      </c>
      <c r="D17" s="19"/>
      <c r="E17" s="19"/>
      <c r="F17" s="19"/>
      <c r="G17" s="19"/>
      <c r="H17" s="107">
        <f t="shared" ref="H17:I17" si="0">E41</f>
        <v>9772</v>
      </c>
      <c r="I17" s="107">
        <f t="shared" si="0"/>
        <v>12277</v>
      </c>
      <c r="R17" s="292"/>
      <c r="S17" s="292"/>
      <c r="T17" s="292"/>
      <c r="U17" s="292"/>
      <c r="V17" s="292"/>
      <c r="W17" s="292"/>
    </row>
    <row r="18" spans="3:23" ht="14.5" x14ac:dyDescent="0.35">
      <c r="C18" s="19"/>
      <c r="D18" s="19"/>
      <c r="E18" s="293">
        <f t="shared" ref="E18:G18" si="1">SUM(E6:E16)</f>
        <v>55310</v>
      </c>
      <c r="F18" s="22">
        <f t="shared" si="1"/>
        <v>47745</v>
      </c>
      <c r="G18" s="22">
        <f t="shared" si="1"/>
        <v>54986</v>
      </c>
      <c r="H18" s="22">
        <f>SUM(H8:H17)</f>
        <v>51719</v>
      </c>
      <c r="I18" s="22">
        <f>SUM(I8:I17)</f>
        <v>81248</v>
      </c>
      <c r="K18" s="1009"/>
      <c r="L18" s="1009"/>
      <c r="M18" s="1009"/>
      <c r="N18" s="1009"/>
      <c r="O18" s="1009"/>
      <c r="P18" s="1009"/>
      <c r="R18"/>
      <c r="S18"/>
      <c r="T18"/>
      <c r="U18"/>
      <c r="V18"/>
      <c r="W18"/>
    </row>
    <row r="19" spans="3:23" ht="14.5" x14ac:dyDescent="0.35">
      <c r="E19" s="294"/>
      <c r="F19" s="54"/>
      <c r="G19" s="54"/>
      <c r="H19" s="54"/>
      <c r="I19" s="54"/>
      <c r="K19" s="27"/>
      <c r="L19" s="27"/>
      <c r="M19" s="27"/>
      <c r="N19" s="27"/>
      <c r="O19" s="27"/>
      <c r="P19" s="27"/>
      <c r="R19"/>
      <c r="S19"/>
      <c r="T19"/>
      <c r="U19"/>
      <c r="V19"/>
      <c r="W19"/>
    </row>
    <row r="20" spans="3:23" ht="14.5" x14ac:dyDescent="0.35">
      <c r="C20" s="27"/>
      <c r="E20" s="294"/>
      <c r="F20" s="54"/>
      <c r="G20" s="54"/>
      <c r="H20" s="54"/>
      <c r="I20" s="54"/>
      <c r="K20" s="27"/>
      <c r="L20" s="27"/>
      <c r="M20" s="27"/>
      <c r="N20" s="27"/>
      <c r="O20" s="27"/>
      <c r="P20" s="27"/>
      <c r="R20"/>
      <c r="S20"/>
      <c r="T20"/>
      <c r="U20"/>
      <c r="V20"/>
      <c r="W20"/>
    </row>
    <row r="21" spans="3:23" ht="14.5" x14ac:dyDescent="0.35">
      <c r="C21" s="1083" t="s">
        <v>812</v>
      </c>
      <c r="D21" s="1083"/>
      <c r="E21" s="1083"/>
      <c r="F21" s="1083"/>
      <c r="G21" s="54"/>
      <c r="H21" s="54"/>
      <c r="I21" s="54"/>
      <c r="K21" s="27"/>
      <c r="L21" s="27"/>
      <c r="M21" s="27"/>
      <c r="N21" s="27"/>
      <c r="O21" s="27"/>
      <c r="P21" s="27"/>
      <c r="R21"/>
      <c r="S21"/>
      <c r="T21"/>
      <c r="U21"/>
      <c r="V21"/>
      <c r="W21"/>
    </row>
    <row r="22" spans="3:23" ht="14.5" x14ac:dyDescent="0.35">
      <c r="C22" s="22" t="s">
        <v>49</v>
      </c>
      <c r="D22" s="22" t="s">
        <v>50</v>
      </c>
      <c r="E22" s="295">
        <v>2019</v>
      </c>
      <c r="F22" s="22">
        <v>2020</v>
      </c>
      <c r="G22" s="54"/>
      <c r="H22" s="54"/>
      <c r="I22" s="54"/>
      <c r="K22" s="27"/>
      <c r="L22" s="27"/>
      <c r="M22" s="27"/>
      <c r="N22" s="27"/>
      <c r="O22" s="27"/>
      <c r="P22" s="27"/>
      <c r="R22"/>
      <c r="S22"/>
      <c r="T22"/>
      <c r="U22"/>
      <c r="V22"/>
      <c r="W22"/>
    </row>
    <row r="23" spans="3:23" ht="14.5" x14ac:dyDescent="0.35">
      <c r="C23" s="19" t="s">
        <v>799</v>
      </c>
      <c r="D23" s="19"/>
      <c r="E23" s="107">
        <v>2993</v>
      </c>
      <c r="F23" s="107">
        <v>4463</v>
      </c>
      <c r="G23" s="54"/>
      <c r="H23" s="54"/>
      <c r="I23" s="54"/>
      <c r="K23" s="27"/>
      <c r="L23" s="27"/>
      <c r="M23" s="27"/>
      <c r="N23" s="27"/>
      <c r="O23" s="27"/>
      <c r="P23" s="27"/>
      <c r="R23"/>
      <c r="S23"/>
      <c r="T23"/>
      <c r="U23"/>
      <c r="V23"/>
      <c r="W23"/>
    </row>
    <row r="24" spans="3:23" ht="14.5" x14ac:dyDescent="0.35">
      <c r="C24" s="19" t="s">
        <v>800</v>
      </c>
      <c r="D24" s="19"/>
      <c r="E24" s="107">
        <v>309</v>
      </c>
      <c r="F24" s="19">
        <v>498</v>
      </c>
      <c r="G24" s="54"/>
      <c r="H24" s="54"/>
      <c r="I24" s="54"/>
      <c r="K24" s="27"/>
      <c r="L24" s="27"/>
      <c r="M24" s="27"/>
      <c r="N24" s="27"/>
      <c r="O24" s="27"/>
      <c r="P24" s="27"/>
      <c r="R24"/>
      <c r="S24"/>
      <c r="T24"/>
      <c r="U24"/>
      <c r="V24"/>
      <c r="W24"/>
    </row>
    <row r="25" spans="3:23" ht="14.5" x14ac:dyDescent="0.35">
      <c r="C25" s="19" t="s">
        <v>801</v>
      </c>
      <c r="D25" s="19"/>
      <c r="E25" s="107">
        <v>100</v>
      </c>
      <c r="F25" s="19">
        <v>103</v>
      </c>
      <c r="G25" s="54"/>
      <c r="H25" s="54"/>
      <c r="I25" s="54"/>
      <c r="K25" s="27"/>
      <c r="L25" s="27"/>
      <c r="M25" s="27"/>
      <c r="N25" s="27"/>
      <c r="O25" s="27"/>
      <c r="P25" s="27"/>
      <c r="R25"/>
      <c r="S25"/>
      <c r="T25"/>
      <c r="U25"/>
      <c r="V25"/>
      <c r="W25"/>
    </row>
    <row r="26" spans="3:23" ht="14.5" x14ac:dyDescent="0.35">
      <c r="C26" s="19" t="s">
        <v>802</v>
      </c>
      <c r="D26" s="19"/>
      <c r="E26" s="107">
        <v>537</v>
      </c>
      <c r="F26" s="19">
        <v>155</v>
      </c>
      <c r="G26" s="54"/>
      <c r="H26" s="54"/>
      <c r="I26" s="54"/>
      <c r="K26" s="27"/>
      <c r="L26" s="27"/>
      <c r="M26" s="27"/>
      <c r="N26" s="27"/>
      <c r="O26" s="27"/>
      <c r="P26" s="27"/>
      <c r="R26"/>
      <c r="S26"/>
      <c r="T26"/>
      <c r="U26"/>
      <c r="V26"/>
      <c r="W26"/>
    </row>
    <row r="27" spans="3:23" ht="14.5" x14ac:dyDescent="0.35">
      <c r="C27" s="19" t="s">
        <v>803</v>
      </c>
      <c r="D27" s="19"/>
      <c r="E27" s="107">
        <v>1903</v>
      </c>
      <c r="F27" s="107">
        <v>2196</v>
      </c>
      <c r="G27" s="54"/>
      <c r="H27" s="54"/>
      <c r="I27" s="54"/>
      <c r="K27" s="27"/>
      <c r="L27" s="27"/>
      <c r="M27" s="27"/>
      <c r="N27" s="27"/>
      <c r="O27" s="27"/>
      <c r="P27" s="27"/>
      <c r="R27"/>
      <c r="S27"/>
      <c r="T27"/>
      <c r="U27"/>
      <c r="V27"/>
      <c r="W27"/>
    </row>
    <row r="28" spans="3:23" ht="14.5" x14ac:dyDescent="0.35">
      <c r="C28" s="19" t="s">
        <v>804</v>
      </c>
      <c r="D28" s="19"/>
      <c r="E28" s="107">
        <v>1198</v>
      </c>
      <c r="F28" s="107">
        <v>1470</v>
      </c>
      <c r="G28" s="54"/>
      <c r="H28" s="54"/>
      <c r="I28" s="54"/>
      <c r="K28" s="27"/>
      <c r="L28" s="27"/>
      <c r="M28" s="27"/>
      <c r="N28" s="27"/>
      <c r="O28" s="27"/>
      <c r="P28" s="27"/>
      <c r="R28"/>
      <c r="S28"/>
      <c r="T28"/>
      <c r="U28"/>
      <c r="V28"/>
      <c r="W28"/>
    </row>
    <row r="29" spans="3:23" ht="14.5" x14ac:dyDescent="0.35">
      <c r="C29" s="19" t="s">
        <v>805</v>
      </c>
      <c r="D29" s="19"/>
      <c r="E29" s="107">
        <v>19</v>
      </c>
      <c r="F29" s="19">
        <v>24</v>
      </c>
      <c r="G29" s="54"/>
      <c r="H29" s="54"/>
      <c r="I29" s="54"/>
      <c r="K29" s="27"/>
      <c r="L29" s="27"/>
      <c r="M29" s="27"/>
      <c r="N29" s="27"/>
      <c r="O29" s="27"/>
      <c r="P29" s="27"/>
      <c r="R29"/>
      <c r="S29"/>
      <c r="T29"/>
      <c r="U29"/>
      <c r="V29"/>
      <c r="W29"/>
    </row>
    <row r="30" spans="3:23" ht="14.5" x14ac:dyDescent="0.35">
      <c r="C30" s="19" t="s">
        <v>806</v>
      </c>
      <c r="D30" s="19"/>
      <c r="E30" s="107">
        <v>24</v>
      </c>
      <c r="F30" s="19">
        <v>50</v>
      </c>
      <c r="G30" s="54"/>
      <c r="H30" s="54"/>
      <c r="I30" s="54"/>
      <c r="K30" s="27"/>
      <c r="L30" s="27"/>
      <c r="M30" s="27"/>
      <c r="N30" s="27"/>
      <c r="O30" s="27"/>
      <c r="P30" s="27"/>
      <c r="R30"/>
      <c r="S30"/>
      <c r="T30"/>
      <c r="U30"/>
      <c r="V30"/>
      <c r="W30"/>
    </row>
    <row r="31" spans="3:23" ht="14.5" x14ac:dyDescent="0.35">
      <c r="C31" s="19" t="s">
        <v>807</v>
      </c>
      <c r="D31" s="19"/>
      <c r="E31" s="107">
        <v>23</v>
      </c>
      <c r="F31" s="19">
        <v>43</v>
      </c>
      <c r="G31" s="54"/>
      <c r="H31" s="54"/>
      <c r="I31" s="54"/>
      <c r="K31" s="27"/>
      <c r="L31" s="27"/>
      <c r="M31" s="27"/>
      <c r="N31" s="27"/>
      <c r="O31" s="27"/>
      <c r="P31" s="27"/>
      <c r="R31"/>
      <c r="S31"/>
      <c r="T31"/>
      <c r="U31"/>
      <c r="V31"/>
      <c r="W31"/>
    </row>
    <row r="32" spans="3:23" ht="14.5" x14ac:dyDescent="0.35">
      <c r="C32" s="19"/>
      <c r="D32" s="19"/>
      <c r="E32" s="293">
        <f>SUM(E23:E31)</f>
        <v>7106</v>
      </c>
      <c r="F32" s="293">
        <f>SUM(F23:F31)</f>
        <v>9002</v>
      </c>
      <c r="G32" s="54"/>
      <c r="H32" s="54"/>
      <c r="I32" s="54"/>
      <c r="K32" s="27"/>
      <c r="L32" s="27"/>
      <c r="M32" s="27"/>
      <c r="N32" s="27"/>
      <c r="O32" s="27"/>
      <c r="P32" s="27"/>
      <c r="R32"/>
      <c r="S32"/>
      <c r="T32"/>
      <c r="U32"/>
      <c r="V32"/>
      <c r="W32"/>
    </row>
    <row r="33" spans="3:23" ht="14.5" x14ac:dyDescent="0.35">
      <c r="E33" s="294"/>
      <c r="F33" s="54"/>
      <c r="G33" s="54"/>
      <c r="H33" s="54"/>
      <c r="I33" s="54"/>
      <c r="K33" s="27"/>
      <c r="L33" s="27"/>
      <c r="M33" s="27"/>
      <c r="N33" s="27"/>
      <c r="O33" s="27"/>
      <c r="P33" s="27"/>
      <c r="R33"/>
      <c r="S33"/>
      <c r="T33"/>
      <c r="U33"/>
      <c r="V33"/>
      <c r="W33"/>
    </row>
    <row r="34" spans="3:23" ht="14.5" x14ac:dyDescent="0.35">
      <c r="C34" s="1112" t="s">
        <v>813</v>
      </c>
      <c r="D34" s="1112"/>
      <c r="E34" s="1112"/>
      <c r="F34" s="1112"/>
      <c r="G34" s="54"/>
      <c r="H34" s="54"/>
      <c r="I34" s="54"/>
      <c r="K34" s="27"/>
      <c r="L34" s="27"/>
      <c r="M34" s="27"/>
      <c r="N34" s="27"/>
      <c r="O34" s="27"/>
      <c r="P34" s="27"/>
      <c r="R34"/>
      <c r="S34"/>
      <c r="T34"/>
      <c r="U34"/>
      <c r="V34"/>
      <c r="W34"/>
    </row>
    <row r="35" spans="3:23" ht="14.5" x14ac:dyDescent="0.35">
      <c r="E35" s="294"/>
      <c r="F35" s="54"/>
      <c r="G35" s="54"/>
      <c r="H35" s="54"/>
      <c r="I35" s="54"/>
      <c r="K35" s="27"/>
      <c r="L35" s="27"/>
      <c r="M35" s="27"/>
      <c r="N35" s="27"/>
      <c r="O35" s="27"/>
      <c r="P35" s="27"/>
      <c r="R35"/>
      <c r="S35"/>
      <c r="T35"/>
      <c r="U35"/>
      <c r="V35"/>
      <c r="W35"/>
    </row>
    <row r="36" spans="3:23" ht="14.5" x14ac:dyDescent="0.35">
      <c r="C36" s="22" t="s">
        <v>49</v>
      </c>
      <c r="D36" s="22" t="s">
        <v>7</v>
      </c>
      <c r="E36" s="293">
        <v>2019</v>
      </c>
      <c r="F36" s="22">
        <v>2020</v>
      </c>
      <c r="G36" s="54"/>
      <c r="H36" s="54"/>
      <c r="I36" s="54"/>
      <c r="K36" s="27"/>
      <c r="L36" s="27"/>
      <c r="M36" s="27"/>
      <c r="N36" s="27"/>
      <c r="O36" s="27"/>
      <c r="P36" s="27"/>
      <c r="R36"/>
      <c r="S36"/>
      <c r="T36"/>
      <c r="U36"/>
      <c r="V36"/>
      <c r="W36"/>
    </row>
    <row r="37" spans="3:23" ht="14.5" x14ac:dyDescent="0.35">
      <c r="C37" s="19" t="s">
        <v>808</v>
      </c>
      <c r="D37" s="19"/>
      <c r="E37" s="107">
        <v>5923</v>
      </c>
      <c r="F37" s="107">
        <v>8165</v>
      </c>
      <c r="G37" s="54"/>
      <c r="H37" s="54"/>
      <c r="I37" s="54"/>
      <c r="K37" s="27"/>
      <c r="L37" s="27"/>
      <c r="M37" s="27"/>
      <c r="N37" s="27"/>
      <c r="O37" s="27"/>
      <c r="P37" s="27"/>
      <c r="R37"/>
      <c r="S37"/>
      <c r="T37"/>
      <c r="U37"/>
      <c r="V37"/>
      <c r="W37"/>
    </row>
    <row r="38" spans="3:23" ht="14.5" x14ac:dyDescent="0.35">
      <c r="C38" s="19" t="s">
        <v>809</v>
      </c>
      <c r="D38" s="19"/>
      <c r="E38" s="107">
        <v>702</v>
      </c>
      <c r="F38" s="19">
        <v>700</v>
      </c>
      <c r="G38" s="54"/>
      <c r="H38" s="54"/>
      <c r="I38" s="54"/>
      <c r="K38" s="27"/>
      <c r="L38" s="27"/>
      <c r="M38" s="27"/>
      <c r="N38" s="27"/>
      <c r="O38" s="27"/>
      <c r="P38" s="27"/>
      <c r="R38"/>
      <c r="S38"/>
      <c r="T38"/>
      <c r="U38"/>
      <c r="V38"/>
      <c r="W38"/>
    </row>
    <row r="39" spans="3:23" ht="14.5" x14ac:dyDescent="0.35">
      <c r="C39" s="19" t="s">
        <v>810</v>
      </c>
      <c r="D39" s="19"/>
      <c r="E39" s="107">
        <v>3026</v>
      </c>
      <c r="F39" s="107">
        <v>3203</v>
      </c>
      <c r="G39" s="54"/>
      <c r="H39" s="54"/>
      <c r="I39" s="54"/>
      <c r="K39" s="27"/>
      <c r="L39" s="27"/>
      <c r="M39" s="27"/>
      <c r="N39" s="27"/>
      <c r="O39" s="27"/>
      <c r="P39" s="27"/>
      <c r="R39"/>
      <c r="S39"/>
      <c r="T39"/>
      <c r="U39"/>
      <c r="V39"/>
      <c r="W39"/>
    </row>
    <row r="40" spans="3:23" ht="14.5" x14ac:dyDescent="0.35">
      <c r="C40" s="19" t="s">
        <v>811</v>
      </c>
      <c r="D40" s="19"/>
      <c r="E40" s="107">
        <v>121</v>
      </c>
      <c r="F40" s="19">
        <v>209</v>
      </c>
      <c r="G40" s="54"/>
      <c r="H40" s="54"/>
      <c r="I40" s="54"/>
      <c r="K40" s="27"/>
      <c r="L40" s="27"/>
      <c r="M40" s="27"/>
      <c r="N40" s="27"/>
      <c r="O40" s="27"/>
      <c r="P40" s="27"/>
      <c r="R40"/>
      <c r="S40"/>
      <c r="T40"/>
      <c r="U40"/>
      <c r="V40"/>
      <c r="W40"/>
    </row>
    <row r="41" spans="3:23" ht="14.5" x14ac:dyDescent="0.35">
      <c r="C41" s="19"/>
      <c r="D41" s="19"/>
      <c r="E41" s="293">
        <f>SUM(E37:E40)</f>
        <v>9772</v>
      </c>
      <c r="F41" s="293">
        <f>SUM(F37:F40)</f>
        <v>12277</v>
      </c>
      <c r="G41" s="54"/>
      <c r="H41" s="54"/>
      <c r="I41" s="54"/>
      <c r="K41" s="27"/>
      <c r="L41" s="27"/>
      <c r="M41" s="27"/>
      <c r="N41" s="27"/>
      <c r="O41" s="27"/>
      <c r="P41" s="27"/>
      <c r="R41"/>
      <c r="S41"/>
      <c r="T41"/>
      <c r="U41"/>
      <c r="V41"/>
      <c r="W41"/>
    </row>
    <row r="42" spans="3:23" ht="14.5" x14ac:dyDescent="0.35">
      <c r="E42" s="294"/>
      <c r="F42" s="54"/>
      <c r="G42" s="54"/>
      <c r="H42" s="54"/>
      <c r="I42" s="54"/>
      <c r="K42" s="27"/>
      <c r="L42" s="27"/>
      <c r="M42" s="27"/>
      <c r="N42" s="27"/>
      <c r="O42" s="27"/>
      <c r="P42" s="27"/>
      <c r="R42"/>
      <c r="S42"/>
      <c r="T42"/>
      <c r="U42"/>
      <c r="V42"/>
      <c r="W42"/>
    </row>
    <row r="43" spans="3:23" ht="14.5" x14ac:dyDescent="0.35">
      <c r="K43" s="1115" t="s">
        <v>574</v>
      </c>
      <c r="L43" s="1115"/>
      <c r="M43" s="1115"/>
      <c r="N43" s="1115"/>
      <c r="O43" s="1115"/>
      <c r="P43" s="1115"/>
      <c r="R43"/>
      <c r="S43"/>
      <c r="T43"/>
      <c r="U43"/>
      <c r="V43"/>
      <c r="W43"/>
    </row>
    <row r="44" spans="3:23" x14ac:dyDescent="0.3">
      <c r="C44" s="1113" t="s">
        <v>545</v>
      </c>
      <c r="D44" s="1114"/>
      <c r="E44" s="1114"/>
      <c r="F44" s="1114"/>
      <c r="G44" s="1114"/>
      <c r="H44" s="1114"/>
      <c r="I44" s="1114"/>
      <c r="K44" s="1115" t="s">
        <v>578</v>
      </c>
      <c r="L44" s="1115"/>
      <c r="M44" s="1115"/>
      <c r="N44" s="1115"/>
      <c r="O44" s="1115"/>
      <c r="P44" s="1115"/>
      <c r="R44" s="17" t="s">
        <v>685</v>
      </c>
    </row>
    <row r="45" spans="3:23" x14ac:dyDescent="0.3">
      <c r="C45" s="22" t="s">
        <v>49</v>
      </c>
      <c r="D45" s="22" t="s">
        <v>50</v>
      </c>
      <c r="E45" s="284">
        <v>2016</v>
      </c>
      <c r="F45" s="284">
        <v>2017</v>
      </c>
      <c r="G45" s="1">
        <v>2018</v>
      </c>
      <c r="H45" s="1">
        <v>2019</v>
      </c>
      <c r="I45" s="1">
        <v>2020</v>
      </c>
      <c r="K45" s="1119" t="s">
        <v>585</v>
      </c>
      <c r="L45" s="1115"/>
      <c r="M45" s="1115"/>
      <c r="N45" s="1115"/>
      <c r="O45" s="1115"/>
      <c r="P45" s="1115"/>
      <c r="R45" s="17" t="s">
        <v>686</v>
      </c>
    </row>
    <row r="46" spans="3:23" x14ac:dyDescent="0.3">
      <c r="C46" s="296" t="s">
        <v>54</v>
      </c>
      <c r="D46" s="19"/>
      <c r="E46" s="290"/>
      <c r="F46" s="19"/>
      <c r="G46" s="19"/>
      <c r="H46" s="19"/>
      <c r="I46" s="19"/>
      <c r="K46" s="1119" t="s">
        <v>587</v>
      </c>
      <c r="L46" s="1115"/>
      <c r="M46" s="1115"/>
      <c r="N46" s="1115"/>
      <c r="O46" s="1115"/>
      <c r="P46" s="1115"/>
    </row>
    <row r="47" spans="3:23" x14ac:dyDescent="0.3">
      <c r="C47" s="19" t="s">
        <v>55</v>
      </c>
      <c r="D47" s="19"/>
      <c r="E47" s="19">
        <v>180</v>
      </c>
      <c r="F47" s="19">
        <v>171</v>
      </c>
      <c r="G47" s="19">
        <v>174</v>
      </c>
      <c r="H47" s="19">
        <v>200</v>
      </c>
      <c r="I47" s="19">
        <v>239</v>
      </c>
      <c r="K47" s="1119" t="s">
        <v>588</v>
      </c>
      <c r="L47" s="1115"/>
      <c r="M47" s="1115"/>
      <c r="N47" s="1115"/>
      <c r="O47" s="1115"/>
      <c r="P47" s="1115"/>
    </row>
    <row r="48" spans="3:23" x14ac:dyDescent="0.3">
      <c r="C48" s="296" t="s">
        <v>56</v>
      </c>
      <c r="D48" s="19"/>
      <c r="E48" s="19">
        <v>442</v>
      </c>
      <c r="F48" s="19">
        <v>388</v>
      </c>
      <c r="G48" s="19">
        <v>232</v>
      </c>
      <c r="H48" s="19">
        <v>137</v>
      </c>
      <c r="I48" s="19">
        <v>77</v>
      </c>
      <c r="K48" s="1119" t="s">
        <v>589</v>
      </c>
      <c r="L48" s="1115"/>
      <c r="M48" s="1115"/>
      <c r="N48" s="1115"/>
      <c r="O48" s="1115"/>
      <c r="P48" s="1115"/>
    </row>
    <row r="49" spans="3:17" x14ac:dyDescent="0.3">
      <c r="C49" s="296" t="s">
        <v>57</v>
      </c>
      <c r="D49" s="19"/>
      <c r="E49" s="19">
        <v>99</v>
      </c>
      <c r="F49" s="19">
        <v>101</v>
      </c>
      <c r="G49" s="19">
        <v>100</v>
      </c>
      <c r="H49" s="19">
        <v>395</v>
      </c>
      <c r="I49" s="19">
        <v>550</v>
      </c>
      <c r="K49" s="1115" t="s">
        <v>590</v>
      </c>
      <c r="L49" s="1115"/>
      <c r="M49" s="1115"/>
      <c r="N49" s="1115"/>
      <c r="O49" s="1115"/>
      <c r="P49" s="1115"/>
    </row>
    <row r="50" spans="3:17" x14ac:dyDescent="0.3">
      <c r="C50" s="296" t="s">
        <v>58</v>
      </c>
      <c r="D50" s="19"/>
      <c r="E50" s="19">
        <v>2</v>
      </c>
      <c r="F50" s="296" t="s">
        <v>40</v>
      </c>
      <c r="G50" s="296" t="s">
        <v>40</v>
      </c>
      <c r="H50" s="19"/>
      <c r="I50" s="19"/>
      <c r="K50" s="1115" t="s">
        <v>591</v>
      </c>
      <c r="L50" s="1115"/>
      <c r="M50" s="1115"/>
      <c r="N50" s="1115"/>
      <c r="O50" s="1115"/>
      <c r="P50" s="1115"/>
    </row>
    <row r="51" spans="3:17" x14ac:dyDescent="0.3">
      <c r="C51" s="19" t="s">
        <v>59</v>
      </c>
      <c r="D51" s="19"/>
      <c r="E51" s="19">
        <v>1</v>
      </c>
      <c r="F51" s="296" t="s">
        <v>40</v>
      </c>
      <c r="G51" s="19">
        <v>44</v>
      </c>
      <c r="H51" s="19">
        <v>64</v>
      </c>
      <c r="I51" s="19">
        <v>101</v>
      </c>
      <c r="K51" s="1117" t="s">
        <v>592</v>
      </c>
      <c r="L51" s="1117"/>
      <c r="M51" s="1117"/>
      <c r="N51" s="1117"/>
      <c r="O51" s="1117"/>
      <c r="P51" s="1117"/>
    </row>
    <row r="52" spans="3:17" x14ac:dyDescent="0.3">
      <c r="C52" s="19" t="s">
        <v>65</v>
      </c>
      <c r="D52" s="19"/>
      <c r="E52" s="19"/>
      <c r="F52" s="19"/>
      <c r="G52" s="296" t="s">
        <v>40</v>
      </c>
      <c r="H52" s="19">
        <v>112</v>
      </c>
      <c r="I52" s="19" t="s">
        <v>40</v>
      </c>
      <c r="K52" s="1111" t="s">
        <v>593</v>
      </c>
      <c r="L52" s="1111"/>
      <c r="M52" s="1111"/>
      <c r="N52" s="1111"/>
      <c r="O52" s="1111"/>
      <c r="P52" s="1111"/>
    </row>
    <row r="53" spans="3:17" x14ac:dyDescent="0.3">
      <c r="C53" s="19" t="s">
        <v>60</v>
      </c>
      <c r="D53" s="19"/>
      <c r="E53" s="296" t="s">
        <v>40</v>
      </c>
      <c r="F53" s="19">
        <v>52</v>
      </c>
      <c r="G53" s="296" t="s">
        <v>40</v>
      </c>
      <c r="H53" s="296" t="s">
        <v>40</v>
      </c>
      <c r="I53" s="19"/>
      <c r="K53" s="1117" t="s">
        <v>594</v>
      </c>
      <c r="L53" s="1117"/>
      <c r="M53" s="1117"/>
      <c r="N53" s="1117"/>
      <c r="O53" s="1117"/>
      <c r="P53" s="1117"/>
    </row>
    <row r="54" spans="3:17" x14ac:dyDescent="0.3">
      <c r="C54" s="19" t="s">
        <v>61</v>
      </c>
      <c r="D54" s="19"/>
      <c r="E54" s="19">
        <v>158</v>
      </c>
      <c r="F54" s="19">
        <v>53</v>
      </c>
      <c r="G54" s="19">
        <v>8</v>
      </c>
      <c r="H54" s="296" t="s">
        <v>40</v>
      </c>
      <c r="I54" s="19"/>
      <c r="K54" s="1111" t="s">
        <v>595</v>
      </c>
      <c r="L54" s="1111"/>
      <c r="M54" s="1111"/>
      <c r="N54" s="1111"/>
      <c r="O54" s="1111"/>
      <c r="P54" s="1111"/>
    </row>
    <row r="55" spans="3:17" x14ac:dyDescent="0.3">
      <c r="C55" s="19" t="s">
        <v>62</v>
      </c>
      <c r="D55" s="19"/>
      <c r="E55" s="19">
        <v>1</v>
      </c>
      <c r="F55" s="296" t="s">
        <v>40</v>
      </c>
      <c r="G55" s="19">
        <v>34</v>
      </c>
      <c r="H55" s="19">
        <v>62</v>
      </c>
      <c r="I55" s="19">
        <v>30</v>
      </c>
    </row>
    <row r="56" spans="3:17" x14ac:dyDescent="0.3">
      <c r="C56" s="19" t="s">
        <v>63</v>
      </c>
      <c r="D56" s="19"/>
      <c r="E56" s="19">
        <v>1827</v>
      </c>
      <c r="F56" s="296" t="s">
        <v>40</v>
      </c>
      <c r="G56" s="296" t="s">
        <v>40</v>
      </c>
      <c r="H56" s="296" t="s">
        <v>40</v>
      </c>
      <c r="I56" s="19"/>
    </row>
    <row r="57" spans="3:17" x14ac:dyDescent="0.3">
      <c r="C57" s="19" t="s">
        <v>64</v>
      </c>
      <c r="D57" s="19"/>
      <c r="E57" s="19">
        <v>121</v>
      </c>
      <c r="F57" s="19">
        <v>107</v>
      </c>
      <c r="G57" s="19">
        <v>87</v>
      </c>
      <c r="H57" s="19">
        <v>152</v>
      </c>
      <c r="I57" s="19">
        <v>188</v>
      </c>
    </row>
    <row r="58" spans="3:17" x14ac:dyDescent="0.3">
      <c r="C58" s="19"/>
      <c r="D58" s="19"/>
      <c r="E58" s="22">
        <f>SUM(E47:E57)</f>
        <v>2831</v>
      </c>
      <c r="F58" s="22">
        <f t="shared" ref="F58:G58" si="2">SUM(F47:F57)</f>
        <v>872</v>
      </c>
      <c r="G58" s="22">
        <f t="shared" si="2"/>
        <v>679</v>
      </c>
      <c r="H58" s="22">
        <f>SUM(H47:H57)</f>
        <v>1122</v>
      </c>
      <c r="I58" s="22">
        <f>SUM(I47:I57)</f>
        <v>1185</v>
      </c>
      <c r="J58" s="54"/>
    </row>
    <row r="59" spans="3:17" x14ac:dyDescent="0.3">
      <c r="N59" s="17">
        <v>34</v>
      </c>
    </row>
    <row r="60" spans="3:17" x14ac:dyDescent="0.3">
      <c r="C60" s="1116" t="s">
        <v>546</v>
      </c>
      <c r="D60" s="1116"/>
      <c r="E60" s="1116"/>
      <c r="F60" s="1116"/>
      <c r="G60" s="1116"/>
      <c r="H60" s="1116"/>
      <c r="I60" s="1116"/>
      <c r="N60" s="17">
        <v>35</v>
      </c>
      <c r="Q60" s="17">
        <v>5</v>
      </c>
    </row>
    <row r="61" spans="3:17" x14ac:dyDescent="0.3">
      <c r="C61" s="22" t="s">
        <v>49</v>
      </c>
      <c r="D61" s="22" t="s">
        <v>50</v>
      </c>
      <c r="E61" s="297">
        <v>2016</v>
      </c>
      <c r="F61" s="1" t="s">
        <v>687</v>
      </c>
      <c r="G61" s="297">
        <v>2018</v>
      </c>
      <c r="H61" s="1">
        <v>2019</v>
      </c>
      <c r="I61" s="54">
        <v>2020</v>
      </c>
      <c r="N61" s="17">
        <v>36</v>
      </c>
      <c r="Q61" s="17">
        <v>6</v>
      </c>
    </row>
    <row r="62" spans="3:17" x14ac:dyDescent="0.3">
      <c r="C62" s="19" t="s">
        <v>66</v>
      </c>
      <c r="D62" s="19"/>
      <c r="E62" s="19">
        <v>68192</v>
      </c>
      <c r="F62" s="19">
        <v>67087</v>
      </c>
      <c r="G62" s="19">
        <v>66854</v>
      </c>
      <c r="H62" s="19">
        <v>57127</v>
      </c>
      <c r="N62" s="17">
        <v>44</v>
      </c>
      <c r="Q62" s="17">
        <v>8</v>
      </c>
    </row>
    <row r="63" spans="3:17" x14ac:dyDescent="0.3">
      <c r="C63" s="19" t="s">
        <v>67</v>
      </c>
      <c r="D63" s="19"/>
      <c r="E63" s="19">
        <v>71</v>
      </c>
      <c r="F63" s="19">
        <v>61</v>
      </c>
      <c r="G63" s="19">
        <v>65</v>
      </c>
      <c r="H63" s="19">
        <v>61</v>
      </c>
      <c r="N63" s="17">
        <v>37</v>
      </c>
      <c r="Q63" s="17">
        <v>7</v>
      </c>
    </row>
    <row r="64" spans="3:17" ht="28" x14ac:dyDescent="0.3">
      <c r="C64" s="297" t="s">
        <v>68</v>
      </c>
      <c r="D64" s="19"/>
      <c r="E64" s="19">
        <v>34682</v>
      </c>
      <c r="F64" s="19"/>
      <c r="G64" s="19"/>
      <c r="H64" s="19"/>
      <c r="N64" s="17">
        <v>38</v>
      </c>
      <c r="Q64" s="17" t="s">
        <v>849</v>
      </c>
    </row>
    <row r="65" spans="3:17" x14ac:dyDescent="0.3">
      <c r="C65" s="297" t="s">
        <v>79</v>
      </c>
      <c r="D65" s="19"/>
      <c r="E65" s="19"/>
      <c r="F65" s="19"/>
      <c r="G65" s="19"/>
      <c r="H65" s="19">
        <v>59362</v>
      </c>
      <c r="N65" s="17" t="s">
        <v>848</v>
      </c>
      <c r="Q65" s="17" t="s">
        <v>850</v>
      </c>
    </row>
    <row r="66" spans="3:17" x14ac:dyDescent="0.3">
      <c r="C66" s="297" t="s">
        <v>31</v>
      </c>
      <c r="D66" s="19"/>
      <c r="E66" s="19"/>
      <c r="F66" s="19">
        <v>17079</v>
      </c>
      <c r="G66" s="19">
        <v>16689</v>
      </c>
      <c r="H66" s="19"/>
      <c r="N66" s="17">
        <v>39</v>
      </c>
      <c r="Q66" s="17">
        <v>10</v>
      </c>
    </row>
    <row r="67" spans="3:17" x14ac:dyDescent="0.3">
      <c r="C67" s="297" t="s">
        <v>71</v>
      </c>
      <c r="D67" s="19"/>
      <c r="E67" s="19"/>
      <c r="F67" s="19">
        <v>5838</v>
      </c>
      <c r="G67" s="19">
        <v>6686</v>
      </c>
      <c r="H67" s="19"/>
      <c r="N67" s="17">
        <v>58</v>
      </c>
      <c r="Q67" s="17">
        <v>11</v>
      </c>
    </row>
    <row r="68" spans="3:17" x14ac:dyDescent="0.3">
      <c r="C68" s="297" t="s">
        <v>72</v>
      </c>
      <c r="D68" s="19"/>
      <c r="E68" s="19"/>
      <c r="F68" s="19">
        <v>924</v>
      </c>
      <c r="G68" s="19">
        <v>2876</v>
      </c>
      <c r="H68" s="19"/>
      <c r="N68" s="17">
        <v>40</v>
      </c>
      <c r="Q68" s="17">
        <v>26</v>
      </c>
    </row>
    <row r="69" spans="3:17" x14ac:dyDescent="0.3">
      <c r="C69" s="297" t="s">
        <v>4</v>
      </c>
      <c r="D69" s="19"/>
      <c r="E69" s="19"/>
      <c r="F69" s="19">
        <v>2127</v>
      </c>
      <c r="G69" s="19">
        <v>1830</v>
      </c>
      <c r="H69" s="19"/>
      <c r="Q69" s="17">
        <v>12</v>
      </c>
    </row>
    <row r="70" spans="3:17" x14ac:dyDescent="0.3">
      <c r="C70" s="297" t="s">
        <v>37</v>
      </c>
      <c r="D70" s="19"/>
      <c r="E70" s="19"/>
      <c r="F70" s="19">
        <v>367</v>
      </c>
      <c r="G70" s="19">
        <v>104</v>
      </c>
      <c r="H70" s="19"/>
      <c r="N70" s="17">
        <v>41</v>
      </c>
      <c r="Q70" s="17">
        <v>13</v>
      </c>
    </row>
    <row r="71" spans="3:17" x14ac:dyDescent="0.3">
      <c r="C71" s="297" t="s">
        <v>73</v>
      </c>
      <c r="D71" s="19"/>
      <c r="E71" s="19"/>
      <c r="F71" s="19">
        <v>229</v>
      </c>
      <c r="G71" s="19">
        <v>537</v>
      </c>
      <c r="H71" s="19"/>
      <c r="K71" s="287"/>
      <c r="Q71" s="17">
        <v>14</v>
      </c>
    </row>
    <row r="72" spans="3:17" x14ac:dyDescent="0.3">
      <c r="C72" s="297" t="s">
        <v>36</v>
      </c>
      <c r="D72" s="19"/>
      <c r="E72" s="19"/>
      <c r="F72" s="19">
        <v>1042</v>
      </c>
      <c r="G72" s="19">
        <v>1306</v>
      </c>
      <c r="H72" s="19"/>
      <c r="K72" s="287"/>
      <c r="Q72" s="17">
        <v>15</v>
      </c>
    </row>
    <row r="73" spans="3:17" x14ac:dyDescent="0.3">
      <c r="C73" s="297" t="s">
        <v>74</v>
      </c>
      <c r="D73" s="19"/>
      <c r="E73" s="19"/>
      <c r="F73" s="19">
        <v>81</v>
      </c>
      <c r="G73" s="19">
        <v>70</v>
      </c>
      <c r="H73" s="19"/>
      <c r="Q73" s="17">
        <v>16</v>
      </c>
    </row>
    <row r="74" spans="3:17" x14ac:dyDescent="0.3">
      <c r="C74" s="297" t="s">
        <v>948</v>
      </c>
      <c r="D74" s="19"/>
      <c r="E74" s="298"/>
      <c r="F74" s="297" t="s">
        <v>40</v>
      </c>
      <c r="G74" s="19">
        <v>6</v>
      </c>
      <c r="H74" s="107"/>
      <c r="Q74" s="17">
        <v>17</v>
      </c>
    </row>
    <row r="75" spans="3:17" x14ac:dyDescent="0.3">
      <c r="C75" s="297" t="s">
        <v>75</v>
      </c>
      <c r="D75" s="19"/>
      <c r="E75" s="19"/>
      <c r="F75" s="19">
        <v>78</v>
      </c>
      <c r="G75" s="19">
        <v>105</v>
      </c>
      <c r="H75" s="19"/>
      <c r="Q75" s="17">
        <v>18</v>
      </c>
    </row>
    <row r="76" spans="3:17" x14ac:dyDescent="0.3">
      <c r="C76" s="297" t="s">
        <v>76</v>
      </c>
      <c r="D76" s="19"/>
      <c r="E76" s="19"/>
      <c r="F76" s="19"/>
      <c r="G76" s="19">
        <v>14</v>
      </c>
      <c r="H76" s="19"/>
      <c r="K76" s="46"/>
      <c r="Q76" s="17">
        <v>19</v>
      </c>
    </row>
    <row r="77" spans="3:17" x14ac:dyDescent="0.3">
      <c r="C77" s="297" t="s">
        <v>77</v>
      </c>
      <c r="D77" s="19"/>
      <c r="E77" s="19"/>
      <c r="F77" s="19">
        <v>367</v>
      </c>
      <c r="G77" s="19" t="s">
        <v>40</v>
      </c>
      <c r="H77" s="19">
        <v>144</v>
      </c>
      <c r="Q77" s="17">
        <v>20</v>
      </c>
    </row>
    <row r="78" spans="3:17" x14ac:dyDescent="0.3">
      <c r="C78" s="19" t="s">
        <v>78</v>
      </c>
      <c r="D78" s="19"/>
      <c r="E78" s="296">
        <v>-666</v>
      </c>
      <c r="F78" s="296">
        <v>-77</v>
      </c>
      <c r="G78" s="296">
        <v>-7038</v>
      </c>
      <c r="H78" s="296">
        <v>-131</v>
      </c>
      <c r="Q78" s="17">
        <v>21</v>
      </c>
    </row>
    <row r="79" spans="3:17" ht="27" customHeight="1" x14ac:dyDescent="0.3">
      <c r="C79" s="297" t="s">
        <v>69</v>
      </c>
      <c r="D79" s="19"/>
      <c r="E79" s="296">
        <v>-67087</v>
      </c>
      <c r="F79" s="296">
        <v>-66854</v>
      </c>
      <c r="G79" s="296">
        <v>-57053</v>
      </c>
      <c r="H79" s="296">
        <v>-131501</v>
      </c>
      <c r="Q79" s="17">
        <v>22</v>
      </c>
    </row>
    <row r="80" spans="3:17" x14ac:dyDescent="0.3">
      <c r="C80" s="19" t="s">
        <v>70</v>
      </c>
      <c r="D80" s="19"/>
      <c r="E80" s="296">
        <v>-61</v>
      </c>
      <c r="F80" s="296">
        <v>-65</v>
      </c>
      <c r="G80" s="19">
        <f>-74</f>
        <v>-74</v>
      </c>
      <c r="H80" s="19"/>
      <c r="Q80" s="17">
        <v>23</v>
      </c>
    </row>
    <row r="81" spans="3:17" x14ac:dyDescent="0.3">
      <c r="C81" s="19"/>
      <c r="D81" s="19"/>
      <c r="E81" s="19">
        <f>SUM(E62:E80)</f>
        <v>35131</v>
      </c>
      <c r="F81" s="19">
        <f t="shared" ref="F81:H81" si="3">SUM(F62:F80)</f>
        <v>28284</v>
      </c>
      <c r="G81" s="19">
        <f t="shared" si="3"/>
        <v>32977</v>
      </c>
      <c r="H81" s="19">
        <f t="shared" si="3"/>
        <v>-14938</v>
      </c>
      <c r="Q81" s="17">
        <v>24</v>
      </c>
    </row>
    <row r="82" spans="3:17" x14ac:dyDescent="0.3">
      <c r="Q82" s="17">
        <v>25</v>
      </c>
    </row>
    <row r="83" spans="3:17" ht="14.5" x14ac:dyDescent="0.35">
      <c r="C83" s="1093" t="s">
        <v>547</v>
      </c>
      <c r="D83" s="1093"/>
      <c r="E83" s="1093"/>
      <c r="F83" s="1093"/>
      <c r="G83" s="1093"/>
      <c r="H83" s="1093"/>
      <c r="I83" s="1093"/>
      <c r="Q83" s="17">
        <v>26</v>
      </c>
    </row>
    <row r="84" spans="3:17" x14ac:dyDescent="0.3">
      <c r="C84" s="22" t="s">
        <v>49</v>
      </c>
      <c r="D84" s="22" t="s">
        <v>50</v>
      </c>
      <c r="E84" s="297" t="s">
        <v>609</v>
      </c>
      <c r="F84" s="1" t="s">
        <v>610</v>
      </c>
      <c r="G84" s="1" t="s">
        <v>611</v>
      </c>
      <c r="H84" s="1" t="s">
        <v>608</v>
      </c>
      <c r="I84" s="22">
        <v>2020</v>
      </c>
      <c r="Q84" s="17">
        <v>27</v>
      </c>
    </row>
    <row r="85" spans="3:17" x14ac:dyDescent="0.3">
      <c r="C85" s="19" t="s">
        <v>80</v>
      </c>
      <c r="D85" s="19"/>
      <c r="E85" s="19">
        <v>1779</v>
      </c>
      <c r="F85" s="19">
        <v>2596</v>
      </c>
      <c r="G85" s="19">
        <v>2593</v>
      </c>
      <c r="H85" s="19">
        <v>3470</v>
      </c>
      <c r="I85" s="19">
        <v>4021</v>
      </c>
      <c r="Q85" s="17">
        <v>28</v>
      </c>
    </row>
    <row r="86" spans="3:17" x14ac:dyDescent="0.3">
      <c r="C86" s="19" t="s">
        <v>81</v>
      </c>
      <c r="D86" s="19"/>
      <c r="E86" s="19">
        <v>122</v>
      </c>
      <c r="F86" s="19">
        <v>165</v>
      </c>
      <c r="G86" s="19">
        <v>174</v>
      </c>
      <c r="H86" s="19">
        <v>217</v>
      </c>
      <c r="I86" s="19">
        <v>259</v>
      </c>
      <c r="Q86" s="17">
        <v>29</v>
      </c>
    </row>
    <row r="87" spans="3:17" x14ac:dyDescent="0.3">
      <c r="C87" s="19" t="s">
        <v>82</v>
      </c>
      <c r="D87" s="19"/>
      <c r="E87" s="19">
        <v>36</v>
      </c>
      <c r="F87" s="19">
        <v>53</v>
      </c>
      <c r="G87" s="19">
        <v>66</v>
      </c>
      <c r="H87" s="19">
        <v>68</v>
      </c>
      <c r="I87" s="19">
        <v>83</v>
      </c>
      <c r="Q87" s="17">
        <v>30</v>
      </c>
    </row>
    <row r="88" spans="3:17" x14ac:dyDescent="0.3">
      <c r="C88" s="19" t="s">
        <v>83</v>
      </c>
      <c r="D88" s="19"/>
      <c r="E88" s="19">
        <v>93</v>
      </c>
      <c r="F88" s="19">
        <v>119</v>
      </c>
      <c r="G88" s="19">
        <v>125</v>
      </c>
      <c r="H88" s="19">
        <v>231</v>
      </c>
      <c r="I88" s="19">
        <v>238</v>
      </c>
      <c r="Q88" s="17">
        <v>31</v>
      </c>
    </row>
    <row r="89" spans="3:17" x14ac:dyDescent="0.3">
      <c r="C89" s="19"/>
      <c r="D89" s="19"/>
      <c r="E89" s="19">
        <f>SUM(E85:E88)</f>
        <v>2030</v>
      </c>
      <c r="F89" s="19">
        <f t="shared" ref="F89:H89" si="4">SUM(F85:F88)</f>
        <v>2933</v>
      </c>
      <c r="G89" s="19">
        <f t="shared" si="4"/>
        <v>2958</v>
      </c>
      <c r="H89" s="19">
        <f t="shared" si="4"/>
        <v>3986</v>
      </c>
      <c r="I89" s="19">
        <f>SUM(I85:I88)</f>
        <v>4601</v>
      </c>
      <c r="Q89" s="17">
        <v>32</v>
      </c>
    </row>
    <row r="90" spans="3:17" x14ac:dyDescent="0.3">
      <c r="Q90" s="17">
        <v>33</v>
      </c>
    </row>
    <row r="91" spans="3:17" ht="14.5" x14ac:dyDescent="0.35">
      <c r="C91" s="1093" t="s">
        <v>548</v>
      </c>
      <c r="D91" s="1093"/>
      <c r="E91" s="1093"/>
      <c r="F91" s="1093"/>
      <c r="G91" s="1093"/>
      <c r="H91" s="1093"/>
      <c r="I91" s="1093"/>
    </row>
    <row r="92" spans="3:17" x14ac:dyDescent="0.3">
      <c r="C92" s="22" t="s">
        <v>49</v>
      </c>
      <c r="D92" s="22" t="s">
        <v>50</v>
      </c>
      <c r="E92" s="297" t="s">
        <v>609</v>
      </c>
      <c r="F92" s="1" t="s">
        <v>610</v>
      </c>
      <c r="G92" s="1" t="s">
        <v>611</v>
      </c>
      <c r="H92" s="1" t="s">
        <v>608</v>
      </c>
      <c r="I92" s="22">
        <v>2020</v>
      </c>
    </row>
    <row r="93" spans="3:17" x14ac:dyDescent="0.3">
      <c r="C93" s="19" t="s">
        <v>84</v>
      </c>
      <c r="D93" s="19"/>
      <c r="E93" s="19">
        <v>4692</v>
      </c>
      <c r="F93" s="19">
        <v>5495</v>
      </c>
      <c r="G93" s="19">
        <v>6645</v>
      </c>
      <c r="H93" s="19">
        <v>8312</v>
      </c>
      <c r="I93" s="19">
        <v>9220</v>
      </c>
    </row>
    <row r="94" spans="3:17" x14ac:dyDescent="0.3">
      <c r="C94" s="19" t="s">
        <v>85</v>
      </c>
      <c r="D94" s="19"/>
      <c r="E94" s="19">
        <v>80</v>
      </c>
      <c r="F94" s="19">
        <v>69</v>
      </c>
      <c r="G94" s="19">
        <v>43</v>
      </c>
      <c r="H94" s="19">
        <v>40</v>
      </c>
      <c r="I94" s="19">
        <v>38</v>
      </c>
    </row>
    <row r="95" spans="3:17" x14ac:dyDescent="0.3">
      <c r="C95" s="296" t="s">
        <v>86</v>
      </c>
      <c r="D95" s="19"/>
      <c r="E95" s="19">
        <v>182</v>
      </c>
      <c r="F95" s="19">
        <v>262</v>
      </c>
      <c r="G95" s="19">
        <v>226</v>
      </c>
      <c r="H95" s="19">
        <v>125</v>
      </c>
      <c r="I95" s="19">
        <v>1522</v>
      </c>
    </row>
    <row r="96" spans="3:17" x14ac:dyDescent="0.3">
      <c r="C96" s="19" t="s">
        <v>87</v>
      </c>
      <c r="D96" s="19"/>
      <c r="E96" s="19">
        <v>276</v>
      </c>
      <c r="F96" s="19">
        <v>357</v>
      </c>
      <c r="G96" s="19">
        <v>213</v>
      </c>
      <c r="H96" s="19">
        <v>340</v>
      </c>
      <c r="I96" s="19">
        <v>449</v>
      </c>
    </row>
    <row r="97" spans="3:10" x14ac:dyDescent="0.3">
      <c r="C97" s="19"/>
      <c r="D97" s="19"/>
      <c r="E97" s="22">
        <f>SUM(E93:E96)</f>
        <v>5230</v>
      </c>
      <c r="F97" s="22">
        <f>SUM(F93:F96)</f>
        <v>6183</v>
      </c>
      <c r="G97" s="22">
        <f>SUM(G93:G96)</f>
        <v>7127</v>
      </c>
      <c r="H97" s="22">
        <f>SUM(H93:H96)</f>
        <v>8817</v>
      </c>
      <c r="I97" s="22">
        <f>SUM(I93:I96)</f>
        <v>11229</v>
      </c>
    </row>
    <row r="98" spans="3:10" x14ac:dyDescent="0.3">
      <c r="C98" s="19" t="s">
        <v>88</v>
      </c>
      <c r="D98" s="19"/>
      <c r="E98" s="296">
        <v>-386</v>
      </c>
      <c r="F98" s="296">
        <v>-896</v>
      </c>
      <c r="G98" s="296">
        <v>-1470</v>
      </c>
      <c r="H98" s="296">
        <v>-1589</v>
      </c>
      <c r="I98" s="93">
        <v>-996</v>
      </c>
    </row>
    <row r="99" spans="3:10" x14ac:dyDescent="0.3">
      <c r="C99" s="19" t="s">
        <v>89</v>
      </c>
      <c r="D99" s="19"/>
      <c r="E99" s="296">
        <v>-1382</v>
      </c>
      <c r="F99" s="296">
        <v>-2127</v>
      </c>
      <c r="G99" s="19"/>
      <c r="H99" s="19"/>
      <c r="I99" s="19"/>
    </row>
    <row r="100" spans="3:10" x14ac:dyDescent="0.3">
      <c r="C100" s="22" t="s">
        <v>90</v>
      </c>
      <c r="D100" s="22"/>
      <c r="E100" s="22">
        <f>SUM(E97:E99)</f>
        <v>3462</v>
      </c>
      <c r="F100" s="22">
        <f t="shared" ref="F100:G100" si="5">SUM(F97:F99)</f>
        <v>3160</v>
      </c>
      <c r="G100" s="22">
        <f t="shared" si="5"/>
        <v>5657</v>
      </c>
      <c r="H100" s="22">
        <f>SUM(H97:H99)</f>
        <v>7228</v>
      </c>
      <c r="I100" s="22">
        <f>SUM(I97:I98)</f>
        <v>10233</v>
      </c>
    </row>
    <row r="101" spans="3:10" x14ac:dyDescent="0.3">
      <c r="C101" s="19" t="s">
        <v>91</v>
      </c>
      <c r="D101" s="19"/>
      <c r="E101" s="19"/>
      <c r="F101" s="19"/>
      <c r="G101" s="19"/>
      <c r="H101" s="19"/>
      <c r="I101" s="19"/>
    </row>
    <row r="103" spans="3:10" ht="14.5" x14ac:dyDescent="0.35">
      <c r="C103" s="1093" t="s">
        <v>549</v>
      </c>
      <c r="D103" s="1093"/>
      <c r="E103" s="1093"/>
      <c r="F103" s="1093"/>
      <c r="G103" s="1093"/>
      <c r="H103" s="1093"/>
      <c r="I103" s="1093"/>
    </row>
    <row r="104" spans="3:10" x14ac:dyDescent="0.3">
      <c r="C104" s="22" t="s">
        <v>49</v>
      </c>
      <c r="D104" s="22" t="s">
        <v>50</v>
      </c>
      <c r="E104" s="1">
        <v>2016</v>
      </c>
      <c r="F104" s="1">
        <v>2017</v>
      </c>
      <c r="G104" s="1">
        <v>2018</v>
      </c>
      <c r="H104" s="1">
        <v>2019</v>
      </c>
      <c r="I104" s="1">
        <v>2020</v>
      </c>
    </row>
    <row r="105" spans="3:10" x14ac:dyDescent="0.3">
      <c r="C105" s="286" t="s">
        <v>92</v>
      </c>
      <c r="D105" s="19"/>
      <c r="E105" s="19"/>
      <c r="F105" s="19"/>
      <c r="G105" s="19"/>
      <c r="H105" s="19"/>
      <c r="I105" s="19"/>
    </row>
    <row r="106" spans="3:10" x14ac:dyDescent="0.3">
      <c r="C106" s="290" t="s">
        <v>166</v>
      </c>
      <c r="D106" s="19"/>
      <c r="E106" s="19">
        <v>602</v>
      </c>
      <c r="F106" s="19">
        <v>366</v>
      </c>
      <c r="G106" s="19">
        <v>461</v>
      </c>
      <c r="H106" s="19">
        <v>501</v>
      </c>
      <c r="I106" s="19">
        <v>509</v>
      </c>
      <c r="J106" s="319">
        <f>I106/I139</f>
        <v>9.1366002513013828E-2</v>
      </c>
    </row>
    <row r="107" spans="3:10" x14ac:dyDescent="0.3">
      <c r="C107" s="290" t="s">
        <v>815</v>
      </c>
      <c r="D107" s="19"/>
      <c r="E107" s="19">
        <v>52</v>
      </c>
      <c r="F107" s="19">
        <v>55</v>
      </c>
      <c r="G107" s="19">
        <v>83</v>
      </c>
      <c r="H107" s="19">
        <v>65</v>
      </c>
      <c r="I107" s="19">
        <v>101</v>
      </c>
    </row>
    <row r="108" spans="3:10" x14ac:dyDescent="0.3">
      <c r="C108" s="290" t="s">
        <v>816</v>
      </c>
      <c r="D108" s="19"/>
      <c r="E108" s="19">
        <v>660</v>
      </c>
      <c r="F108" s="19">
        <v>417</v>
      </c>
      <c r="G108" s="19">
        <v>559</v>
      </c>
      <c r="H108" s="19">
        <v>563</v>
      </c>
      <c r="I108" s="19">
        <v>1207</v>
      </c>
    </row>
    <row r="109" spans="3:10" x14ac:dyDescent="0.3">
      <c r="C109" s="290" t="s">
        <v>817</v>
      </c>
      <c r="D109" s="19"/>
      <c r="E109" s="19">
        <v>187</v>
      </c>
      <c r="F109" s="19">
        <v>267</v>
      </c>
      <c r="G109" s="19">
        <v>172</v>
      </c>
      <c r="H109" s="19">
        <v>302</v>
      </c>
      <c r="I109" s="19">
        <v>413</v>
      </c>
    </row>
    <row r="110" spans="3:10" x14ac:dyDescent="0.3">
      <c r="C110" s="286" t="s">
        <v>93</v>
      </c>
      <c r="D110" s="19"/>
      <c r="E110" s="19"/>
      <c r="F110" s="19"/>
      <c r="G110" s="19"/>
      <c r="H110" s="19"/>
      <c r="I110" s="19"/>
    </row>
    <row r="111" spans="3:10" x14ac:dyDescent="0.3">
      <c r="C111" s="139" t="s">
        <v>607</v>
      </c>
      <c r="D111" s="19"/>
      <c r="E111" s="19">
        <v>37</v>
      </c>
      <c r="F111" s="19">
        <v>69</v>
      </c>
      <c r="G111" s="19"/>
      <c r="H111" s="19"/>
      <c r="I111" s="19"/>
    </row>
    <row r="112" spans="3:10" x14ac:dyDescent="0.3">
      <c r="C112" s="139" t="s">
        <v>818</v>
      </c>
      <c r="D112" s="19"/>
      <c r="E112" s="19">
        <v>28</v>
      </c>
      <c r="F112" s="19">
        <v>21</v>
      </c>
      <c r="G112" s="19">
        <v>2</v>
      </c>
      <c r="H112" s="19">
        <v>2</v>
      </c>
      <c r="I112" s="19">
        <v>2</v>
      </c>
    </row>
    <row r="113" spans="3:9" x14ac:dyDescent="0.3">
      <c r="C113" s="139" t="s">
        <v>819</v>
      </c>
      <c r="D113" s="19"/>
      <c r="E113" s="19">
        <v>48</v>
      </c>
      <c r="F113" s="19">
        <v>69</v>
      </c>
      <c r="G113" s="19">
        <v>80</v>
      </c>
      <c r="H113" s="19">
        <v>109</v>
      </c>
      <c r="I113" s="19">
        <v>129</v>
      </c>
    </row>
    <row r="114" spans="3:9" x14ac:dyDescent="0.3">
      <c r="C114" s="139" t="s">
        <v>820</v>
      </c>
      <c r="D114" s="19"/>
      <c r="E114" s="19">
        <v>25</v>
      </c>
      <c r="F114" s="19">
        <v>26</v>
      </c>
      <c r="G114" s="19">
        <v>104</v>
      </c>
      <c r="H114" s="19">
        <v>43</v>
      </c>
      <c r="I114" s="19">
        <v>22</v>
      </c>
    </row>
    <row r="115" spans="3:9" x14ac:dyDescent="0.3">
      <c r="C115" s="139" t="s">
        <v>821</v>
      </c>
      <c r="D115" s="19"/>
      <c r="E115" s="19">
        <v>9</v>
      </c>
      <c r="F115" s="19">
        <v>17</v>
      </c>
      <c r="G115" s="19">
        <v>147</v>
      </c>
      <c r="H115" s="19">
        <v>223</v>
      </c>
      <c r="I115" s="19">
        <v>126</v>
      </c>
    </row>
    <row r="116" spans="3:9" x14ac:dyDescent="0.3">
      <c r="C116" s="290" t="s">
        <v>822</v>
      </c>
      <c r="D116" s="19"/>
      <c r="E116" s="19">
        <v>101</v>
      </c>
      <c r="F116" s="19">
        <v>108</v>
      </c>
      <c r="G116" s="19">
        <v>599</v>
      </c>
      <c r="H116" s="19">
        <v>1158</v>
      </c>
      <c r="I116" s="792">
        <v>1143</v>
      </c>
    </row>
    <row r="117" spans="3:9" x14ac:dyDescent="0.3">
      <c r="C117" s="290" t="s">
        <v>823</v>
      </c>
      <c r="D117" s="19"/>
      <c r="E117" s="19">
        <v>109</v>
      </c>
      <c r="F117" s="19">
        <v>97</v>
      </c>
      <c r="G117" s="296" t="s">
        <v>40</v>
      </c>
      <c r="H117" s="19"/>
      <c r="I117" s="19"/>
    </row>
    <row r="118" spans="3:9" x14ac:dyDescent="0.3">
      <c r="C118" s="290" t="s">
        <v>824</v>
      </c>
      <c r="D118" s="19"/>
      <c r="E118" s="19">
        <v>23</v>
      </c>
      <c r="F118" s="19">
        <v>29</v>
      </c>
      <c r="G118" s="19">
        <v>42</v>
      </c>
      <c r="H118" s="19">
        <v>50</v>
      </c>
      <c r="I118" s="19">
        <v>73</v>
      </c>
    </row>
    <row r="119" spans="3:9" x14ac:dyDescent="0.3">
      <c r="C119" s="290" t="s">
        <v>36</v>
      </c>
      <c r="D119" s="19"/>
      <c r="E119" s="19">
        <v>116</v>
      </c>
      <c r="F119" s="19">
        <v>103</v>
      </c>
      <c r="G119" s="296" t="s">
        <v>40</v>
      </c>
      <c r="H119" s="19"/>
      <c r="I119" s="19"/>
    </row>
    <row r="120" spans="3:9" x14ac:dyDescent="0.3">
      <c r="C120" s="290" t="s">
        <v>165</v>
      </c>
      <c r="D120" s="19"/>
      <c r="E120" s="19">
        <v>100</v>
      </c>
      <c r="F120" s="19">
        <v>157</v>
      </c>
      <c r="G120" s="19">
        <v>727</v>
      </c>
      <c r="H120" s="19">
        <v>724</v>
      </c>
      <c r="I120" s="19">
        <v>567</v>
      </c>
    </row>
    <row r="121" spans="3:9" x14ac:dyDescent="0.3">
      <c r="C121" s="290" t="s">
        <v>94</v>
      </c>
      <c r="D121" s="19"/>
      <c r="E121" s="296" t="s">
        <v>40</v>
      </c>
      <c r="F121" s="296" t="s">
        <v>40</v>
      </c>
      <c r="G121" s="19">
        <v>216</v>
      </c>
      <c r="H121" s="19">
        <v>358</v>
      </c>
      <c r="I121" s="19">
        <v>508</v>
      </c>
    </row>
    <row r="122" spans="3:9" x14ac:dyDescent="0.3">
      <c r="C122" s="290" t="s">
        <v>825</v>
      </c>
      <c r="D122" s="19"/>
      <c r="E122" s="19">
        <v>12</v>
      </c>
      <c r="F122" s="19">
        <v>12</v>
      </c>
      <c r="G122" s="19">
        <v>13</v>
      </c>
      <c r="H122" s="19">
        <v>15</v>
      </c>
      <c r="I122" s="19">
        <v>16</v>
      </c>
    </row>
    <row r="123" spans="3:9" x14ac:dyDescent="0.3">
      <c r="C123" s="299" t="s">
        <v>826</v>
      </c>
      <c r="D123" s="19"/>
      <c r="E123" s="296" t="s">
        <v>40</v>
      </c>
      <c r="F123" s="19" t="s">
        <v>40</v>
      </c>
      <c r="G123" s="19">
        <v>1</v>
      </c>
      <c r="H123" s="296" t="s">
        <v>40</v>
      </c>
      <c r="I123" s="19">
        <v>44</v>
      </c>
    </row>
    <row r="124" spans="3:9" x14ac:dyDescent="0.3">
      <c r="C124" s="290" t="s">
        <v>827</v>
      </c>
      <c r="D124" s="19"/>
      <c r="E124" s="19">
        <v>2</v>
      </c>
      <c r="F124" s="19">
        <v>2</v>
      </c>
      <c r="G124" s="19">
        <v>2</v>
      </c>
      <c r="H124" s="19">
        <v>2</v>
      </c>
      <c r="I124" s="19">
        <v>3</v>
      </c>
    </row>
    <row r="125" spans="3:9" x14ac:dyDescent="0.3">
      <c r="C125" s="299" t="s">
        <v>828</v>
      </c>
      <c r="D125" s="19"/>
      <c r="E125" s="296" t="s">
        <v>40</v>
      </c>
      <c r="F125" s="19">
        <v>30</v>
      </c>
      <c r="G125" s="19">
        <v>5</v>
      </c>
      <c r="H125" s="19"/>
      <c r="I125" s="19"/>
    </row>
    <row r="126" spans="3:9" x14ac:dyDescent="0.3">
      <c r="C126" s="290" t="s">
        <v>829</v>
      </c>
      <c r="D126" s="19"/>
      <c r="E126" s="19">
        <v>54</v>
      </c>
      <c r="F126" s="19">
        <v>52</v>
      </c>
      <c r="G126" s="19">
        <v>91</v>
      </c>
      <c r="H126" s="19">
        <v>213</v>
      </c>
      <c r="I126" s="792">
        <v>283</v>
      </c>
    </row>
    <row r="127" spans="3:9" x14ac:dyDescent="0.3">
      <c r="C127" s="290" t="s">
        <v>838</v>
      </c>
      <c r="D127" s="19"/>
      <c r="E127" s="19"/>
      <c r="F127" s="19"/>
      <c r="G127" s="19" t="s">
        <v>40</v>
      </c>
      <c r="H127" s="19">
        <v>1</v>
      </c>
      <c r="I127" s="19">
        <v>2</v>
      </c>
    </row>
    <row r="128" spans="3:9" x14ac:dyDescent="0.3">
      <c r="C128" s="299"/>
      <c r="D128" s="19"/>
      <c r="E128" s="19">
        <v>13</v>
      </c>
      <c r="F128" s="19" t="s">
        <v>40</v>
      </c>
      <c r="G128" s="19">
        <v>4</v>
      </c>
      <c r="H128" s="19"/>
      <c r="I128" s="19"/>
    </row>
    <row r="129" spans="3:9" x14ac:dyDescent="0.3">
      <c r="C129" s="290" t="s">
        <v>830</v>
      </c>
      <c r="D129" s="19"/>
      <c r="E129" s="19">
        <v>3</v>
      </c>
      <c r="F129" s="19">
        <v>2</v>
      </c>
      <c r="G129" s="19">
        <v>14</v>
      </c>
      <c r="H129" s="19">
        <v>2</v>
      </c>
      <c r="I129" s="19">
        <v>4</v>
      </c>
    </row>
    <row r="130" spans="3:9" x14ac:dyDescent="0.3">
      <c r="C130" s="290" t="s">
        <v>831</v>
      </c>
      <c r="D130" s="19"/>
      <c r="E130" s="19">
        <v>11</v>
      </c>
      <c r="F130" s="19">
        <v>17</v>
      </c>
      <c r="G130" s="19">
        <v>26</v>
      </c>
      <c r="H130" s="19">
        <v>17</v>
      </c>
      <c r="I130" s="19">
        <v>13</v>
      </c>
    </row>
    <row r="131" spans="3:9" x14ac:dyDescent="0.3">
      <c r="C131" s="290" t="s">
        <v>832</v>
      </c>
      <c r="D131" s="19"/>
      <c r="E131" s="19">
        <v>22</v>
      </c>
      <c r="F131" s="19">
        <v>27</v>
      </c>
      <c r="G131" s="19">
        <v>34</v>
      </c>
      <c r="H131" s="19">
        <v>28</v>
      </c>
      <c r="I131" s="19">
        <v>22</v>
      </c>
    </row>
    <row r="132" spans="3:9" x14ac:dyDescent="0.3">
      <c r="C132" s="290" t="s">
        <v>833</v>
      </c>
      <c r="D132" s="19"/>
      <c r="E132" s="19">
        <v>66</v>
      </c>
      <c r="F132" s="19">
        <v>45</v>
      </c>
      <c r="G132" s="19" t="s">
        <v>40</v>
      </c>
      <c r="H132" s="19">
        <v>40</v>
      </c>
      <c r="I132" s="19">
        <v>32</v>
      </c>
    </row>
    <row r="133" spans="3:9" x14ac:dyDescent="0.3">
      <c r="C133" s="290" t="s">
        <v>834</v>
      </c>
      <c r="D133" s="19"/>
      <c r="E133" s="19">
        <v>183</v>
      </c>
      <c r="F133" s="19">
        <v>11</v>
      </c>
      <c r="G133" s="19" t="s">
        <v>40</v>
      </c>
      <c r="H133" s="19">
        <v>2</v>
      </c>
      <c r="I133" s="19">
        <v>83</v>
      </c>
    </row>
    <row r="134" spans="3:9" x14ac:dyDescent="0.3">
      <c r="C134" s="290" t="s">
        <v>835</v>
      </c>
      <c r="D134" s="19"/>
      <c r="E134" s="19">
        <v>68</v>
      </c>
      <c r="F134" s="19">
        <v>74</v>
      </c>
      <c r="G134" s="19">
        <v>125</v>
      </c>
      <c r="H134" s="19">
        <v>118</v>
      </c>
      <c r="I134" s="19">
        <v>196</v>
      </c>
    </row>
    <row r="135" spans="3:9" x14ac:dyDescent="0.3">
      <c r="C135" s="290" t="s">
        <v>836</v>
      </c>
      <c r="D135" s="19"/>
      <c r="E135" s="19"/>
      <c r="F135" s="19"/>
      <c r="G135" s="19"/>
      <c r="H135" s="19">
        <v>60</v>
      </c>
      <c r="I135" s="19">
        <v>71</v>
      </c>
    </row>
    <row r="136" spans="3:9" x14ac:dyDescent="0.3">
      <c r="C136" s="290" t="s">
        <v>837</v>
      </c>
      <c r="D136" s="19"/>
      <c r="E136" s="19"/>
      <c r="F136" s="19"/>
      <c r="G136" s="19"/>
      <c r="H136" s="19" t="s">
        <v>839</v>
      </c>
      <c r="I136" s="19">
        <v>2</v>
      </c>
    </row>
    <row r="137" spans="3:9" x14ac:dyDescent="0.3">
      <c r="C137" s="290"/>
      <c r="D137" s="19"/>
      <c r="E137" s="19"/>
      <c r="F137" s="19"/>
      <c r="G137" s="19"/>
      <c r="H137" s="19"/>
      <c r="I137" s="19"/>
    </row>
    <row r="138" spans="3:9" x14ac:dyDescent="0.3">
      <c r="C138" s="290"/>
      <c r="D138" s="19"/>
      <c r="E138" s="19"/>
      <c r="F138" s="19"/>
      <c r="G138" s="19"/>
      <c r="H138" s="19"/>
      <c r="I138" s="19"/>
    </row>
    <row r="139" spans="3:9" x14ac:dyDescent="0.3">
      <c r="C139" s="290"/>
      <c r="D139" s="19"/>
      <c r="E139" s="22">
        <f>SUM(E106:E134)</f>
        <v>2531</v>
      </c>
      <c r="F139" s="22">
        <f t="shared" ref="F139:G139" si="6">SUM(F106:F134)</f>
        <v>2073</v>
      </c>
      <c r="G139" s="22">
        <f t="shared" si="6"/>
        <v>3507</v>
      </c>
      <c r="H139" s="22">
        <f>SUM(H106:H138)</f>
        <v>4596</v>
      </c>
      <c r="I139" s="22">
        <f>SUM(I105:I138)</f>
        <v>5571</v>
      </c>
    </row>
    <row r="140" spans="3:9" x14ac:dyDescent="0.3">
      <c r="C140" s="300"/>
      <c r="E140" s="54"/>
      <c r="F140" s="54"/>
      <c r="G140" s="54"/>
      <c r="H140" s="54"/>
      <c r="I140" s="54"/>
    </row>
    <row r="141" spans="3:9" x14ac:dyDescent="0.3">
      <c r="C141" s="1109" t="s">
        <v>843</v>
      </c>
      <c r="D141" s="1109"/>
      <c r="E141" s="1109"/>
      <c r="F141" s="1109"/>
      <c r="G141" s="1109"/>
      <c r="H141" s="1109"/>
      <c r="I141" s="1109"/>
    </row>
    <row r="142" spans="3:9" x14ac:dyDescent="0.3">
      <c r="C142" s="286" t="s">
        <v>49</v>
      </c>
      <c r="D142" s="22" t="s">
        <v>7</v>
      </c>
      <c r="E142" s="22">
        <v>2016</v>
      </c>
      <c r="F142" s="22">
        <v>2017</v>
      </c>
      <c r="G142" s="22">
        <v>2018</v>
      </c>
      <c r="H142" s="22">
        <v>2019</v>
      </c>
      <c r="I142" s="22">
        <v>2020</v>
      </c>
    </row>
    <row r="143" spans="3:9" x14ac:dyDescent="0.3">
      <c r="C143" s="286" t="s">
        <v>840</v>
      </c>
      <c r="D143" s="19"/>
      <c r="E143" s="22"/>
      <c r="F143" s="22"/>
      <c r="G143" s="22"/>
      <c r="H143" s="22"/>
      <c r="I143" s="22"/>
    </row>
    <row r="144" spans="3:9" x14ac:dyDescent="0.3">
      <c r="C144" s="290" t="s">
        <v>841</v>
      </c>
      <c r="D144" s="19"/>
      <c r="E144" s="22"/>
      <c r="F144" s="22"/>
      <c r="G144" s="22"/>
      <c r="H144" s="22">
        <v>14</v>
      </c>
      <c r="I144" s="22">
        <v>16</v>
      </c>
    </row>
    <row r="145" spans="3:9" x14ac:dyDescent="0.3">
      <c r="C145" s="290" t="s">
        <v>842</v>
      </c>
      <c r="D145" s="19"/>
      <c r="E145" s="22"/>
      <c r="F145" s="22"/>
      <c r="G145" s="22"/>
      <c r="H145" s="22">
        <v>1</v>
      </c>
      <c r="I145" s="22" t="s">
        <v>839</v>
      </c>
    </row>
    <row r="146" spans="3:9" x14ac:dyDescent="0.3">
      <c r="C146" s="290"/>
      <c r="D146" s="19"/>
      <c r="E146" s="22"/>
      <c r="F146" s="22"/>
      <c r="G146" s="22"/>
      <c r="H146" s="22">
        <f>SUM(H144:H145)</f>
        <v>15</v>
      </c>
      <c r="I146" s="22">
        <v>16</v>
      </c>
    </row>
    <row r="147" spans="3:9" x14ac:dyDescent="0.3">
      <c r="C147" s="290"/>
      <c r="D147" s="19"/>
      <c r="E147" s="22"/>
      <c r="F147" s="22"/>
      <c r="G147" s="22"/>
      <c r="H147" s="22"/>
      <c r="I147" s="22"/>
    </row>
    <row r="148" spans="3:9" x14ac:dyDescent="0.3">
      <c r="C148" s="300"/>
      <c r="E148" s="54"/>
      <c r="F148" s="54"/>
      <c r="G148" s="54"/>
      <c r="H148" s="54"/>
      <c r="I148" s="54"/>
    </row>
    <row r="150" spans="3:9" ht="14.5" x14ac:dyDescent="0.35">
      <c r="C150" s="1093" t="s">
        <v>605</v>
      </c>
      <c r="D150" s="1093"/>
      <c r="E150" s="1093"/>
      <c r="F150" s="1093"/>
      <c r="G150" s="1093"/>
      <c r="H150" s="1093"/>
      <c r="I150" s="1093"/>
    </row>
    <row r="151" spans="3:9" x14ac:dyDescent="0.3">
      <c r="C151" s="22" t="s">
        <v>49</v>
      </c>
      <c r="D151" s="22" t="s">
        <v>50</v>
      </c>
      <c r="E151" s="297" t="s">
        <v>950</v>
      </c>
      <c r="F151" s="297" t="s">
        <v>951</v>
      </c>
      <c r="G151" s="297" t="s">
        <v>952</v>
      </c>
      <c r="H151" s="297" t="s">
        <v>953</v>
      </c>
      <c r="I151" s="297" t="s">
        <v>954</v>
      </c>
    </row>
    <row r="152" spans="3:9" x14ac:dyDescent="0.3">
      <c r="C152" s="301" t="s">
        <v>96</v>
      </c>
      <c r="D152" s="19"/>
      <c r="E152" s="19"/>
      <c r="F152" s="19"/>
      <c r="G152" s="19"/>
      <c r="H152" s="19"/>
      <c r="I152" s="19"/>
    </row>
    <row r="153" spans="3:9" x14ac:dyDescent="0.3">
      <c r="C153" s="22" t="s">
        <v>95</v>
      </c>
      <c r="D153" s="19"/>
      <c r="E153" s="19"/>
      <c r="F153" s="19"/>
      <c r="G153" s="19"/>
      <c r="H153" s="19"/>
      <c r="I153" s="19"/>
    </row>
    <row r="154" spans="3:9" x14ac:dyDescent="0.3">
      <c r="C154" s="19" t="s">
        <v>97</v>
      </c>
      <c r="D154" s="19"/>
      <c r="E154" s="19">
        <v>2236</v>
      </c>
      <c r="F154" s="19">
        <v>2296</v>
      </c>
      <c r="G154" s="19">
        <v>2182</v>
      </c>
      <c r="H154" s="19">
        <v>1695</v>
      </c>
      <c r="I154" s="19">
        <v>1786</v>
      </c>
    </row>
    <row r="155" spans="3:9" x14ac:dyDescent="0.3">
      <c r="C155" s="19" t="s">
        <v>98</v>
      </c>
      <c r="D155" s="19"/>
      <c r="E155" s="296">
        <v>-106</v>
      </c>
      <c r="F155" s="19">
        <v>3</v>
      </c>
      <c r="G155" s="19">
        <v>6</v>
      </c>
      <c r="H155" s="19">
        <v>19</v>
      </c>
      <c r="I155" s="93">
        <v>-106</v>
      </c>
    </row>
    <row r="156" spans="3:9" x14ac:dyDescent="0.3">
      <c r="C156" s="19"/>
      <c r="D156" s="19"/>
      <c r="E156" s="22">
        <v>2130</v>
      </c>
      <c r="F156" s="22">
        <v>2299</v>
      </c>
      <c r="G156" s="22">
        <v>2188</v>
      </c>
      <c r="H156" s="22">
        <v>1714</v>
      </c>
      <c r="I156" s="22">
        <f>SUM(I154:I155)</f>
        <v>1680</v>
      </c>
    </row>
    <row r="157" spans="3:9" x14ac:dyDescent="0.3">
      <c r="C157" s="22" t="s">
        <v>99</v>
      </c>
      <c r="D157" s="19"/>
      <c r="E157" s="19"/>
      <c r="F157" s="19"/>
      <c r="G157" s="19"/>
      <c r="H157" s="19"/>
      <c r="I157" s="19"/>
    </row>
    <row r="158" spans="3:9" x14ac:dyDescent="0.3">
      <c r="C158" s="19" t="s">
        <v>97</v>
      </c>
      <c r="D158" s="19"/>
      <c r="E158" s="19">
        <v>161</v>
      </c>
      <c r="F158" s="296">
        <v>-606</v>
      </c>
      <c r="G158" s="296">
        <v>-53</v>
      </c>
      <c r="H158" s="19">
        <v>271</v>
      </c>
      <c r="I158" s="19">
        <v>1103</v>
      </c>
    </row>
    <row r="159" spans="3:9" x14ac:dyDescent="0.3">
      <c r="C159" s="19"/>
      <c r="D159" s="19"/>
      <c r="E159" s="22">
        <v>161</v>
      </c>
      <c r="F159" s="291">
        <v>-606</v>
      </c>
      <c r="G159" s="291">
        <v>-53</v>
      </c>
      <c r="H159" s="22">
        <v>271</v>
      </c>
      <c r="I159" s="22">
        <f>SUM(I158)</f>
        <v>1103</v>
      </c>
    </row>
    <row r="160" spans="3:9" x14ac:dyDescent="0.3">
      <c r="C160" s="22" t="s">
        <v>100</v>
      </c>
      <c r="D160" s="19"/>
      <c r="E160" s="22">
        <v>2291</v>
      </c>
      <c r="F160" s="22">
        <v>1660</v>
      </c>
      <c r="G160" s="22">
        <v>2135</v>
      </c>
      <c r="H160" s="22">
        <v>1985</v>
      </c>
      <c r="I160" s="22">
        <f>SUM(I159,I156)</f>
        <v>2783</v>
      </c>
    </row>
    <row r="161" spans="3:9" x14ac:dyDescent="0.3">
      <c r="C161" s="301" t="s">
        <v>101</v>
      </c>
      <c r="D161" s="19"/>
      <c r="E161" s="19"/>
      <c r="F161" s="19"/>
      <c r="G161" s="19"/>
      <c r="H161" s="19"/>
      <c r="I161" s="19"/>
    </row>
    <row r="162" spans="3:9" x14ac:dyDescent="0.3">
      <c r="C162" s="19" t="s">
        <v>99</v>
      </c>
      <c r="D162" s="19"/>
      <c r="E162" s="19"/>
      <c r="F162" s="19"/>
      <c r="G162" s="19"/>
      <c r="H162" s="19"/>
      <c r="I162" s="19"/>
    </row>
    <row r="163" spans="3:9" x14ac:dyDescent="0.3">
      <c r="C163" s="19" t="s">
        <v>102</v>
      </c>
      <c r="D163" s="19"/>
      <c r="E163" s="19"/>
      <c r="F163" s="19"/>
      <c r="G163" s="19"/>
      <c r="H163" s="19"/>
      <c r="I163" s="19"/>
    </row>
    <row r="164" spans="3:9" x14ac:dyDescent="0.3">
      <c r="C164" s="19" t="s">
        <v>103</v>
      </c>
      <c r="D164" s="19"/>
      <c r="E164" s="19">
        <v>3</v>
      </c>
      <c r="F164" s="19">
        <v>5</v>
      </c>
      <c r="G164" s="296">
        <v>-3</v>
      </c>
      <c r="H164" s="19">
        <v>6</v>
      </c>
      <c r="I164" s="19">
        <v>4</v>
      </c>
    </row>
    <row r="165" spans="3:9" x14ac:dyDescent="0.3">
      <c r="C165" s="22" t="s">
        <v>104</v>
      </c>
      <c r="D165" s="19"/>
      <c r="E165" s="22">
        <v>3</v>
      </c>
      <c r="F165" s="22">
        <v>5</v>
      </c>
      <c r="G165" s="291">
        <v>-3</v>
      </c>
      <c r="H165" s="22">
        <v>6</v>
      </c>
      <c r="I165" s="22">
        <v>4</v>
      </c>
    </row>
    <row r="166" spans="3:9" x14ac:dyDescent="0.3">
      <c r="C166" s="22" t="s">
        <v>105</v>
      </c>
      <c r="D166" s="19"/>
      <c r="E166" s="22">
        <v>3</v>
      </c>
      <c r="F166" s="22">
        <v>5</v>
      </c>
      <c r="G166" s="22"/>
      <c r="H166" s="22">
        <v>6</v>
      </c>
      <c r="I166" s="22">
        <v>4</v>
      </c>
    </row>
    <row r="167" spans="3:9" x14ac:dyDescent="0.3">
      <c r="C167" s="301" t="s">
        <v>106</v>
      </c>
      <c r="D167" s="19"/>
      <c r="E167" s="19"/>
      <c r="F167" s="19"/>
      <c r="G167" s="19"/>
      <c r="H167" s="19"/>
      <c r="I167" s="19"/>
    </row>
    <row r="168" spans="3:9" x14ac:dyDescent="0.3">
      <c r="C168" s="19" t="s">
        <v>107</v>
      </c>
      <c r="D168" s="19"/>
      <c r="E168" s="19">
        <v>8787</v>
      </c>
      <c r="F168" s="19">
        <v>5273</v>
      </c>
      <c r="G168" s="19">
        <v>6245</v>
      </c>
      <c r="H168" s="19">
        <v>6097</v>
      </c>
      <c r="I168" s="19">
        <v>8225</v>
      </c>
    </row>
    <row r="169" spans="3:9" x14ac:dyDescent="0.3">
      <c r="C169" s="19" t="s">
        <v>108</v>
      </c>
      <c r="D169" s="19"/>
      <c r="E169" s="302">
        <v>0.36609999999999998</v>
      </c>
      <c r="F169" s="302">
        <v>0.34610000000000002</v>
      </c>
      <c r="G169" s="302">
        <v>0.34610000000000002</v>
      </c>
      <c r="H169" s="302">
        <v>0.34939999999999999</v>
      </c>
      <c r="I169" s="302">
        <v>0.34939999999999999</v>
      </c>
    </row>
    <row r="170" spans="3:9" x14ac:dyDescent="0.3">
      <c r="C170" s="22" t="s">
        <v>847</v>
      </c>
      <c r="D170" s="19" t="s">
        <v>845</v>
      </c>
      <c r="E170" s="22">
        <v>3031</v>
      </c>
      <c r="F170" s="22">
        <v>1825</v>
      </c>
      <c r="G170" s="22">
        <v>2161</v>
      </c>
      <c r="H170" s="22">
        <v>2130</v>
      </c>
      <c r="I170" s="303">
        <f>I168*I169</f>
        <v>2873.8150000000001</v>
      </c>
    </row>
    <row r="171" spans="3:9" x14ac:dyDescent="0.3">
      <c r="C171" s="19" t="s">
        <v>109</v>
      </c>
      <c r="D171" s="19"/>
      <c r="E171" s="19"/>
      <c r="F171" s="19"/>
      <c r="G171" s="19"/>
      <c r="H171" s="19"/>
      <c r="I171" s="19"/>
    </row>
    <row r="172" spans="3:9" x14ac:dyDescent="0.3">
      <c r="C172" s="19" t="s">
        <v>110</v>
      </c>
      <c r="D172" s="19"/>
      <c r="E172" s="296">
        <v>-31</v>
      </c>
      <c r="F172" s="296">
        <v>-18</v>
      </c>
      <c r="G172" s="296">
        <v>-26</v>
      </c>
      <c r="H172" s="296">
        <v>-42</v>
      </c>
      <c r="I172" s="93">
        <v>-23</v>
      </c>
    </row>
    <row r="173" spans="3:9" x14ac:dyDescent="0.3">
      <c r="C173" s="296" t="s">
        <v>111</v>
      </c>
      <c r="D173" s="19"/>
      <c r="E173" s="296">
        <v>-694</v>
      </c>
      <c r="F173" s="296">
        <v>-163</v>
      </c>
      <c r="G173" s="296" t="s">
        <v>40</v>
      </c>
      <c r="H173" s="19">
        <v>19</v>
      </c>
      <c r="I173" s="19">
        <v>1</v>
      </c>
    </row>
    <row r="174" spans="3:9" x14ac:dyDescent="0.3">
      <c r="C174" s="296" t="s">
        <v>844</v>
      </c>
      <c r="D174" s="19"/>
      <c r="E174" s="296" t="s">
        <v>40</v>
      </c>
      <c r="F174" s="296" t="s">
        <v>40</v>
      </c>
      <c r="G174" s="296" t="s">
        <v>40</v>
      </c>
      <c r="H174" s="19" t="s">
        <v>40</v>
      </c>
      <c r="I174" s="93">
        <v>-809</v>
      </c>
    </row>
    <row r="175" spans="3:9" x14ac:dyDescent="0.3">
      <c r="C175" s="19" t="s">
        <v>112</v>
      </c>
      <c r="D175" s="19"/>
      <c r="E175" s="19">
        <v>204</v>
      </c>
      <c r="F175" s="19">
        <v>249</v>
      </c>
      <c r="G175" s="19">
        <v>383</v>
      </c>
      <c r="H175" s="19">
        <v>273</v>
      </c>
      <c r="I175" s="19">
        <v>187</v>
      </c>
    </row>
    <row r="176" spans="3:9" x14ac:dyDescent="0.3">
      <c r="C176" s="19" t="s">
        <v>113</v>
      </c>
      <c r="D176" s="19"/>
      <c r="E176" s="296">
        <v>-274</v>
      </c>
      <c r="F176" s="296">
        <v>-232</v>
      </c>
      <c r="G176" s="296">
        <v>-256</v>
      </c>
      <c r="H176" s="296">
        <v>-223</v>
      </c>
      <c r="I176" s="93">
        <v>-214</v>
      </c>
    </row>
    <row r="177" spans="3:9" x14ac:dyDescent="0.3">
      <c r="C177" s="19" t="s">
        <v>117</v>
      </c>
      <c r="D177" s="19"/>
      <c r="E177" s="19"/>
      <c r="F177" s="19">
        <v>3</v>
      </c>
      <c r="G177" s="19">
        <v>6</v>
      </c>
      <c r="H177" s="19">
        <v>19</v>
      </c>
      <c r="I177" s="93">
        <v>-8</v>
      </c>
    </row>
    <row r="178" spans="3:9" x14ac:dyDescent="0.3">
      <c r="C178" s="19" t="s">
        <v>114</v>
      </c>
      <c r="D178" s="19"/>
      <c r="E178" s="296">
        <v>-106</v>
      </c>
      <c r="F178" s="296">
        <v>-15</v>
      </c>
      <c r="G178" s="296">
        <v>-31</v>
      </c>
      <c r="H178" s="296">
        <v>-36</v>
      </c>
      <c r="I178" s="304">
        <v>-147</v>
      </c>
    </row>
    <row r="179" spans="3:9" x14ac:dyDescent="0.3">
      <c r="C179" s="19" t="s">
        <v>115</v>
      </c>
      <c r="D179" s="19"/>
      <c r="E179" s="19">
        <v>20</v>
      </c>
      <c r="F179" s="19">
        <v>7</v>
      </c>
      <c r="G179" s="296">
        <v>-113</v>
      </c>
      <c r="H179" s="296">
        <v>-183</v>
      </c>
      <c r="I179" s="304">
        <v>695</v>
      </c>
    </row>
    <row r="180" spans="3:9" x14ac:dyDescent="0.3">
      <c r="C180" s="19" t="s">
        <v>116</v>
      </c>
      <c r="D180" s="19"/>
      <c r="E180" s="19">
        <v>8</v>
      </c>
      <c r="F180" s="19">
        <v>4</v>
      </c>
      <c r="G180" s="19">
        <v>11</v>
      </c>
      <c r="H180" s="19">
        <v>28</v>
      </c>
      <c r="I180" s="304">
        <v>68</v>
      </c>
    </row>
    <row r="181" spans="3:9" x14ac:dyDescent="0.3">
      <c r="C181" s="22"/>
      <c r="D181" s="19" t="s">
        <v>846</v>
      </c>
      <c r="E181" s="19">
        <v>133</v>
      </c>
      <c r="F181" s="296">
        <v>-165</v>
      </c>
      <c r="G181" s="296">
        <v>-26</v>
      </c>
      <c r="H181" s="296">
        <v>-145</v>
      </c>
      <c r="I181" s="304">
        <v>-91</v>
      </c>
    </row>
    <row r="182" spans="3:9" x14ac:dyDescent="0.3">
      <c r="C182" s="19"/>
      <c r="D182" s="19"/>
      <c r="E182" s="22"/>
      <c r="F182" s="19"/>
      <c r="G182" s="19"/>
      <c r="H182" s="19"/>
      <c r="I182" s="19"/>
    </row>
    <row r="183" spans="3:9" x14ac:dyDescent="0.3">
      <c r="C183" s="19" t="s">
        <v>118</v>
      </c>
      <c r="D183" s="19"/>
      <c r="E183" s="22">
        <v>2291</v>
      </c>
      <c r="F183" s="22">
        <v>1660</v>
      </c>
      <c r="G183" s="22">
        <v>2135</v>
      </c>
      <c r="H183" s="22">
        <v>1985</v>
      </c>
      <c r="I183" s="305">
        <f>SUM(I181,I170)</f>
        <v>2782.8150000000001</v>
      </c>
    </row>
    <row r="185" spans="3:9" x14ac:dyDescent="0.3">
      <c r="C185" s="1120" t="s">
        <v>550</v>
      </c>
      <c r="D185" s="1120"/>
      <c r="E185" s="1120"/>
      <c r="F185" s="1120"/>
      <c r="G185" s="1120"/>
      <c r="H185" s="1120"/>
      <c r="I185" s="1120"/>
    </row>
    <row r="187" spans="3:9" x14ac:dyDescent="0.3">
      <c r="C187" s="22" t="s">
        <v>49</v>
      </c>
      <c r="D187" s="22" t="s">
        <v>50</v>
      </c>
      <c r="E187" s="297" t="s">
        <v>950</v>
      </c>
      <c r="F187" s="297" t="s">
        <v>951</v>
      </c>
      <c r="G187" s="297" t="s">
        <v>952</v>
      </c>
      <c r="H187" s="297" t="s">
        <v>953</v>
      </c>
      <c r="I187" s="297" t="s">
        <v>954</v>
      </c>
    </row>
    <row r="188" spans="3:9" x14ac:dyDescent="0.3">
      <c r="C188" s="19" t="s">
        <v>120</v>
      </c>
      <c r="D188" s="19"/>
      <c r="E188" s="19">
        <v>6089</v>
      </c>
      <c r="F188" s="19">
        <v>2649</v>
      </c>
      <c r="G188" s="19">
        <v>3713</v>
      </c>
      <c r="H188" s="19">
        <v>4156</v>
      </c>
      <c r="I188" s="19">
        <v>4031</v>
      </c>
    </row>
    <row r="189" spans="3:9" x14ac:dyDescent="0.3">
      <c r="C189" s="19" t="s">
        <v>121</v>
      </c>
      <c r="D189" s="19"/>
      <c r="E189" s="19"/>
      <c r="F189" s="19"/>
      <c r="G189" s="19"/>
      <c r="H189" s="19"/>
      <c r="I189" s="19"/>
    </row>
    <row r="190" spans="3:9" x14ac:dyDescent="0.3">
      <c r="C190" s="19" t="s">
        <v>122</v>
      </c>
      <c r="D190" s="19"/>
      <c r="E190" s="19">
        <v>375000000</v>
      </c>
      <c r="F190" s="19">
        <v>375000000</v>
      </c>
      <c r="G190" s="19">
        <v>375000000</v>
      </c>
      <c r="H190" s="19">
        <v>375000000</v>
      </c>
      <c r="I190" s="19">
        <v>379338879</v>
      </c>
    </row>
    <row r="191" spans="3:9" x14ac:dyDescent="0.3">
      <c r="C191" s="19" t="s">
        <v>123</v>
      </c>
      <c r="D191" s="19"/>
      <c r="E191" s="19">
        <v>375000000</v>
      </c>
      <c r="F191" s="19">
        <v>375000000</v>
      </c>
      <c r="G191" s="19">
        <v>375000000</v>
      </c>
      <c r="H191" s="19">
        <v>375000000</v>
      </c>
      <c r="I191" s="19">
        <v>379338879</v>
      </c>
    </row>
    <row r="192" spans="3:9" x14ac:dyDescent="0.3">
      <c r="C192" s="19" t="s">
        <v>124</v>
      </c>
      <c r="D192" s="19"/>
      <c r="E192" s="19">
        <v>10</v>
      </c>
      <c r="F192" s="19">
        <v>10</v>
      </c>
      <c r="G192" s="19">
        <v>10</v>
      </c>
      <c r="H192" s="19">
        <v>10</v>
      </c>
      <c r="I192" s="19">
        <v>10</v>
      </c>
    </row>
    <row r="193" spans="3:10" x14ac:dyDescent="0.3">
      <c r="C193" s="290" t="s">
        <v>119</v>
      </c>
      <c r="D193" s="19"/>
      <c r="E193" s="19"/>
      <c r="F193" s="19"/>
      <c r="G193" s="19"/>
      <c r="H193" s="19"/>
      <c r="I193" s="19"/>
    </row>
    <row r="194" spans="3:10" x14ac:dyDescent="0.3">
      <c r="C194" s="19" t="s">
        <v>125</v>
      </c>
      <c r="D194" s="19"/>
      <c r="E194" s="19">
        <v>16.3</v>
      </c>
      <c r="F194" s="19">
        <v>7.06</v>
      </c>
      <c r="G194" s="19">
        <v>9.9</v>
      </c>
      <c r="H194" s="19">
        <v>11.08</v>
      </c>
      <c r="I194" s="19">
        <v>10.63</v>
      </c>
    </row>
    <row r="195" spans="3:10" x14ac:dyDescent="0.3">
      <c r="C195" s="19" t="s">
        <v>126</v>
      </c>
      <c r="D195" s="19"/>
      <c r="E195" s="19">
        <v>16.3</v>
      </c>
      <c r="F195" s="19">
        <v>7.06</v>
      </c>
      <c r="G195" s="19">
        <v>9.9</v>
      </c>
      <c r="H195" s="19">
        <v>11.08</v>
      </c>
      <c r="I195" s="19">
        <v>10.63</v>
      </c>
    </row>
    <row r="197" spans="3:10" ht="14.5" x14ac:dyDescent="0.3">
      <c r="C197" s="1121" t="s">
        <v>551</v>
      </c>
      <c r="D197" s="1121"/>
      <c r="E197" s="1121"/>
      <c r="F197" s="1121"/>
      <c r="G197" s="1121"/>
      <c r="H197" s="1121"/>
      <c r="I197" s="1121"/>
    </row>
    <row r="199" spans="3:10" x14ac:dyDescent="0.3">
      <c r="C199" s="22" t="s">
        <v>49</v>
      </c>
      <c r="D199" s="22" t="s">
        <v>50</v>
      </c>
      <c r="E199" s="1">
        <v>2016</v>
      </c>
      <c r="F199" s="1">
        <v>2017</v>
      </c>
      <c r="G199" s="1">
        <v>2018</v>
      </c>
      <c r="H199" s="1">
        <v>2019</v>
      </c>
      <c r="I199" s="22">
        <v>2020</v>
      </c>
    </row>
    <row r="200" spans="3:10" x14ac:dyDescent="0.3">
      <c r="C200" s="19" t="s">
        <v>127</v>
      </c>
      <c r="D200" s="19"/>
      <c r="E200" s="19"/>
      <c r="F200" s="19"/>
      <c r="G200" s="19">
        <v>66918</v>
      </c>
      <c r="H200" s="19">
        <v>57127</v>
      </c>
      <c r="I200" s="19">
        <v>131501</v>
      </c>
    </row>
    <row r="201" spans="3:10" x14ac:dyDescent="0.3">
      <c r="C201" s="19" t="s">
        <v>128</v>
      </c>
      <c r="D201" s="19"/>
      <c r="E201" s="19"/>
      <c r="F201" s="19"/>
      <c r="G201" s="19"/>
      <c r="H201" s="19">
        <v>61</v>
      </c>
      <c r="I201" s="19" t="s">
        <v>40</v>
      </c>
    </row>
    <row r="202" spans="3:10" x14ac:dyDescent="0.3">
      <c r="C202" s="19" t="s">
        <v>129</v>
      </c>
      <c r="D202" s="19"/>
      <c r="E202" s="19"/>
      <c r="F202" s="19"/>
      <c r="G202" s="19"/>
      <c r="H202" s="19">
        <v>59362</v>
      </c>
      <c r="I202" s="19" t="s">
        <v>40</v>
      </c>
    </row>
    <row r="203" spans="3:10" x14ac:dyDescent="0.3">
      <c r="C203" s="19" t="s">
        <v>130</v>
      </c>
      <c r="D203" s="19"/>
      <c r="E203" s="19"/>
      <c r="F203" s="19"/>
      <c r="G203" s="19"/>
      <c r="H203" s="19">
        <v>144</v>
      </c>
      <c r="I203" s="19">
        <v>2</v>
      </c>
    </row>
    <row r="204" spans="3:10" x14ac:dyDescent="0.3">
      <c r="C204" s="19" t="s">
        <v>814</v>
      </c>
      <c r="D204" s="19"/>
      <c r="E204" s="19"/>
      <c r="F204" s="19"/>
      <c r="G204" s="19"/>
      <c r="H204" s="19" t="s">
        <v>40</v>
      </c>
      <c r="I204" s="93">
        <v>-257</v>
      </c>
    </row>
    <row r="205" spans="3:10" x14ac:dyDescent="0.3">
      <c r="C205" s="19" t="s">
        <v>131</v>
      </c>
      <c r="D205" s="19"/>
      <c r="E205" s="19"/>
      <c r="F205" s="19"/>
      <c r="G205" s="296">
        <v>-7038</v>
      </c>
      <c r="H205" s="296">
        <v>-131</v>
      </c>
      <c r="I205" s="93">
        <v>-890</v>
      </c>
    </row>
    <row r="206" spans="3:10" x14ac:dyDescent="0.3">
      <c r="C206" s="19" t="s">
        <v>132</v>
      </c>
      <c r="D206" s="19"/>
      <c r="E206" s="19"/>
      <c r="F206" s="19"/>
      <c r="G206" s="296">
        <v>-57127</v>
      </c>
      <c r="H206" s="296">
        <v>-131501</v>
      </c>
      <c r="I206" s="93">
        <v>-113750</v>
      </c>
      <c r="J206" s="777"/>
    </row>
    <row r="207" spans="3:10" x14ac:dyDescent="0.3">
      <c r="C207" s="19"/>
      <c r="D207" s="19"/>
      <c r="E207" s="22">
        <f>SUM(E200:E206)</f>
        <v>0</v>
      </c>
      <c r="F207" s="22">
        <f>SUM(F200:F206)</f>
        <v>0</v>
      </c>
      <c r="G207" s="22">
        <f>SUM(G200:G206)</f>
        <v>2753</v>
      </c>
      <c r="H207" s="306">
        <f>SUM(H200:H206)</f>
        <v>-14938</v>
      </c>
      <c r="I207" s="22">
        <f>SUM(I200:I206)</f>
        <v>16606</v>
      </c>
      <c r="J207" s="17" t="s">
        <v>1068</v>
      </c>
    </row>
    <row r="208" spans="3:10" x14ac:dyDescent="0.3">
      <c r="D208" s="17" t="s">
        <v>959</v>
      </c>
      <c r="F208" s="17" t="e">
        <f>(F207-E207)/E207</f>
        <v>#DIV/0!</v>
      </c>
      <c r="G208" s="17" t="e">
        <f t="shared" ref="G208:I208" si="7">(G207-F207)/F207</f>
        <v>#DIV/0!</v>
      </c>
      <c r="H208" s="17">
        <f t="shared" si="7"/>
        <v>-6.4260806393025787</v>
      </c>
      <c r="I208" s="17">
        <f t="shared" si="7"/>
        <v>-2.1116615343419469</v>
      </c>
    </row>
    <row r="209" spans="3:8" ht="14.5" x14ac:dyDescent="0.35">
      <c r="C209" s="1100" t="s">
        <v>552</v>
      </c>
      <c r="D209" s="1100"/>
      <c r="E209" s="1100"/>
      <c r="F209" s="1100"/>
      <c r="G209" s="1100"/>
      <c r="H209" s="1100"/>
    </row>
    <row r="210" spans="3:8" x14ac:dyDescent="0.3">
      <c r="C210" s="22" t="s">
        <v>49</v>
      </c>
      <c r="D210" s="22" t="s">
        <v>50</v>
      </c>
      <c r="E210" s="1">
        <v>2016</v>
      </c>
      <c r="F210" s="1">
        <v>2017</v>
      </c>
      <c r="G210" s="1">
        <v>2018</v>
      </c>
      <c r="H210" s="1">
        <v>2019</v>
      </c>
    </row>
    <row r="211" spans="3:8" x14ac:dyDescent="0.3">
      <c r="C211" s="290" t="s">
        <v>133</v>
      </c>
      <c r="D211" s="19"/>
      <c r="E211" s="19"/>
      <c r="F211" s="19"/>
      <c r="G211" s="19"/>
      <c r="H211" s="19"/>
    </row>
    <row r="212" spans="3:8" x14ac:dyDescent="0.3">
      <c r="C212" s="19" t="s">
        <v>135</v>
      </c>
      <c r="D212" s="19"/>
      <c r="E212" s="19">
        <v>2205</v>
      </c>
      <c r="F212" s="19">
        <v>2369</v>
      </c>
      <c r="G212" s="19"/>
      <c r="H212" s="19"/>
    </row>
    <row r="213" spans="3:8" x14ac:dyDescent="0.3">
      <c r="C213" s="19" t="s">
        <v>136</v>
      </c>
      <c r="D213" s="19"/>
      <c r="E213" s="19">
        <v>82</v>
      </c>
      <c r="F213" s="19">
        <v>155</v>
      </c>
      <c r="G213" s="19"/>
      <c r="H213" s="19"/>
    </row>
    <row r="214" spans="3:8" x14ac:dyDescent="0.3">
      <c r="C214" s="19" t="s">
        <v>134</v>
      </c>
      <c r="D214" s="19"/>
      <c r="E214" s="19"/>
      <c r="F214" s="19"/>
      <c r="G214" s="19"/>
      <c r="H214" s="19"/>
    </row>
    <row r="215" spans="3:8" x14ac:dyDescent="0.3">
      <c r="C215" s="19" t="s">
        <v>137</v>
      </c>
      <c r="D215" s="19"/>
      <c r="E215" s="19">
        <v>2081</v>
      </c>
      <c r="F215" s="19">
        <v>2125</v>
      </c>
      <c r="G215" s="19"/>
      <c r="H215" s="19"/>
    </row>
    <row r="216" spans="3:8" x14ac:dyDescent="0.3">
      <c r="C216" s="19" t="s">
        <v>138</v>
      </c>
      <c r="D216" s="19"/>
      <c r="E216" s="19">
        <v>6</v>
      </c>
      <c r="F216" s="19">
        <v>6</v>
      </c>
      <c r="G216" s="19"/>
      <c r="H216" s="19"/>
    </row>
    <row r="217" spans="3:8" x14ac:dyDescent="0.3">
      <c r="C217" s="19" t="s">
        <v>139</v>
      </c>
      <c r="D217" s="19"/>
      <c r="E217" s="19">
        <v>306</v>
      </c>
      <c r="F217" s="19">
        <v>320</v>
      </c>
      <c r="G217" s="19"/>
      <c r="H217" s="19"/>
    </row>
    <row r="218" spans="3:8" x14ac:dyDescent="0.3">
      <c r="C218" s="296" t="s">
        <v>140</v>
      </c>
      <c r="D218" s="19"/>
      <c r="E218" s="19">
        <v>8</v>
      </c>
      <c r="F218" s="19">
        <v>6</v>
      </c>
      <c r="G218" s="19"/>
      <c r="H218" s="19"/>
    </row>
    <row r="219" spans="3:8" x14ac:dyDescent="0.3">
      <c r="C219" s="296" t="s">
        <v>141</v>
      </c>
      <c r="D219" s="19"/>
      <c r="E219" s="19">
        <v>27</v>
      </c>
      <c r="F219" s="19">
        <v>27</v>
      </c>
      <c r="G219" s="19"/>
      <c r="H219" s="19"/>
    </row>
    <row r="220" spans="3:8" x14ac:dyDescent="0.3">
      <c r="C220" s="19" t="s">
        <v>142</v>
      </c>
      <c r="D220" s="19"/>
      <c r="E220" s="19">
        <v>3</v>
      </c>
      <c r="F220" s="19">
        <v>1</v>
      </c>
      <c r="G220" s="19"/>
      <c r="H220" s="19"/>
    </row>
    <row r="221" spans="3:8" x14ac:dyDescent="0.3">
      <c r="C221" s="19" t="s">
        <v>143</v>
      </c>
      <c r="D221" s="19"/>
      <c r="E221" s="19">
        <v>158</v>
      </c>
      <c r="F221" s="19">
        <v>172</v>
      </c>
      <c r="G221" s="19"/>
      <c r="H221" s="19"/>
    </row>
    <row r="222" spans="3:8" x14ac:dyDescent="0.3">
      <c r="C222" s="19" t="s">
        <v>144</v>
      </c>
      <c r="D222" s="19"/>
      <c r="E222" s="19">
        <v>34</v>
      </c>
      <c r="F222" s="19">
        <v>28</v>
      </c>
      <c r="G222" s="19"/>
      <c r="H222" s="19"/>
    </row>
    <row r="223" spans="3:8" x14ac:dyDescent="0.3">
      <c r="C223" s="19" t="s">
        <v>145</v>
      </c>
      <c r="D223" s="19"/>
      <c r="E223" s="19">
        <v>23</v>
      </c>
      <c r="F223" s="19">
        <v>24</v>
      </c>
      <c r="G223" s="19"/>
      <c r="H223" s="19"/>
    </row>
    <row r="224" spans="3:8" x14ac:dyDescent="0.3">
      <c r="C224" s="19" t="s">
        <v>146</v>
      </c>
      <c r="D224" s="19"/>
      <c r="E224" s="19">
        <v>1</v>
      </c>
      <c r="F224" s="19">
        <v>2</v>
      </c>
      <c r="G224" s="19"/>
      <c r="H224" s="19"/>
    </row>
    <row r="225" spans="3:9" x14ac:dyDescent="0.3">
      <c r="C225" s="19" t="s">
        <v>147</v>
      </c>
      <c r="D225" s="19"/>
      <c r="E225" s="19">
        <v>1</v>
      </c>
      <c r="F225" s="19">
        <v>1</v>
      </c>
      <c r="G225" s="19"/>
      <c r="H225" s="19"/>
    </row>
    <row r="226" spans="3:9" x14ac:dyDescent="0.3">
      <c r="C226" s="19" t="s">
        <v>148</v>
      </c>
      <c r="D226" s="19"/>
      <c r="E226" s="19">
        <v>12</v>
      </c>
      <c r="F226" s="19">
        <v>12</v>
      </c>
      <c r="G226" s="19"/>
      <c r="H226" s="19"/>
    </row>
    <row r="227" spans="3:9" x14ac:dyDescent="0.3">
      <c r="C227" s="19" t="s">
        <v>149</v>
      </c>
      <c r="D227" s="19"/>
      <c r="E227" s="19">
        <v>9</v>
      </c>
      <c r="F227" s="19">
        <v>9</v>
      </c>
      <c r="G227" s="19"/>
      <c r="H227" s="19"/>
    </row>
    <row r="228" spans="3:9" x14ac:dyDescent="0.3">
      <c r="C228" s="19"/>
      <c r="D228" s="19"/>
      <c r="E228" s="22">
        <f>SUM(E211:E227)</f>
        <v>4956</v>
      </c>
      <c r="F228" s="22">
        <f t="shared" ref="F228:H228" si="8">SUM(F211:F227)</f>
        <v>5257</v>
      </c>
      <c r="G228" s="22">
        <f t="shared" si="8"/>
        <v>0</v>
      </c>
      <c r="H228" s="22">
        <f t="shared" si="8"/>
        <v>0</v>
      </c>
    </row>
    <row r="230" spans="3:9" ht="14.5" x14ac:dyDescent="0.35">
      <c r="C230" s="1065" t="s">
        <v>553</v>
      </c>
      <c r="D230" s="1065"/>
      <c r="E230" s="1065"/>
      <c r="F230" s="1065"/>
      <c r="G230" s="1065"/>
      <c r="H230" s="1065"/>
      <c r="I230" s="1065"/>
    </row>
    <row r="231" spans="3:9" x14ac:dyDescent="0.3">
      <c r="C231" s="22" t="s">
        <v>49</v>
      </c>
      <c r="D231" s="22" t="s">
        <v>50</v>
      </c>
      <c r="E231" s="1">
        <v>2016</v>
      </c>
      <c r="F231" s="1">
        <v>2017</v>
      </c>
      <c r="G231" s="1">
        <v>2018</v>
      </c>
      <c r="H231" s="1">
        <v>2019</v>
      </c>
      <c r="I231" s="22">
        <v>2020</v>
      </c>
    </row>
    <row r="232" spans="3:9" x14ac:dyDescent="0.3">
      <c r="C232" s="297" t="s">
        <v>221</v>
      </c>
      <c r="D232" s="19" t="str">
        <f>C238</f>
        <v>SUB NOTE 11a Investment in associates</v>
      </c>
      <c r="E232" s="19">
        <f>E260</f>
        <v>44</v>
      </c>
      <c r="F232" s="19">
        <f t="shared" ref="F232:H232" si="9">F260</f>
        <v>42</v>
      </c>
      <c r="G232" s="19">
        <f t="shared" si="9"/>
        <v>46</v>
      </c>
      <c r="H232" s="19">
        <f t="shared" si="9"/>
        <v>68</v>
      </c>
      <c r="I232" s="19" t="s">
        <v>40</v>
      </c>
    </row>
    <row r="233" spans="3:9" x14ac:dyDescent="0.3">
      <c r="C233" s="296" t="s">
        <v>222</v>
      </c>
      <c r="D233" s="19" t="s">
        <v>224</v>
      </c>
      <c r="E233" s="107">
        <f>E305</f>
        <v>2777</v>
      </c>
      <c r="F233" s="107">
        <f>F305</f>
        <v>3319</v>
      </c>
      <c r="G233" s="107">
        <f>G305</f>
        <v>4096</v>
      </c>
      <c r="H233" s="107">
        <f t="shared" ref="H233" si="10">H305</f>
        <v>7624</v>
      </c>
      <c r="I233" s="19">
        <v>7808</v>
      </c>
    </row>
    <row r="234" spans="3:9" x14ac:dyDescent="0.3">
      <c r="C234" s="291" t="s">
        <v>216</v>
      </c>
      <c r="D234" s="19"/>
      <c r="E234" s="293"/>
      <c r="F234" s="293"/>
      <c r="G234" s="293">
        <f>SUM(G232:G233)</f>
        <v>4142</v>
      </c>
      <c r="H234" s="293">
        <f>SUM(H232:H233)</f>
        <v>7692</v>
      </c>
      <c r="I234" s="22">
        <f>SUM(I232:I233)</f>
        <v>7808</v>
      </c>
    </row>
    <row r="235" spans="3:9" x14ac:dyDescent="0.3">
      <c r="C235" s="19" t="s">
        <v>223</v>
      </c>
      <c r="D235" s="19" t="s">
        <v>225</v>
      </c>
      <c r="E235" s="19">
        <f>E338</f>
        <v>77</v>
      </c>
      <c r="F235" s="19">
        <v>87</v>
      </c>
      <c r="G235" s="19">
        <f>G338</f>
        <v>93</v>
      </c>
      <c r="H235" s="19">
        <f t="shared" ref="H235" si="11">H338</f>
        <v>87</v>
      </c>
      <c r="I235" s="19">
        <v>80</v>
      </c>
    </row>
    <row r="236" spans="3:9" x14ac:dyDescent="0.3">
      <c r="C236" s="19"/>
      <c r="D236" s="19"/>
      <c r="E236" s="293">
        <f>SUM(E232:E235)</f>
        <v>2898</v>
      </c>
      <c r="F236" s="293">
        <f>SUM(F232:F235)</f>
        <v>3448</v>
      </c>
      <c r="G236" s="293">
        <f>SUM(G234:G235)</f>
        <v>4235</v>
      </c>
      <c r="H236" s="293">
        <f>SUM(H234:H235)</f>
        <v>7779</v>
      </c>
      <c r="I236" s="22">
        <f>SUM(I234:I235)</f>
        <v>7888</v>
      </c>
    </row>
    <row r="237" spans="3:9" x14ac:dyDescent="0.3">
      <c r="G237" s="46"/>
    </row>
    <row r="238" spans="3:9" x14ac:dyDescent="0.3">
      <c r="C238" s="1087" t="s">
        <v>554</v>
      </c>
      <c r="D238" s="1087"/>
      <c r="E238" s="1087"/>
      <c r="F238" s="1087"/>
      <c r="G238" s="1087"/>
      <c r="H238" s="1087"/>
      <c r="I238" s="1087"/>
    </row>
    <row r="239" spans="3:9" x14ac:dyDescent="0.3">
      <c r="C239" s="22" t="s">
        <v>49</v>
      </c>
      <c r="D239" s="22" t="s">
        <v>50</v>
      </c>
      <c r="E239" s="1">
        <v>2016</v>
      </c>
      <c r="F239" s="1">
        <v>2017</v>
      </c>
      <c r="G239" s="1">
        <v>2018</v>
      </c>
      <c r="H239" s="1">
        <v>2019</v>
      </c>
      <c r="I239" s="22">
        <v>2020</v>
      </c>
    </row>
    <row r="240" spans="3:9" x14ac:dyDescent="0.3">
      <c r="C240" s="22" t="s">
        <v>217</v>
      </c>
      <c r="D240" s="19"/>
      <c r="E240" s="19"/>
      <c r="F240" s="19"/>
      <c r="G240" s="19"/>
      <c r="H240" s="19"/>
      <c r="I240" s="19"/>
    </row>
    <row r="241" spans="3:9" x14ac:dyDescent="0.3">
      <c r="C241" s="22" t="s">
        <v>214</v>
      </c>
      <c r="D241" s="19"/>
      <c r="E241" s="19"/>
      <c r="F241" s="19"/>
      <c r="G241" s="19"/>
      <c r="H241" s="19"/>
      <c r="I241" s="19"/>
    </row>
    <row r="242" spans="3:9" x14ac:dyDescent="0.3">
      <c r="C242" s="307" t="s">
        <v>219</v>
      </c>
      <c r="D242" s="19"/>
      <c r="E242" s="296" t="s">
        <v>40</v>
      </c>
      <c r="F242" s="19"/>
      <c r="G242" s="19"/>
      <c r="H242" s="19"/>
      <c r="I242" s="19"/>
    </row>
    <row r="243" spans="3:9" x14ac:dyDescent="0.3">
      <c r="C243" s="296"/>
      <c r="D243" s="19"/>
      <c r="E243" s="19"/>
      <c r="F243" s="19"/>
      <c r="G243" s="19"/>
      <c r="H243" s="19"/>
      <c r="I243" s="19"/>
    </row>
    <row r="244" spans="3:9" x14ac:dyDescent="0.3">
      <c r="C244" s="307" t="s">
        <v>215</v>
      </c>
      <c r="D244" s="19"/>
      <c r="E244" s="19">
        <v>35</v>
      </c>
      <c r="F244" s="19">
        <v>42</v>
      </c>
      <c r="G244" s="19">
        <v>46</v>
      </c>
      <c r="H244" s="19">
        <v>68</v>
      </c>
      <c r="I244" s="19" t="s">
        <v>40</v>
      </c>
    </row>
    <row r="245" spans="3:9" x14ac:dyDescent="0.3">
      <c r="C245" s="296"/>
      <c r="D245" s="19"/>
      <c r="E245" s="296" t="s">
        <v>40</v>
      </c>
      <c r="F245" s="19"/>
      <c r="G245" s="19"/>
      <c r="H245" s="19"/>
      <c r="I245" s="19"/>
    </row>
    <row r="246" spans="3:9" x14ac:dyDescent="0.3">
      <c r="C246" s="296" t="s">
        <v>216</v>
      </c>
      <c r="D246" s="19"/>
      <c r="E246" s="19">
        <v>35</v>
      </c>
      <c r="F246" s="19">
        <v>42</v>
      </c>
      <c r="G246" s="19">
        <v>46</v>
      </c>
      <c r="H246" s="19">
        <v>68</v>
      </c>
      <c r="I246" s="19">
        <f>SUM(I244)</f>
        <v>0</v>
      </c>
    </row>
    <row r="247" spans="3:9" x14ac:dyDescent="0.3">
      <c r="C247" s="19" t="s">
        <v>220</v>
      </c>
      <c r="D247" s="19"/>
      <c r="E247" s="19"/>
      <c r="F247" s="19"/>
      <c r="G247" s="19"/>
      <c r="H247" s="19"/>
      <c r="I247" s="19"/>
    </row>
    <row r="248" spans="3:9" x14ac:dyDescent="0.3">
      <c r="C248" s="307" t="s">
        <v>218</v>
      </c>
      <c r="D248" s="19"/>
      <c r="E248" s="296" t="s">
        <v>40</v>
      </c>
      <c r="F248" s="19"/>
      <c r="G248" s="19"/>
      <c r="H248" s="19"/>
      <c r="I248" s="19"/>
    </row>
    <row r="249" spans="3:9" x14ac:dyDescent="0.3">
      <c r="C249" s="308"/>
      <c r="D249" s="19"/>
      <c r="E249" s="19"/>
      <c r="F249" s="19"/>
      <c r="G249" s="19"/>
      <c r="H249" s="19"/>
      <c r="I249" s="19"/>
    </row>
    <row r="250" spans="3:9" x14ac:dyDescent="0.3">
      <c r="C250" s="291" t="s">
        <v>216</v>
      </c>
      <c r="D250" s="19"/>
      <c r="E250" s="19"/>
      <c r="F250" s="19"/>
      <c r="G250" s="19"/>
      <c r="H250" s="19"/>
      <c r="I250" s="19"/>
    </row>
    <row r="251" spans="3:9" x14ac:dyDescent="0.3">
      <c r="C251" s="22" t="s">
        <v>229</v>
      </c>
      <c r="D251" s="19"/>
      <c r="E251" s="19"/>
      <c r="F251" s="19"/>
      <c r="G251" s="19"/>
      <c r="H251" s="19"/>
      <c r="I251" s="19"/>
    </row>
    <row r="252" spans="3:9" x14ac:dyDescent="0.3">
      <c r="C252" s="307" t="s">
        <v>219</v>
      </c>
      <c r="D252" s="19"/>
      <c r="E252" s="19"/>
      <c r="F252" s="19"/>
      <c r="G252" s="19"/>
      <c r="H252" s="19"/>
      <c r="I252" s="19"/>
    </row>
    <row r="253" spans="3:9" x14ac:dyDescent="0.3">
      <c r="C253" s="296"/>
      <c r="D253" s="19"/>
      <c r="E253" s="19"/>
      <c r="F253" s="19"/>
      <c r="G253" s="19"/>
      <c r="H253" s="19"/>
      <c r="I253" s="19"/>
    </row>
    <row r="254" spans="3:9" x14ac:dyDescent="0.3">
      <c r="C254" s="291" t="s">
        <v>216</v>
      </c>
      <c r="D254" s="19"/>
      <c r="E254" s="19"/>
      <c r="F254" s="19"/>
      <c r="G254" s="19"/>
      <c r="H254" s="19"/>
      <c r="I254" s="19"/>
    </row>
    <row r="255" spans="3:9" x14ac:dyDescent="0.3">
      <c r="C255" s="19" t="s">
        <v>226</v>
      </c>
      <c r="D255" s="19"/>
      <c r="E255" s="19"/>
      <c r="F255" s="19"/>
      <c r="G255" s="19"/>
      <c r="H255" s="19"/>
      <c r="I255" s="19"/>
    </row>
    <row r="256" spans="3:9" x14ac:dyDescent="0.3">
      <c r="C256" s="19" t="s">
        <v>214</v>
      </c>
      <c r="D256" s="19"/>
      <c r="E256" s="19"/>
      <c r="F256" s="19"/>
      <c r="G256" s="19"/>
      <c r="H256" s="19"/>
      <c r="I256" s="19"/>
    </row>
    <row r="257" spans="3:9" x14ac:dyDescent="0.3">
      <c r="C257" s="307" t="s">
        <v>227</v>
      </c>
      <c r="D257" s="19"/>
      <c r="E257" s="19">
        <v>9</v>
      </c>
      <c r="F257" s="19"/>
      <c r="G257" s="19"/>
      <c r="H257" s="19"/>
      <c r="I257" s="19"/>
    </row>
    <row r="258" spans="3:9" x14ac:dyDescent="0.3">
      <c r="C258" s="307" t="s">
        <v>228</v>
      </c>
      <c r="D258" s="19"/>
      <c r="E258" s="19"/>
      <c r="F258" s="19"/>
      <c r="G258" s="19"/>
      <c r="H258" s="19"/>
      <c r="I258" s="19"/>
    </row>
    <row r="259" spans="3:9" x14ac:dyDescent="0.3">
      <c r="C259" s="291" t="s">
        <v>216</v>
      </c>
      <c r="D259" s="19"/>
      <c r="E259" s="19">
        <v>9</v>
      </c>
      <c r="F259" s="19"/>
      <c r="G259" s="19"/>
      <c r="H259" s="19"/>
      <c r="I259" s="19"/>
    </row>
    <row r="260" spans="3:9" x14ac:dyDescent="0.3">
      <c r="C260" s="22" t="s">
        <v>195</v>
      </c>
      <c r="D260" s="19"/>
      <c r="E260" s="19">
        <f>E259+E250+E246</f>
        <v>44</v>
      </c>
      <c r="F260" s="19">
        <f t="shared" ref="F260:H260" si="12">F259+F250+F246</f>
        <v>42</v>
      </c>
      <c r="G260" s="19">
        <f t="shared" si="12"/>
        <v>46</v>
      </c>
      <c r="H260" s="19">
        <f t="shared" si="12"/>
        <v>68</v>
      </c>
      <c r="I260" s="19"/>
    </row>
    <row r="262" spans="3:9" x14ac:dyDescent="0.3">
      <c r="C262" s="1088" t="s">
        <v>555</v>
      </c>
      <c r="D262" s="1088"/>
      <c r="E262" s="1088"/>
      <c r="F262" s="1088"/>
      <c r="G262" s="1088"/>
      <c r="H262" s="1088"/>
      <c r="I262" s="1088"/>
    </row>
    <row r="263" spans="3:9" x14ac:dyDescent="0.3">
      <c r="C263" s="22" t="s">
        <v>49</v>
      </c>
      <c r="D263" s="22" t="s">
        <v>50</v>
      </c>
      <c r="E263" s="1">
        <v>2016</v>
      </c>
      <c r="F263" s="1">
        <v>2017</v>
      </c>
      <c r="G263" s="1">
        <v>2018</v>
      </c>
      <c r="H263" s="1">
        <v>2019</v>
      </c>
      <c r="I263" s="22">
        <v>2020</v>
      </c>
    </row>
    <row r="264" spans="3:9" x14ac:dyDescent="0.3">
      <c r="C264" s="22" t="s">
        <v>217</v>
      </c>
      <c r="D264" s="19"/>
      <c r="E264" s="19"/>
      <c r="F264" s="19"/>
      <c r="G264" s="19"/>
      <c r="H264" s="19"/>
      <c r="I264" s="19"/>
    </row>
    <row r="265" spans="3:9" x14ac:dyDescent="0.3">
      <c r="C265" s="22" t="s">
        <v>214</v>
      </c>
      <c r="D265" s="19"/>
      <c r="E265" s="19"/>
      <c r="F265" s="19"/>
      <c r="G265" s="19"/>
      <c r="H265" s="19"/>
      <c r="I265" s="19"/>
    </row>
    <row r="266" spans="3:9" x14ac:dyDescent="0.3">
      <c r="C266" s="307" t="s">
        <v>237</v>
      </c>
      <c r="D266" s="19"/>
      <c r="E266" s="19">
        <v>884</v>
      </c>
      <c r="F266" s="19">
        <v>1005</v>
      </c>
      <c r="G266" s="19">
        <v>1109</v>
      </c>
      <c r="H266" s="19">
        <v>1307</v>
      </c>
      <c r="I266" s="19">
        <v>1429</v>
      </c>
    </row>
    <row r="267" spans="3:9" x14ac:dyDescent="0.3">
      <c r="C267" s="307" t="s">
        <v>230</v>
      </c>
      <c r="D267" s="19"/>
      <c r="E267" s="19"/>
      <c r="F267" s="19"/>
      <c r="G267" s="19"/>
      <c r="H267" s="19"/>
      <c r="I267" s="19"/>
    </row>
    <row r="268" spans="3:9" x14ac:dyDescent="0.3">
      <c r="C268" s="307" t="s">
        <v>231</v>
      </c>
      <c r="D268" s="19"/>
      <c r="E268" s="19">
        <v>214</v>
      </c>
      <c r="F268" s="19">
        <v>212</v>
      </c>
      <c r="G268" s="19">
        <v>182</v>
      </c>
      <c r="H268" s="19"/>
      <c r="I268" s="19"/>
    </row>
    <row r="269" spans="3:9" x14ac:dyDescent="0.3">
      <c r="C269" s="307" t="s">
        <v>232</v>
      </c>
      <c r="D269" s="19"/>
      <c r="E269" s="19"/>
      <c r="F269" s="19"/>
      <c r="G269" s="19"/>
      <c r="H269" s="19"/>
      <c r="I269" s="19"/>
    </row>
    <row r="270" spans="3:9" x14ac:dyDescent="0.3">
      <c r="C270" s="307" t="s">
        <v>233</v>
      </c>
      <c r="D270" s="19"/>
      <c r="E270" s="19">
        <v>13</v>
      </c>
      <c r="F270" s="19">
        <v>13</v>
      </c>
      <c r="G270" s="19"/>
      <c r="H270" s="19">
        <v>2352</v>
      </c>
      <c r="I270" s="19">
        <v>2347</v>
      </c>
    </row>
    <row r="271" spans="3:9" x14ac:dyDescent="0.3">
      <c r="C271" s="307" t="s">
        <v>234</v>
      </c>
      <c r="D271" s="19"/>
      <c r="E271" s="19"/>
      <c r="F271" s="19"/>
      <c r="G271" s="19"/>
      <c r="H271" s="19">
        <v>841</v>
      </c>
      <c r="I271" s="19" t="s">
        <v>40</v>
      </c>
    </row>
    <row r="272" spans="3:9" ht="14.5" x14ac:dyDescent="0.35">
      <c r="C272" s="309" t="s">
        <v>854</v>
      </c>
      <c r="D272" s="19"/>
      <c r="E272" s="19" t="s">
        <v>40</v>
      </c>
      <c r="F272" s="19" t="s">
        <v>40</v>
      </c>
      <c r="G272" s="19" t="s">
        <v>40</v>
      </c>
      <c r="H272" s="19" t="s">
        <v>40</v>
      </c>
      <c r="I272" s="19">
        <v>500</v>
      </c>
    </row>
    <row r="273" spans="3:9" x14ac:dyDescent="0.3">
      <c r="C273" s="19" t="s">
        <v>852</v>
      </c>
      <c r="D273" s="19"/>
      <c r="E273" s="19" t="s">
        <v>40</v>
      </c>
      <c r="F273" s="19" t="s">
        <v>40</v>
      </c>
      <c r="G273" s="19" t="s">
        <v>40</v>
      </c>
      <c r="H273" s="19" t="s">
        <v>40</v>
      </c>
      <c r="I273" s="19">
        <v>123</v>
      </c>
    </row>
    <row r="274" spans="3:9" x14ac:dyDescent="0.3">
      <c r="C274" s="296" t="s">
        <v>853</v>
      </c>
      <c r="D274" s="19"/>
      <c r="E274" s="19" t="s">
        <v>40</v>
      </c>
      <c r="F274" s="19" t="s">
        <v>40</v>
      </c>
      <c r="G274" s="19" t="s">
        <v>40</v>
      </c>
      <c r="H274" s="19" t="s">
        <v>40</v>
      </c>
      <c r="I274" s="19">
        <v>415</v>
      </c>
    </row>
    <row r="275" spans="3:9" x14ac:dyDescent="0.3">
      <c r="C275" s="307" t="s">
        <v>235</v>
      </c>
      <c r="D275" s="19"/>
      <c r="E275" s="19">
        <v>0</v>
      </c>
      <c r="F275" s="19"/>
      <c r="G275" s="19">
        <v>788</v>
      </c>
      <c r="H275" s="19">
        <v>910</v>
      </c>
      <c r="I275" s="19">
        <v>912</v>
      </c>
    </row>
    <row r="276" spans="3:9" ht="28" x14ac:dyDescent="0.3">
      <c r="C276" s="310" t="s">
        <v>238</v>
      </c>
      <c r="D276" s="19"/>
      <c r="E276" s="19"/>
      <c r="F276" s="19"/>
      <c r="G276" s="19"/>
      <c r="H276" s="19"/>
      <c r="I276" s="19"/>
    </row>
    <row r="277" spans="3:9" x14ac:dyDescent="0.3">
      <c r="C277" s="307" t="s">
        <v>236</v>
      </c>
      <c r="D277" s="19"/>
      <c r="E277" s="19">
        <v>44</v>
      </c>
      <c r="F277" s="19">
        <v>43</v>
      </c>
      <c r="G277" s="19">
        <v>46</v>
      </c>
      <c r="H277" s="19"/>
      <c r="I277" s="19"/>
    </row>
    <row r="278" spans="3:9" s="54" customFormat="1" x14ac:dyDescent="0.3">
      <c r="C278" s="291" t="s">
        <v>216</v>
      </c>
      <c r="D278" s="22"/>
      <c r="E278" s="22">
        <f>SUM(E264:E277)</f>
        <v>1155</v>
      </c>
      <c r="F278" s="22">
        <f>SUM(F264:F277)</f>
        <v>1273</v>
      </c>
      <c r="G278" s="22">
        <f>SUM(G264:G277)</f>
        <v>2125</v>
      </c>
      <c r="H278" s="22">
        <f>SUM(H264:H277)</f>
        <v>5410</v>
      </c>
      <c r="I278" s="22">
        <f>SUM(I266:I276)</f>
        <v>5726</v>
      </c>
    </row>
    <row r="279" spans="3:9" x14ac:dyDescent="0.3">
      <c r="C279" s="22" t="s">
        <v>229</v>
      </c>
      <c r="D279" s="19"/>
      <c r="E279" s="19"/>
      <c r="F279" s="19"/>
      <c r="G279" s="19"/>
      <c r="H279" s="19"/>
      <c r="I279" s="19"/>
    </row>
    <row r="280" spans="3:9" x14ac:dyDescent="0.3">
      <c r="C280" s="22" t="s">
        <v>214</v>
      </c>
      <c r="D280" s="19"/>
      <c r="E280" s="19"/>
      <c r="F280" s="19"/>
      <c r="G280" s="19"/>
      <c r="H280" s="19"/>
      <c r="I280" s="19"/>
    </row>
    <row r="281" spans="3:9" x14ac:dyDescent="0.3">
      <c r="C281" s="307" t="s">
        <v>232</v>
      </c>
      <c r="D281" s="19"/>
      <c r="E281" s="19">
        <v>414</v>
      </c>
      <c r="F281" s="19">
        <v>414</v>
      </c>
      <c r="G281" s="19">
        <v>414</v>
      </c>
      <c r="H281" s="19"/>
      <c r="I281" s="19"/>
    </row>
    <row r="282" spans="3:9" x14ac:dyDescent="0.3">
      <c r="C282" s="307" t="s">
        <v>230</v>
      </c>
      <c r="D282" s="19"/>
      <c r="E282" s="19">
        <v>675</v>
      </c>
      <c r="F282" s="19">
        <v>716</v>
      </c>
      <c r="G282" s="19">
        <v>716</v>
      </c>
      <c r="H282" s="19"/>
      <c r="I282" s="19"/>
    </row>
    <row r="283" spans="3:9" x14ac:dyDescent="0.3">
      <c r="C283" s="307" t="s">
        <v>231</v>
      </c>
      <c r="D283" s="19"/>
      <c r="E283" s="19">
        <v>211</v>
      </c>
      <c r="F283" s="19">
        <v>306</v>
      </c>
      <c r="G283" s="19">
        <v>306</v>
      </c>
      <c r="H283" s="19"/>
      <c r="I283" s="19"/>
    </row>
    <row r="284" spans="3:9" ht="28" x14ac:dyDescent="0.3">
      <c r="C284" s="310" t="s">
        <v>851</v>
      </c>
      <c r="D284" s="297"/>
      <c r="E284" s="19">
        <v>194</v>
      </c>
      <c r="F284" s="19">
        <v>194</v>
      </c>
      <c r="G284" s="19">
        <v>194</v>
      </c>
      <c r="H284" s="19">
        <v>306</v>
      </c>
      <c r="I284" s="19" t="s">
        <v>40</v>
      </c>
    </row>
    <row r="285" spans="3:9" x14ac:dyDescent="0.3">
      <c r="C285" s="307" t="s">
        <v>235</v>
      </c>
      <c r="D285" s="19"/>
      <c r="E285" s="19">
        <v>125</v>
      </c>
      <c r="F285" s="19">
        <v>125</v>
      </c>
      <c r="G285" s="19"/>
      <c r="H285" s="19">
        <v>79</v>
      </c>
      <c r="I285" s="19">
        <v>79</v>
      </c>
    </row>
    <row r="286" spans="3:9" x14ac:dyDescent="0.3">
      <c r="C286" s="291" t="s">
        <v>216</v>
      </c>
      <c r="D286" s="19"/>
      <c r="E286" s="22">
        <f>SUM(E281:E285)</f>
        <v>1619</v>
      </c>
      <c r="F286" s="22">
        <f>SUM(F281:F285)</f>
        <v>1755</v>
      </c>
      <c r="G286" s="22">
        <f>SUM(G281:G285)</f>
        <v>1630</v>
      </c>
      <c r="H286" s="22">
        <f>SUM(H281:H285)</f>
        <v>385</v>
      </c>
      <c r="I286" s="22">
        <f>SUM(I281:I285)</f>
        <v>79</v>
      </c>
    </row>
    <row r="287" spans="3:9" x14ac:dyDescent="0.3">
      <c r="C287" s="291" t="s">
        <v>858</v>
      </c>
      <c r="D287" s="19"/>
      <c r="E287" s="22"/>
      <c r="F287" s="22"/>
      <c r="G287" s="22"/>
      <c r="H287" s="22"/>
      <c r="I287" s="22"/>
    </row>
    <row r="288" spans="3:9" x14ac:dyDescent="0.3">
      <c r="C288" s="296" t="s">
        <v>233</v>
      </c>
      <c r="D288" s="19"/>
      <c r="E288" s="22" t="s">
        <v>40</v>
      </c>
      <c r="F288" s="22" t="s">
        <v>40</v>
      </c>
      <c r="G288" s="22" t="s">
        <v>40</v>
      </c>
      <c r="H288" s="22">
        <v>1488</v>
      </c>
      <c r="I288" s="22">
        <v>1488</v>
      </c>
    </row>
    <row r="289" spans="3:12" x14ac:dyDescent="0.3">
      <c r="C289" s="291" t="s">
        <v>216</v>
      </c>
      <c r="D289" s="19"/>
      <c r="E289" s="22">
        <f>SUM(E288)</f>
        <v>0</v>
      </c>
      <c r="F289" s="22">
        <f t="shared" ref="F289:I289" si="13">SUM(F288)</f>
        <v>0</v>
      </c>
      <c r="G289" s="22">
        <f t="shared" si="13"/>
        <v>0</v>
      </c>
      <c r="H289" s="22">
        <f t="shared" si="13"/>
        <v>1488</v>
      </c>
      <c r="I289" s="22">
        <f t="shared" si="13"/>
        <v>1488</v>
      </c>
    </row>
    <row r="290" spans="3:12" x14ac:dyDescent="0.3">
      <c r="C290" s="291"/>
      <c r="D290" s="19"/>
      <c r="E290" s="22"/>
      <c r="F290" s="22"/>
      <c r="G290" s="22"/>
      <c r="H290" s="22"/>
      <c r="I290" s="22"/>
    </row>
    <row r="291" spans="3:12" x14ac:dyDescent="0.3">
      <c r="C291" s="22" t="s">
        <v>214</v>
      </c>
      <c r="D291" s="19"/>
      <c r="E291" s="19"/>
      <c r="F291" s="19"/>
      <c r="G291" s="19"/>
      <c r="H291" s="19"/>
      <c r="I291" s="19"/>
    </row>
    <row r="292" spans="3:12" x14ac:dyDescent="0.3">
      <c r="C292" s="19" t="s">
        <v>239</v>
      </c>
      <c r="D292" s="19"/>
      <c r="E292" s="19">
        <v>1</v>
      </c>
      <c r="F292" s="19">
        <v>1</v>
      </c>
      <c r="G292" s="19">
        <v>1</v>
      </c>
      <c r="H292" s="19">
        <v>1</v>
      </c>
      <c r="I292" s="19">
        <v>1</v>
      </c>
    </row>
    <row r="293" spans="3:12" x14ac:dyDescent="0.3">
      <c r="C293" s="19" t="s">
        <v>240</v>
      </c>
      <c r="D293" s="19"/>
      <c r="E293" s="19">
        <v>2</v>
      </c>
      <c r="F293" s="19">
        <v>290</v>
      </c>
      <c r="G293" s="19">
        <v>340</v>
      </c>
      <c r="H293" s="19">
        <v>340</v>
      </c>
      <c r="I293" s="19">
        <v>341</v>
      </c>
    </row>
    <row r="294" spans="3:12" x14ac:dyDescent="0.3">
      <c r="C294" s="19" t="s">
        <v>241</v>
      </c>
      <c r="D294" s="19"/>
      <c r="E294" s="19">
        <v>0</v>
      </c>
      <c r="F294" s="19">
        <v>0</v>
      </c>
      <c r="G294" s="19">
        <v>0</v>
      </c>
      <c r="H294" s="19">
        <v>0</v>
      </c>
      <c r="I294" s="19">
        <v>0</v>
      </c>
    </row>
    <row r="295" spans="3:12" x14ac:dyDescent="0.3">
      <c r="C295" s="291" t="s">
        <v>216</v>
      </c>
      <c r="D295" s="19"/>
      <c r="E295" s="22">
        <f>SUM(E292:E294)</f>
        <v>3</v>
      </c>
      <c r="F295" s="22">
        <f t="shared" ref="F295:H295" si="14">SUM(F292:F294)</f>
        <v>291</v>
      </c>
      <c r="G295" s="22">
        <f t="shared" si="14"/>
        <v>341</v>
      </c>
      <c r="H295" s="22">
        <f t="shared" si="14"/>
        <v>341</v>
      </c>
      <c r="I295" s="22">
        <f>SUM(I292:I294)</f>
        <v>342</v>
      </c>
    </row>
    <row r="296" spans="3:12" x14ac:dyDescent="0.3">
      <c r="C296" s="22" t="s">
        <v>242</v>
      </c>
      <c r="D296" s="19"/>
      <c r="E296" s="19"/>
      <c r="F296" s="19"/>
      <c r="G296" s="19"/>
      <c r="H296" s="19"/>
      <c r="I296" s="19"/>
    </row>
    <row r="297" spans="3:12" x14ac:dyDescent="0.3">
      <c r="C297" s="19" t="s">
        <v>214</v>
      </c>
      <c r="D297" s="19"/>
      <c r="E297" s="19"/>
      <c r="F297" s="19"/>
      <c r="G297" s="19"/>
      <c r="H297" s="19"/>
      <c r="I297" s="19"/>
    </row>
    <row r="298" spans="3:12" x14ac:dyDescent="0.3">
      <c r="C298" s="19"/>
      <c r="D298" s="19"/>
      <c r="E298" s="19"/>
      <c r="F298" s="19"/>
      <c r="G298" s="19"/>
      <c r="H298" s="19"/>
      <c r="I298" s="19"/>
    </row>
    <row r="299" spans="3:12" x14ac:dyDescent="0.3">
      <c r="C299" s="22" t="s">
        <v>855</v>
      </c>
      <c r="D299" s="19"/>
      <c r="E299" s="19"/>
      <c r="F299" s="19"/>
      <c r="G299" s="19"/>
      <c r="H299" s="19"/>
      <c r="I299" s="19"/>
    </row>
    <row r="300" spans="3:12" x14ac:dyDescent="0.3">
      <c r="C300" s="22" t="s">
        <v>214</v>
      </c>
      <c r="D300" s="19"/>
      <c r="E300" s="19"/>
      <c r="F300" s="19"/>
      <c r="G300" s="19"/>
      <c r="H300" s="19"/>
      <c r="I300" s="19"/>
    </row>
    <row r="301" spans="3:12" x14ac:dyDescent="0.3">
      <c r="C301" s="19" t="s">
        <v>856</v>
      </c>
      <c r="D301" s="19"/>
      <c r="E301" s="19" t="s">
        <v>40</v>
      </c>
      <c r="F301" s="19" t="s">
        <v>40</v>
      </c>
      <c r="G301" s="19" t="s">
        <v>40</v>
      </c>
      <c r="H301" s="19" t="s">
        <v>40</v>
      </c>
      <c r="I301" s="19">
        <v>150</v>
      </c>
    </row>
    <row r="302" spans="3:12" x14ac:dyDescent="0.3">
      <c r="C302" s="19" t="s">
        <v>857</v>
      </c>
      <c r="D302" s="19"/>
      <c r="E302" s="19"/>
      <c r="F302" s="19"/>
      <c r="G302" s="19"/>
      <c r="H302" s="19"/>
      <c r="I302" s="19">
        <v>23</v>
      </c>
      <c r="L302" s="17">
        <f>I305-7808</f>
        <v>-79</v>
      </c>
    </row>
    <row r="303" spans="3:12" ht="14.5" x14ac:dyDescent="0.35">
      <c r="C303" s="19"/>
      <c r="D303" s="309"/>
      <c r="E303" s="309"/>
      <c r="F303" s="309"/>
      <c r="G303" s="309"/>
      <c r="H303" s="309"/>
      <c r="I303" s="309"/>
    </row>
    <row r="304" spans="3:12" x14ac:dyDescent="0.3">
      <c r="C304" s="291" t="s">
        <v>216</v>
      </c>
      <c r="D304" s="19"/>
      <c r="E304" s="22">
        <f t="shared" ref="E304:I304" si="15">SUM(E301:E302)</f>
        <v>0</v>
      </c>
      <c r="F304" s="22">
        <f t="shared" si="15"/>
        <v>0</v>
      </c>
      <c r="G304" s="22">
        <f t="shared" si="15"/>
        <v>0</v>
      </c>
      <c r="H304" s="22">
        <f t="shared" si="15"/>
        <v>0</v>
      </c>
      <c r="I304" s="22">
        <f t="shared" si="15"/>
        <v>173</v>
      </c>
    </row>
    <row r="305" spans="3:9" x14ac:dyDescent="0.3">
      <c r="C305" s="22" t="s">
        <v>195</v>
      </c>
      <c r="D305" s="19"/>
      <c r="E305" s="22">
        <f>SUM(E278,E286,E304,E295,E304,E289)</f>
        <v>2777</v>
      </c>
      <c r="F305" s="22">
        <f t="shared" ref="F305:H305" si="16">SUM(F278,F286,F304,F295,F304,F289)</f>
        <v>3319</v>
      </c>
      <c r="G305" s="22">
        <f t="shared" si="16"/>
        <v>4096</v>
      </c>
      <c r="H305" s="22">
        <f t="shared" si="16"/>
        <v>7624</v>
      </c>
      <c r="I305" s="22">
        <f>SUM(I278,I289,I295,I304)</f>
        <v>7729</v>
      </c>
    </row>
    <row r="307" spans="3:9" x14ac:dyDescent="0.3">
      <c r="C307" s="1096" t="s">
        <v>556</v>
      </c>
      <c r="D307" s="1096"/>
      <c r="E307" s="1096"/>
      <c r="F307" s="1096"/>
      <c r="G307" s="1096"/>
      <c r="H307" s="1096"/>
      <c r="I307" s="1096"/>
    </row>
    <row r="308" spans="3:9" x14ac:dyDescent="0.3">
      <c r="C308" s="22" t="s">
        <v>49</v>
      </c>
      <c r="D308" s="22" t="s">
        <v>50</v>
      </c>
      <c r="E308" s="1">
        <v>2016</v>
      </c>
      <c r="F308" s="1">
        <v>2017</v>
      </c>
      <c r="G308" s="1">
        <v>2018</v>
      </c>
      <c r="H308" s="1">
        <v>2019</v>
      </c>
      <c r="I308" s="22">
        <v>2020</v>
      </c>
    </row>
    <row r="309" spans="3:9" x14ac:dyDescent="0.3">
      <c r="C309" s="1" t="s">
        <v>217</v>
      </c>
      <c r="D309" s="19"/>
      <c r="E309" s="19"/>
      <c r="F309" s="19"/>
      <c r="G309" s="19"/>
      <c r="H309" s="19"/>
      <c r="I309" s="19"/>
    </row>
    <row r="310" spans="3:9" x14ac:dyDescent="0.3">
      <c r="C310" s="19" t="s">
        <v>243</v>
      </c>
      <c r="D310" s="19"/>
      <c r="E310" s="19">
        <v>0</v>
      </c>
      <c r="F310" s="19">
        <v>0</v>
      </c>
      <c r="G310" s="19">
        <v>0</v>
      </c>
      <c r="H310" s="19">
        <v>0</v>
      </c>
      <c r="I310" s="19" t="s">
        <v>40</v>
      </c>
    </row>
    <row r="311" spans="3:9" x14ac:dyDescent="0.3">
      <c r="C311" s="311"/>
      <c r="D311" s="19"/>
      <c r="E311" s="19"/>
      <c r="F311" s="19"/>
      <c r="G311" s="19"/>
      <c r="H311" s="19"/>
      <c r="I311" s="19"/>
    </row>
    <row r="312" spans="3:9" x14ac:dyDescent="0.3">
      <c r="C312" s="307" t="s">
        <v>244</v>
      </c>
      <c r="D312" s="19"/>
      <c r="E312" s="19">
        <v>0</v>
      </c>
      <c r="F312" s="19">
        <v>0</v>
      </c>
      <c r="G312" s="19">
        <v>0</v>
      </c>
      <c r="H312" s="19"/>
      <c r="I312" s="19"/>
    </row>
    <row r="313" spans="3:9" x14ac:dyDescent="0.3">
      <c r="C313" s="296"/>
      <c r="D313" s="19"/>
      <c r="E313" s="19"/>
      <c r="F313" s="19"/>
      <c r="G313" s="19"/>
      <c r="H313" s="19"/>
      <c r="I313" s="19"/>
    </row>
    <row r="314" spans="3:9" x14ac:dyDescent="0.3">
      <c r="C314" s="307" t="s">
        <v>245</v>
      </c>
      <c r="D314" s="19"/>
      <c r="E314" s="19">
        <v>3</v>
      </c>
      <c r="F314" s="19">
        <v>3</v>
      </c>
      <c r="G314" s="19">
        <v>2</v>
      </c>
      <c r="H314" s="19"/>
      <c r="I314" s="19"/>
    </row>
    <row r="315" spans="3:9" x14ac:dyDescent="0.3">
      <c r="C315" s="296"/>
      <c r="D315" s="19"/>
      <c r="E315" s="19"/>
      <c r="F315" s="19"/>
      <c r="G315" s="19"/>
      <c r="H315" s="19"/>
      <c r="I315" s="19"/>
    </row>
    <row r="316" spans="3:9" x14ac:dyDescent="0.3">
      <c r="C316" s="19" t="s">
        <v>246</v>
      </c>
      <c r="D316" s="19"/>
      <c r="E316" s="296" t="s">
        <v>40</v>
      </c>
      <c r="F316" s="19">
        <v>3</v>
      </c>
      <c r="G316" s="19">
        <v>13</v>
      </c>
      <c r="H316" s="19">
        <v>9</v>
      </c>
      <c r="I316" s="19">
        <v>6</v>
      </c>
    </row>
    <row r="317" spans="3:9" x14ac:dyDescent="0.3">
      <c r="C317" s="311"/>
      <c r="D317" s="19"/>
      <c r="E317" s="19"/>
      <c r="F317" s="19"/>
      <c r="G317" s="19"/>
      <c r="H317" s="19"/>
      <c r="I317" s="19"/>
    </row>
    <row r="318" spans="3:9" x14ac:dyDescent="0.3">
      <c r="C318" s="307" t="s">
        <v>247</v>
      </c>
      <c r="D318" s="19"/>
      <c r="E318" s="296" t="s">
        <v>40</v>
      </c>
      <c r="F318" s="19">
        <v>1</v>
      </c>
      <c r="G318" s="19">
        <v>1</v>
      </c>
      <c r="H318" s="19">
        <v>1</v>
      </c>
      <c r="I318" s="19">
        <v>1</v>
      </c>
    </row>
    <row r="319" spans="3:9" x14ac:dyDescent="0.3">
      <c r="C319" s="296"/>
      <c r="D319" s="19"/>
      <c r="E319" s="19"/>
      <c r="F319" s="19"/>
      <c r="G319" s="19"/>
      <c r="H319" s="19"/>
      <c r="I319" s="19"/>
    </row>
    <row r="320" spans="3:9" x14ac:dyDescent="0.3">
      <c r="C320" s="307" t="s">
        <v>248</v>
      </c>
      <c r="D320" s="19"/>
      <c r="E320" s="296" t="s">
        <v>40</v>
      </c>
      <c r="F320" s="19"/>
      <c r="G320" s="19"/>
      <c r="H320" s="19"/>
      <c r="I320" s="19">
        <v>0</v>
      </c>
    </row>
    <row r="321" spans="3:9" x14ac:dyDescent="0.3">
      <c r="C321" s="296"/>
      <c r="D321" s="19"/>
      <c r="E321" s="19"/>
      <c r="F321" s="19"/>
      <c r="G321" s="19"/>
      <c r="H321" s="19"/>
      <c r="I321" s="19"/>
    </row>
    <row r="322" spans="3:9" x14ac:dyDescent="0.3">
      <c r="C322" s="311" t="s">
        <v>249</v>
      </c>
      <c r="D322" s="19"/>
      <c r="E322" s="296" t="s">
        <v>40</v>
      </c>
      <c r="F322" s="19"/>
      <c r="G322" s="19"/>
      <c r="H322" s="19"/>
      <c r="I322" s="19">
        <v>0</v>
      </c>
    </row>
    <row r="323" spans="3:9" x14ac:dyDescent="0.3">
      <c r="C323" s="19" t="s">
        <v>250</v>
      </c>
      <c r="D323" s="19"/>
      <c r="E323" s="19">
        <v>0</v>
      </c>
      <c r="F323" s="19">
        <v>0</v>
      </c>
      <c r="G323" s="19">
        <v>0</v>
      </c>
      <c r="H323" s="19">
        <v>0</v>
      </c>
      <c r="I323" s="19">
        <v>0</v>
      </c>
    </row>
    <row r="324" spans="3:9" x14ac:dyDescent="0.3">
      <c r="C324" s="291" t="s">
        <v>216</v>
      </c>
      <c r="D324" s="22"/>
      <c r="E324" s="22">
        <v>3</v>
      </c>
      <c r="F324" s="22">
        <v>7</v>
      </c>
      <c r="G324" s="22">
        <v>16</v>
      </c>
      <c r="H324" s="22">
        <v>10</v>
      </c>
      <c r="I324" s="22">
        <f>SUM(I310:I323)</f>
        <v>7</v>
      </c>
    </row>
    <row r="325" spans="3:9" x14ac:dyDescent="0.3">
      <c r="C325" s="22" t="s">
        <v>251</v>
      </c>
      <c r="D325" s="19"/>
      <c r="E325" s="19"/>
      <c r="F325" s="19"/>
      <c r="G325" s="19"/>
      <c r="H325" s="19"/>
      <c r="I325" s="19"/>
    </row>
    <row r="326" spans="3:9" x14ac:dyDescent="0.3">
      <c r="C326" s="19" t="s">
        <v>252</v>
      </c>
      <c r="D326" s="19"/>
      <c r="E326" s="296" t="s">
        <v>40</v>
      </c>
      <c r="F326" s="19">
        <v>10</v>
      </c>
      <c r="G326" s="19">
        <v>10</v>
      </c>
      <c r="H326" s="19">
        <v>10</v>
      </c>
      <c r="I326" s="19">
        <v>10</v>
      </c>
    </row>
    <row r="327" spans="3:9" x14ac:dyDescent="0.3">
      <c r="C327" s="291" t="s">
        <v>216</v>
      </c>
      <c r="D327" s="22"/>
      <c r="E327" s="291">
        <v>0</v>
      </c>
      <c r="F327" s="22">
        <v>10</v>
      </c>
      <c r="G327" s="22">
        <v>10</v>
      </c>
      <c r="H327" s="22">
        <v>10</v>
      </c>
      <c r="I327" s="22">
        <v>10</v>
      </c>
    </row>
    <row r="328" spans="3:9" x14ac:dyDescent="0.3">
      <c r="C328" s="22" t="s">
        <v>253</v>
      </c>
      <c r="D328" s="19"/>
      <c r="E328" s="19"/>
      <c r="F328" s="19"/>
      <c r="G328" s="19"/>
      <c r="H328" s="19"/>
      <c r="I328" s="19"/>
    </row>
    <row r="329" spans="3:9" x14ac:dyDescent="0.3">
      <c r="C329" s="19" t="s">
        <v>254</v>
      </c>
      <c r="D329" s="19"/>
      <c r="E329" s="19">
        <v>38</v>
      </c>
      <c r="F329" s="19">
        <v>38</v>
      </c>
      <c r="G329" s="19">
        <v>38</v>
      </c>
      <c r="H329" s="19">
        <v>38</v>
      </c>
      <c r="I329" s="19">
        <v>38</v>
      </c>
    </row>
    <row r="330" spans="3:9" x14ac:dyDescent="0.3">
      <c r="C330" s="19" t="s">
        <v>255</v>
      </c>
      <c r="D330" s="19"/>
      <c r="E330" s="19">
        <v>15</v>
      </c>
      <c r="F330" s="19">
        <v>15</v>
      </c>
      <c r="G330" s="19">
        <v>15</v>
      </c>
      <c r="H330" s="19">
        <v>15</v>
      </c>
      <c r="I330" s="19">
        <v>15</v>
      </c>
    </row>
    <row r="331" spans="3:9" x14ac:dyDescent="0.3">
      <c r="C331" s="291" t="s">
        <v>216</v>
      </c>
      <c r="D331" s="22"/>
      <c r="E331" s="22">
        <v>53</v>
      </c>
      <c r="F331" s="22">
        <v>53</v>
      </c>
      <c r="G331" s="22">
        <v>53</v>
      </c>
      <c r="H331" s="22">
        <v>53</v>
      </c>
      <c r="I331" s="22">
        <f>SUM(I329:I330)</f>
        <v>53</v>
      </c>
    </row>
    <row r="332" spans="3:9" x14ac:dyDescent="0.3">
      <c r="C332" s="19" t="s">
        <v>256</v>
      </c>
      <c r="D332" s="19"/>
      <c r="E332" s="19"/>
      <c r="F332" s="19"/>
      <c r="G332" s="19"/>
      <c r="H332" s="19"/>
      <c r="I332" s="19"/>
    </row>
    <row r="333" spans="3:9" x14ac:dyDescent="0.3">
      <c r="C333" s="296" t="s">
        <v>260</v>
      </c>
      <c r="D333" s="19"/>
      <c r="E333" s="19">
        <v>21</v>
      </c>
      <c r="F333" s="19">
        <v>17</v>
      </c>
      <c r="G333" s="19">
        <v>14</v>
      </c>
      <c r="H333" s="19">
        <v>14</v>
      </c>
      <c r="I333" s="19">
        <v>10</v>
      </c>
    </row>
    <row r="334" spans="3:9" x14ac:dyDescent="0.3">
      <c r="C334" s="291" t="s">
        <v>216</v>
      </c>
      <c r="D334" s="22"/>
      <c r="E334" s="22">
        <v>21</v>
      </c>
      <c r="F334" s="22">
        <v>17</v>
      </c>
      <c r="G334" s="22">
        <v>14</v>
      </c>
      <c r="H334" s="22">
        <v>14</v>
      </c>
      <c r="I334" s="22">
        <v>10</v>
      </c>
    </row>
    <row r="335" spans="3:9" x14ac:dyDescent="0.3">
      <c r="C335" s="291" t="s">
        <v>257</v>
      </c>
      <c r="D335" s="19"/>
      <c r="E335" s="19"/>
      <c r="F335" s="19"/>
      <c r="G335" s="19"/>
      <c r="H335" s="19"/>
      <c r="I335" s="19"/>
    </row>
    <row r="336" spans="3:9" x14ac:dyDescent="0.3">
      <c r="C336" s="19" t="s">
        <v>258</v>
      </c>
      <c r="D336" s="19"/>
      <c r="E336" s="19">
        <v>0</v>
      </c>
      <c r="F336" s="19">
        <v>0</v>
      </c>
      <c r="G336" s="19">
        <v>0</v>
      </c>
      <c r="H336" s="19">
        <v>0</v>
      </c>
      <c r="I336" s="19">
        <v>0</v>
      </c>
    </row>
    <row r="337" spans="3:9" x14ac:dyDescent="0.3">
      <c r="C337" s="291" t="s">
        <v>216</v>
      </c>
      <c r="D337" s="22"/>
      <c r="E337" s="22">
        <v>0</v>
      </c>
      <c r="F337" s="22">
        <v>0</v>
      </c>
      <c r="G337" s="22">
        <v>0</v>
      </c>
      <c r="H337" s="22">
        <v>0</v>
      </c>
      <c r="I337" s="22">
        <v>0</v>
      </c>
    </row>
    <row r="338" spans="3:9" x14ac:dyDescent="0.3">
      <c r="C338" s="22" t="s">
        <v>195</v>
      </c>
      <c r="D338" s="19"/>
      <c r="E338" s="22">
        <f>E324+E327+E331+E334+E337</f>
        <v>77</v>
      </c>
      <c r="F338" s="22">
        <f t="shared" ref="F338:I338" si="17">F324+F327+F331+F334+F337</f>
        <v>87</v>
      </c>
      <c r="G338" s="22">
        <f t="shared" si="17"/>
        <v>93</v>
      </c>
      <c r="H338" s="22">
        <f t="shared" si="17"/>
        <v>87</v>
      </c>
      <c r="I338" s="22">
        <f t="shared" si="17"/>
        <v>80</v>
      </c>
    </row>
    <row r="340" spans="3:9" x14ac:dyDescent="0.3">
      <c r="C340" s="1095" t="s">
        <v>557</v>
      </c>
      <c r="D340" s="1095"/>
      <c r="E340" s="1095"/>
      <c r="F340" s="1095"/>
      <c r="G340" s="1095"/>
      <c r="H340" s="1095"/>
      <c r="I340" s="1095"/>
    </row>
    <row r="341" spans="3:9" x14ac:dyDescent="0.3">
      <c r="C341" s="22" t="s">
        <v>49</v>
      </c>
      <c r="D341" s="22" t="s">
        <v>50</v>
      </c>
      <c r="E341" s="1">
        <v>2016</v>
      </c>
      <c r="F341" s="1">
        <v>2017</v>
      </c>
      <c r="G341" s="1">
        <v>2018</v>
      </c>
      <c r="H341" s="1">
        <v>2019</v>
      </c>
      <c r="I341" s="22">
        <v>2020</v>
      </c>
    </row>
    <row r="342" spans="3:9" x14ac:dyDescent="0.3">
      <c r="C342" s="19" t="s">
        <v>261</v>
      </c>
      <c r="D342" s="19"/>
      <c r="E342" s="107">
        <v>2821</v>
      </c>
      <c r="F342" s="107">
        <v>3361</v>
      </c>
      <c r="G342" s="107">
        <v>4142</v>
      </c>
      <c r="H342" s="107">
        <v>6204</v>
      </c>
      <c r="I342" s="19">
        <v>6320</v>
      </c>
    </row>
    <row r="343" spans="3:9" x14ac:dyDescent="0.3">
      <c r="C343" s="19" t="s">
        <v>262</v>
      </c>
      <c r="D343" s="19"/>
      <c r="E343" s="19">
        <v>0</v>
      </c>
      <c r="F343" s="19">
        <v>0</v>
      </c>
      <c r="G343" s="19">
        <v>0</v>
      </c>
      <c r="H343" s="19">
        <v>1488</v>
      </c>
      <c r="I343" s="19">
        <v>1488</v>
      </c>
    </row>
    <row r="344" spans="3:9" x14ac:dyDescent="0.3">
      <c r="C344" s="19" t="s">
        <v>263</v>
      </c>
      <c r="D344" s="19"/>
      <c r="E344" s="19">
        <v>77</v>
      </c>
      <c r="F344" s="19">
        <v>87</v>
      </c>
      <c r="G344" s="19">
        <v>93</v>
      </c>
      <c r="H344" s="19">
        <v>87</v>
      </c>
      <c r="I344" s="19">
        <v>80</v>
      </c>
    </row>
    <row r="345" spans="3:9" x14ac:dyDescent="0.3">
      <c r="C345" s="19"/>
      <c r="D345" s="19"/>
      <c r="E345" s="293">
        <v>2898</v>
      </c>
      <c r="F345" s="293">
        <v>3448</v>
      </c>
      <c r="G345" s="293">
        <v>4235</v>
      </c>
      <c r="H345" s="293">
        <v>7779</v>
      </c>
      <c r="I345" s="22">
        <f>SUM(I342:I344)</f>
        <v>7888</v>
      </c>
    </row>
    <row r="346" spans="3:9" x14ac:dyDescent="0.3">
      <c r="C346" s="19" t="s">
        <v>264</v>
      </c>
      <c r="D346" s="19"/>
      <c r="E346" s="296" t="s">
        <v>40</v>
      </c>
      <c r="F346" s="296" t="s">
        <v>40</v>
      </c>
      <c r="G346" s="296" t="s">
        <v>40</v>
      </c>
      <c r="H346" s="296" t="s">
        <v>40</v>
      </c>
      <c r="I346" s="19" t="s">
        <v>40</v>
      </c>
    </row>
    <row r="347" spans="3:9" x14ac:dyDescent="0.3">
      <c r="C347" s="19" t="s">
        <v>265</v>
      </c>
      <c r="D347" s="19"/>
      <c r="E347" s="296" t="s">
        <v>40</v>
      </c>
      <c r="F347" s="296" t="s">
        <v>40</v>
      </c>
      <c r="G347" s="296" t="s">
        <v>40</v>
      </c>
      <c r="H347" s="296" t="s">
        <v>40</v>
      </c>
      <c r="I347" s="19" t="s">
        <v>40</v>
      </c>
    </row>
    <row r="348" spans="3:9" x14ac:dyDescent="0.3">
      <c r="C348" s="19" t="s">
        <v>266</v>
      </c>
      <c r="D348" s="19"/>
      <c r="E348" s="107">
        <v>2898</v>
      </c>
      <c r="F348" s="107">
        <v>3448</v>
      </c>
      <c r="G348" s="107">
        <v>4235</v>
      </c>
      <c r="H348" s="107">
        <v>7779</v>
      </c>
      <c r="I348" s="19">
        <f>SUM(I345:I347)</f>
        <v>7888</v>
      </c>
    </row>
    <row r="349" spans="3:9" x14ac:dyDescent="0.3">
      <c r="C349" s="19" t="s">
        <v>267</v>
      </c>
      <c r="D349" s="19"/>
      <c r="E349" s="19"/>
      <c r="F349" s="19">
        <v>5</v>
      </c>
      <c r="G349" s="19">
        <v>5</v>
      </c>
      <c r="H349" s="19">
        <v>5</v>
      </c>
      <c r="I349" s="19">
        <v>5</v>
      </c>
    </row>
    <row r="351" spans="3:9" ht="14.5" x14ac:dyDescent="0.35">
      <c r="C351" s="1101" t="s">
        <v>558</v>
      </c>
      <c r="D351" s="1101"/>
      <c r="E351" s="1101"/>
      <c r="F351" s="1101"/>
      <c r="G351" s="1101"/>
      <c r="H351" s="1101"/>
      <c r="I351" s="1101"/>
    </row>
    <row r="352" spans="3:9" x14ac:dyDescent="0.3">
      <c r="C352" s="22" t="s">
        <v>49</v>
      </c>
      <c r="D352" s="22" t="s">
        <v>50</v>
      </c>
      <c r="E352" s="1">
        <v>2016</v>
      </c>
      <c r="F352" s="1">
        <v>2017</v>
      </c>
      <c r="G352" s="1">
        <v>2018</v>
      </c>
      <c r="H352" s="1">
        <v>2019</v>
      </c>
      <c r="I352" s="22">
        <v>2020</v>
      </c>
    </row>
    <row r="353" spans="3:11" x14ac:dyDescent="0.3">
      <c r="C353" s="291" t="s">
        <v>268</v>
      </c>
      <c r="D353" s="19"/>
      <c r="E353" s="19"/>
      <c r="F353" s="19"/>
      <c r="G353" s="19"/>
      <c r="H353" s="19"/>
      <c r="I353" s="19"/>
    </row>
    <row r="354" spans="3:11" x14ac:dyDescent="0.3">
      <c r="C354" s="22" t="s">
        <v>269</v>
      </c>
      <c r="D354" s="19"/>
      <c r="E354" s="19"/>
      <c r="F354" s="19"/>
      <c r="G354" s="19"/>
      <c r="H354" s="19"/>
      <c r="I354" s="19"/>
    </row>
    <row r="355" spans="3:11" x14ac:dyDescent="0.3">
      <c r="C355" s="19" t="s">
        <v>270</v>
      </c>
      <c r="D355" s="19"/>
      <c r="E355" s="19">
        <v>7</v>
      </c>
      <c r="F355" s="19">
        <v>7</v>
      </c>
      <c r="G355" s="19"/>
      <c r="H355" s="19"/>
      <c r="I355" s="19"/>
    </row>
    <row r="356" spans="3:11" x14ac:dyDescent="0.3">
      <c r="C356" s="19" t="s">
        <v>276</v>
      </c>
      <c r="D356" s="19"/>
      <c r="E356" s="19"/>
      <c r="F356" s="296" t="s">
        <v>40</v>
      </c>
      <c r="G356" s="19">
        <v>383</v>
      </c>
      <c r="H356" s="19">
        <v>409</v>
      </c>
      <c r="I356" s="19">
        <v>546</v>
      </c>
    </row>
    <row r="357" spans="3:11" x14ac:dyDescent="0.3">
      <c r="C357" s="19" t="s">
        <v>271</v>
      </c>
      <c r="D357" s="19"/>
      <c r="E357" s="19">
        <v>639</v>
      </c>
      <c r="F357" s="19">
        <v>264</v>
      </c>
      <c r="G357" s="19">
        <v>387</v>
      </c>
      <c r="H357" s="19">
        <v>486</v>
      </c>
      <c r="I357" s="19">
        <v>725</v>
      </c>
    </row>
    <row r="358" spans="3:11" x14ac:dyDescent="0.3">
      <c r="C358" s="19" t="s">
        <v>272</v>
      </c>
      <c r="D358" s="19"/>
      <c r="E358" s="107">
        <v>1313</v>
      </c>
      <c r="F358" s="107">
        <v>1343</v>
      </c>
      <c r="G358" s="19">
        <v>1294</v>
      </c>
      <c r="H358" s="19">
        <v>1230</v>
      </c>
      <c r="I358" s="19">
        <v>1847</v>
      </c>
    </row>
    <row r="359" spans="3:11" x14ac:dyDescent="0.3">
      <c r="C359" s="19" t="s">
        <v>273</v>
      </c>
      <c r="D359" s="19"/>
      <c r="E359" s="107">
        <v>1061</v>
      </c>
      <c r="F359" s="107">
        <v>1063</v>
      </c>
      <c r="G359" s="19"/>
      <c r="H359" s="19"/>
      <c r="I359" s="19"/>
    </row>
    <row r="360" spans="3:11" ht="14.5" x14ac:dyDescent="0.35">
      <c r="C360" s="19"/>
      <c r="D360" s="19"/>
      <c r="E360" s="293">
        <f>SUM(E355:E359)</f>
        <v>3020</v>
      </c>
      <c r="F360" s="293">
        <f t="shared" ref="F360:I360" si="18">SUM(F355:F359)</f>
        <v>2677</v>
      </c>
      <c r="G360" s="293">
        <f t="shared" si="18"/>
        <v>2064</v>
      </c>
      <c r="H360" s="293">
        <f t="shared" si="18"/>
        <v>2125</v>
      </c>
      <c r="I360" s="293">
        <f t="shared" si="18"/>
        <v>3118</v>
      </c>
      <c r="J360"/>
      <c r="K360"/>
    </row>
    <row r="361" spans="3:11" x14ac:dyDescent="0.3">
      <c r="C361" s="291" t="s">
        <v>274</v>
      </c>
      <c r="D361" s="19"/>
      <c r="E361" s="19"/>
      <c r="F361" s="107"/>
      <c r="G361" s="19"/>
      <c r="H361" s="19"/>
      <c r="I361" s="19"/>
    </row>
    <row r="362" spans="3:11" x14ac:dyDescent="0.3">
      <c r="C362" s="19" t="s">
        <v>269</v>
      </c>
      <c r="D362" s="19"/>
      <c r="E362" s="19"/>
      <c r="F362" s="19"/>
      <c r="G362" s="19"/>
      <c r="H362" s="19"/>
      <c r="I362" s="19"/>
    </row>
    <row r="363" spans="3:11" x14ac:dyDescent="0.3">
      <c r="C363" s="19" t="s">
        <v>275</v>
      </c>
      <c r="D363" s="19"/>
      <c r="E363" s="19">
        <v>134</v>
      </c>
      <c r="F363" s="19">
        <v>142</v>
      </c>
      <c r="G363" s="19">
        <v>184</v>
      </c>
      <c r="H363" s="19">
        <v>248</v>
      </c>
      <c r="I363" s="19">
        <v>276</v>
      </c>
    </row>
    <row r="364" spans="3:11" x14ac:dyDescent="0.3">
      <c r="C364" s="19" t="s">
        <v>270</v>
      </c>
      <c r="D364" s="19"/>
      <c r="E364" s="19">
        <v>637</v>
      </c>
      <c r="F364" s="19">
        <v>362</v>
      </c>
      <c r="G364" s="19">
        <v>694</v>
      </c>
      <c r="H364" s="19">
        <v>150</v>
      </c>
      <c r="I364" s="19">
        <v>945</v>
      </c>
    </row>
    <row r="365" spans="3:11" x14ac:dyDescent="0.3">
      <c r="C365" s="19" t="s">
        <v>276</v>
      </c>
      <c r="D365" s="19"/>
      <c r="E365" s="107">
        <v>5621</v>
      </c>
      <c r="F365" s="107">
        <v>5671</v>
      </c>
      <c r="G365" s="107">
        <v>5653</v>
      </c>
      <c r="H365" s="107">
        <v>6302</v>
      </c>
      <c r="I365" s="19">
        <v>7705</v>
      </c>
    </row>
    <row r="366" spans="3:11" x14ac:dyDescent="0.3">
      <c r="C366" s="19" t="s">
        <v>271</v>
      </c>
      <c r="D366" s="19"/>
      <c r="E366" s="19">
        <v>126</v>
      </c>
      <c r="F366" s="19">
        <v>47</v>
      </c>
      <c r="G366" s="19">
        <v>199</v>
      </c>
      <c r="H366" s="19">
        <v>5</v>
      </c>
      <c r="I366" s="19" t="s">
        <v>40</v>
      </c>
    </row>
    <row r="367" spans="3:11" x14ac:dyDescent="0.3">
      <c r="C367" s="19" t="s">
        <v>273</v>
      </c>
      <c r="D367" s="19"/>
      <c r="E367" s="19">
        <v>282</v>
      </c>
      <c r="F367" s="19">
        <v>222</v>
      </c>
      <c r="G367" s="19">
        <v>310</v>
      </c>
      <c r="H367" s="19">
        <v>213</v>
      </c>
      <c r="I367" s="19">
        <v>7</v>
      </c>
    </row>
    <row r="368" spans="3:11" x14ac:dyDescent="0.3">
      <c r="C368" s="22" t="s">
        <v>216</v>
      </c>
      <c r="D368" s="19"/>
      <c r="E368" s="293">
        <v>6800</v>
      </c>
      <c r="F368" s="293">
        <v>6444</v>
      </c>
      <c r="G368" s="293">
        <v>7040</v>
      </c>
      <c r="H368" s="293">
        <f>SUM(H363:H367)</f>
        <v>6918</v>
      </c>
      <c r="I368" s="22">
        <f>SUM(I363:I367)</f>
        <v>8933</v>
      </c>
    </row>
    <row r="369" spans="3:14" x14ac:dyDescent="0.3">
      <c r="C369" s="22" t="s">
        <v>195</v>
      </c>
      <c r="D369" s="19"/>
      <c r="E369" s="293">
        <f>SUM(E368,E360)</f>
        <v>9820</v>
      </c>
      <c r="F369" s="293">
        <f>SUM(F368,F360)</f>
        <v>9121</v>
      </c>
      <c r="G369" s="293">
        <f t="shared" ref="G369:H369" si="19">SUM(G368,G360)</f>
        <v>9104</v>
      </c>
      <c r="H369" s="293">
        <f t="shared" si="19"/>
        <v>9043</v>
      </c>
      <c r="I369" s="293">
        <f>SUM(I368,I360)</f>
        <v>12051</v>
      </c>
      <c r="J369" s="17">
        <f>I369*(1+$K$371)</f>
        <v>8959.8492553180622</v>
      </c>
      <c r="K369" s="17">
        <f t="shared" ref="K369:L369" si="20">J369*(1+$K$371)</f>
        <v>6661.5964383058363</v>
      </c>
      <c r="L369" s="17">
        <f t="shared" si="20"/>
        <v>4952.8586745485018</v>
      </c>
      <c r="M369" s="17">
        <f>L369*(1+$K$371)</f>
        <v>3682.4219655504935</v>
      </c>
      <c r="N369" s="17">
        <f>M369*(1+$K$371)</f>
        <v>2737.8595723014241</v>
      </c>
    </row>
    <row r="370" spans="3:14" x14ac:dyDescent="0.3">
      <c r="C370" s="22" t="s">
        <v>277</v>
      </c>
      <c r="D370" s="19" t="s">
        <v>959</v>
      </c>
      <c r="E370" s="19"/>
      <c r="F370" s="508">
        <f>(F369-E369)/E369</f>
        <v>-7.1181262729124242E-2</v>
      </c>
      <c r="G370" s="508">
        <f t="shared" ref="G370:I370" si="21">(G369-F369)/F369</f>
        <v>-1.8638307203157549E-3</v>
      </c>
      <c r="H370" s="508">
        <f t="shared" si="21"/>
        <v>-6.7003514938488579E-3</v>
      </c>
      <c r="I370" s="508">
        <f t="shared" si="21"/>
        <v>0.33263297578237311</v>
      </c>
    </row>
    <row r="371" spans="3:14" x14ac:dyDescent="0.3">
      <c r="C371" s="19" t="s">
        <v>278</v>
      </c>
      <c r="D371" s="19" t="s">
        <v>958</v>
      </c>
      <c r="E371" s="19"/>
      <c r="F371" s="19"/>
      <c r="G371" s="19"/>
      <c r="H371" s="19"/>
      <c r="I371" s="778">
        <f>AVERAGE(F370:I370)</f>
        <v>6.3221882709771068E-2</v>
      </c>
      <c r="J371" s="17" t="s">
        <v>960</v>
      </c>
      <c r="K371" s="777">
        <f>(((I369-E369)/E369)^(1/5))-1</f>
        <v>-0.25650574596978992</v>
      </c>
    </row>
    <row r="372" spans="3:14" x14ac:dyDescent="0.3">
      <c r="C372" s="19" t="s">
        <v>279</v>
      </c>
      <c r="D372" s="19"/>
      <c r="E372" s="19"/>
      <c r="F372" s="19">
        <v>300</v>
      </c>
      <c r="G372" s="19">
        <v>651</v>
      </c>
      <c r="H372" s="19">
        <v>409</v>
      </c>
      <c r="I372" s="19"/>
    </row>
    <row r="373" spans="3:14" x14ac:dyDescent="0.3">
      <c r="C373" s="19" t="s">
        <v>280</v>
      </c>
      <c r="D373" s="19"/>
      <c r="E373" s="19"/>
      <c r="F373" s="107">
        <v>1194</v>
      </c>
      <c r="G373" s="19">
        <v>259</v>
      </c>
      <c r="H373" s="296" t="s">
        <v>40</v>
      </c>
      <c r="I373" s="19"/>
    </row>
    <row r="375" spans="3:14" ht="14.5" x14ac:dyDescent="0.35">
      <c r="C375" s="1101" t="s">
        <v>559</v>
      </c>
      <c r="D375" s="1101"/>
      <c r="E375" s="1101"/>
      <c r="F375" s="1101"/>
      <c r="G375" s="1101"/>
      <c r="H375" s="1101"/>
      <c r="I375" s="1101"/>
    </row>
    <row r="376" spans="3:14" x14ac:dyDescent="0.3">
      <c r="C376" s="22" t="s">
        <v>49</v>
      </c>
      <c r="D376" s="22" t="s">
        <v>50</v>
      </c>
      <c r="E376" s="1">
        <v>2016</v>
      </c>
      <c r="F376" s="1">
        <v>2017</v>
      </c>
      <c r="G376" s="1">
        <v>2018</v>
      </c>
      <c r="H376" s="1">
        <v>2019</v>
      </c>
      <c r="I376" s="22">
        <v>2020</v>
      </c>
    </row>
    <row r="377" spans="3:14" x14ac:dyDescent="0.3">
      <c r="C377" s="291" t="s">
        <v>268</v>
      </c>
      <c r="D377" s="19"/>
      <c r="E377" s="19"/>
      <c r="F377" s="19"/>
      <c r="G377" s="19"/>
      <c r="H377" s="19"/>
      <c r="I377" s="19"/>
    </row>
    <row r="378" spans="3:14" x14ac:dyDescent="0.3">
      <c r="C378" s="22" t="s">
        <v>269</v>
      </c>
      <c r="D378" s="19"/>
      <c r="E378" s="19"/>
      <c r="F378" s="19"/>
      <c r="G378" s="19"/>
      <c r="H378" s="19"/>
      <c r="I378" s="19"/>
    </row>
    <row r="379" spans="3:14" x14ac:dyDescent="0.3">
      <c r="C379" s="19" t="s">
        <v>281</v>
      </c>
      <c r="D379" s="19"/>
      <c r="E379" s="19">
        <v>391</v>
      </c>
      <c r="F379" s="19">
        <v>391</v>
      </c>
      <c r="G379" s="19">
        <v>71</v>
      </c>
      <c r="H379" s="19">
        <v>71</v>
      </c>
      <c r="I379" s="19" t="s">
        <v>40</v>
      </c>
    </row>
    <row r="380" spans="3:14" x14ac:dyDescent="0.3">
      <c r="C380" s="19" t="s">
        <v>282</v>
      </c>
      <c r="D380" s="19"/>
      <c r="E380" s="19"/>
      <c r="F380" s="19"/>
      <c r="G380" s="19"/>
      <c r="H380" s="19"/>
      <c r="I380" s="19"/>
    </row>
    <row r="381" spans="3:14" x14ac:dyDescent="0.3">
      <c r="C381" s="19" t="s">
        <v>283</v>
      </c>
      <c r="D381" s="19"/>
      <c r="E381" s="19">
        <v>57</v>
      </c>
      <c r="F381" s="19">
        <v>59</v>
      </c>
      <c r="G381" s="19">
        <v>116</v>
      </c>
      <c r="H381" s="19">
        <v>4</v>
      </c>
      <c r="I381" s="19" t="s">
        <v>40</v>
      </c>
    </row>
    <row r="382" spans="3:14" x14ac:dyDescent="0.3">
      <c r="C382" s="19"/>
      <c r="D382" s="19"/>
      <c r="E382" s="22">
        <f>SUM(E379:E381)</f>
        <v>448</v>
      </c>
      <c r="F382" s="22">
        <v>450</v>
      </c>
      <c r="G382" s="22">
        <f>SUM(G379:G381)</f>
        <v>187</v>
      </c>
      <c r="H382" s="22">
        <f>SUM(H379:H381)</f>
        <v>75</v>
      </c>
      <c r="I382" s="19" t="s">
        <v>40</v>
      </c>
    </row>
    <row r="383" spans="3:14" x14ac:dyDescent="0.3">
      <c r="C383" s="291" t="s">
        <v>274</v>
      </c>
      <c r="D383" s="19"/>
      <c r="E383" s="19"/>
      <c r="F383" s="19"/>
      <c r="G383" s="19"/>
      <c r="H383" s="19"/>
      <c r="I383" s="19"/>
    </row>
    <row r="384" spans="3:14" x14ac:dyDescent="0.3">
      <c r="C384" s="22" t="s">
        <v>269</v>
      </c>
      <c r="D384" s="19"/>
      <c r="E384" s="19"/>
      <c r="F384" s="19"/>
      <c r="G384" s="19"/>
      <c r="H384" s="19"/>
      <c r="I384" s="19"/>
    </row>
    <row r="385" spans="3:14" x14ac:dyDescent="0.3">
      <c r="C385" s="19" t="s">
        <v>284</v>
      </c>
      <c r="D385" s="19"/>
      <c r="E385" s="19">
        <v>35</v>
      </c>
      <c r="F385" s="19">
        <v>16</v>
      </c>
      <c r="G385" s="107">
        <v>16</v>
      </c>
      <c r="H385" s="19">
        <v>746</v>
      </c>
      <c r="I385" s="19">
        <v>246</v>
      </c>
    </row>
    <row r="386" spans="3:14" ht="28" x14ac:dyDescent="0.3">
      <c r="C386" s="297" t="s">
        <v>285</v>
      </c>
      <c r="D386" s="19"/>
      <c r="E386" s="19">
        <v>597</v>
      </c>
      <c r="F386" s="19">
        <v>755</v>
      </c>
      <c r="G386" s="107">
        <v>1071</v>
      </c>
      <c r="H386" s="19">
        <v>835</v>
      </c>
      <c r="I386" s="19">
        <v>896</v>
      </c>
    </row>
    <row r="387" spans="3:14" x14ac:dyDescent="0.3">
      <c r="C387" s="297" t="s">
        <v>283</v>
      </c>
      <c r="D387" s="19"/>
      <c r="E387" s="19">
        <v>158</v>
      </c>
      <c r="F387" s="19">
        <v>175</v>
      </c>
      <c r="G387" s="19">
        <v>540</v>
      </c>
      <c r="H387" s="19">
        <v>197</v>
      </c>
      <c r="I387" s="19">
        <v>80</v>
      </c>
    </row>
    <row r="388" spans="3:14" x14ac:dyDescent="0.3">
      <c r="C388" s="297"/>
      <c r="D388" s="19"/>
      <c r="E388" s="22">
        <f>SUM(E385:E387)</f>
        <v>790</v>
      </c>
      <c r="F388" s="22">
        <f>SUM(F385:F387)</f>
        <v>946</v>
      </c>
      <c r="G388" s="22">
        <f>SUM(G385:G387)</f>
        <v>1627</v>
      </c>
      <c r="H388" s="22">
        <f>SUM(H385:H387)</f>
        <v>1778</v>
      </c>
      <c r="I388" s="22">
        <f>SUM(I385:I387)</f>
        <v>1222</v>
      </c>
    </row>
    <row r="389" spans="3:14" x14ac:dyDescent="0.3">
      <c r="C389" s="19"/>
      <c r="D389" s="19"/>
      <c r="E389" s="22">
        <f>SUM(E388,E382)</f>
        <v>1238</v>
      </c>
      <c r="F389" s="22">
        <f>SUM(F388,F382)</f>
        <v>1396</v>
      </c>
      <c r="G389" s="22">
        <f>SUM(G388,G382)</f>
        <v>1814</v>
      </c>
      <c r="H389" s="22">
        <f>SUM(H388,H382)</f>
        <v>1853</v>
      </c>
      <c r="I389" s="22">
        <f>SUM(I388,I382)</f>
        <v>1222</v>
      </c>
      <c r="J389" s="779">
        <f>I389*(1+$K$390)</f>
        <v>1255.0009387203238</v>
      </c>
      <c r="K389" s="779">
        <f t="shared" ref="K389:N389" si="22">J389*(1+$K$390)</f>
        <v>1288.8930901709441</v>
      </c>
      <c r="L389" s="779">
        <f t="shared" si="22"/>
        <v>1323.7005221560341</v>
      </c>
      <c r="M389" s="779">
        <f t="shared" si="22"/>
        <v>1359.4479524471403</v>
      </c>
      <c r="N389" s="779">
        <f t="shared" si="22"/>
        <v>1396.1607663359928</v>
      </c>
    </row>
    <row r="390" spans="3:14" x14ac:dyDescent="0.3">
      <c r="C390" s="22" t="s">
        <v>277</v>
      </c>
      <c r="D390" s="19" t="s">
        <v>959</v>
      </c>
      <c r="E390" s="19"/>
      <c r="F390" s="508">
        <f>(F389-E389)/E389</f>
        <v>0.12762520193861066</v>
      </c>
      <c r="G390" s="508">
        <f t="shared" ref="G390:I390" si="23">(G389-F389)/F389</f>
        <v>0.29942693409742122</v>
      </c>
      <c r="H390" s="508">
        <f t="shared" si="23"/>
        <v>2.1499448732083794E-2</v>
      </c>
      <c r="I390" s="508">
        <f t="shared" si="23"/>
        <v>-0.34052887209929844</v>
      </c>
      <c r="J390" s="17" t="s">
        <v>961</v>
      </c>
      <c r="K390" s="777">
        <f>AVERAGE(F390:I390)</f>
        <v>2.7005678167204311E-2</v>
      </c>
    </row>
    <row r="391" spans="3:14" x14ac:dyDescent="0.3">
      <c r="C391" s="19" t="s">
        <v>278</v>
      </c>
      <c r="D391" s="19"/>
      <c r="E391" s="296" t="s">
        <v>40</v>
      </c>
      <c r="F391" s="296" t="s">
        <v>40</v>
      </c>
      <c r="G391" s="296" t="s">
        <v>40</v>
      </c>
      <c r="H391" s="296" t="s">
        <v>40</v>
      </c>
      <c r="I391" s="19" t="s">
        <v>40</v>
      </c>
      <c r="J391" s="17" t="s">
        <v>960</v>
      </c>
      <c r="K391" s="777">
        <f>(((I389-E389)/E389)^(1/5))-1</f>
        <v>-1.4190635306038473</v>
      </c>
    </row>
    <row r="392" spans="3:14" x14ac:dyDescent="0.3">
      <c r="C392" s="19" t="s">
        <v>279</v>
      </c>
      <c r="D392" s="19"/>
      <c r="E392" s="296" t="s">
        <v>40</v>
      </c>
      <c r="F392" s="296" t="s">
        <v>40</v>
      </c>
      <c r="G392" s="296" t="s">
        <v>40</v>
      </c>
      <c r="H392" s="296" t="s">
        <v>40</v>
      </c>
      <c r="I392" s="19" t="s">
        <v>40</v>
      </c>
    </row>
    <row r="393" spans="3:14" x14ac:dyDescent="0.3">
      <c r="C393" s="19" t="s">
        <v>280</v>
      </c>
      <c r="D393" s="19"/>
      <c r="E393" s="19">
        <v>323</v>
      </c>
      <c r="F393" s="19">
        <v>343</v>
      </c>
      <c r="G393" s="19">
        <v>16</v>
      </c>
      <c r="H393" s="296" t="s">
        <v>40</v>
      </c>
      <c r="I393" s="19" t="s">
        <v>40</v>
      </c>
    </row>
    <row r="395" spans="3:14" ht="14.5" x14ac:dyDescent="0.35">
      <c r="C395" s="1101" t="s">
        <v>560</v>
      </c>
      <c r="D395" s="1101"/>
      <c r="E395" s="1101"/>
      <c r="F395" s="1101"/>
      <c r="G395" s="1101"/>
      <c r="H395" s="1101"/>
      <c r="I395" s="1101"/>
    </row>
    <row r="396" spans="3:14" x14ac:dyDescent="0.3">
      <c r="C396" s="22" t="s">
        <v>49</v>
      </c>
      <c r="D396" s="22" t="s">
        <v>50</v>
      </c>
      <c r="E396" s="1">
        <v>2016</v>
      </c>
      <c r="F396" s="1">
        <v>2017</v>
      </c>
      <c r="G396" s="1">
        <v>2018</v>
      </c>
      <c r="H396" s="1">
        <v>2019</v>
      </c>
      <c r="I396" s="22">
        <v>2020</v>
      </c>
    </row>
    <row r="397" spans="3:14" x14ac:dyDescent="0.3">
      <c r="C397" s="291" t="s">
        <v>268</v>
      </c>
      <c r="D397" s="19"/>
      <c r="E397" s="19"/>
      <c r="F397" s="19"/>
      <c r="G397" s="19"/>
      <c r="H397" s="19"/>
      <c r="I397" s="19"/>
    </row>
    <row r="398" spans="3:14" x14ac:dyDescent="0.3">
      <c r="C398" s="19" t="s">
        <v>286</v>
      </c>
      <c r="D398" s="19"/>
      <c r="E398" s="19">
        <v>5</v>
      </c>
      <c r="F398" s="296" t="s">
        <v>40</v>
      </c>
      <c r="G398" s="19">
        <v>2</v>
      </c>
      <c r="H398" s="296" t="s">
        <v>40</v>
      </c>
      <c r="I398" s="19"/>
    </row>
    <row r="399" spans="3:14" x14ac:dyDescent="0.3">
      <c r="C399" s="19"/>
      <c r="D399" s="19"/>
      <c r="E399" s="19">
        <v>5</v>
      </c>
      <c r="F399" s="296" t="s">
        <v>40</v>
      </c>
      <c r="G399" s="19">
        <v>2</v>
      </c>
      <c r="H399" s="296" t="s">
        <v>40</v>
      </c>
      <c r="I399" s="19"/>
    </row>
    <row r="400" spans="3:14" x14ac:dyDescent="0.3">
      <c r="C400" s="291" t="s">
        <v>287</v>
      </c>
      <c r="D400" s="19"/>
      <c r="E400" s="19"/>
      <c r="F400" s="19"/>
      <c r="G400" s="19"/>
      <c r="H400" s="19"/>
      <c r="I400" s="19"/>
    </row>
    <row r="401" spans="3:9" x14ac:dyDescent="0.3">
      <c r="C401" s="19" t="s">
        <v>286</v>
      </c>
      <c r="D401" s="19"/>
      <c r="E401" s="19">
        <v>788</v>
      </c>
      <c r="F401" s="19">
        <v>723</v>
      </c>
      <c r="G401" s="19">
        <v>2260</v>
      </c>
      <c r="H401" s="19">
        <v>2106</v>
      </c>
      <c r="I401" s="19">
        <v>3110</v>
      </c>
    </row>
    <row r="402" spans="3:9" x14ac:dyDescent="0.3">
      <c r="C402" s="19" t="s">
        <v>288</v>
      </c>
      <c r="D402" s="19"/>
      <c r="E402" s="19">
        <v>161</v>
      </c>
      <c r="F402" s="19">
        <v>371</v>
      </c>
      <c r="G402" s="19">
        <v>506</v>
      </c>
      <c r="H402" s="19">
        <v>175</v>
      </c>
      <c r="I402" s="19">
        <v>33</v>
      </c>
    </row>
    <row r="403" spans="3:9" x14ac:dyDescent="0.3">
      <c r="C403" s="19" t="s">
        <v>289</v>
      </c>
      <c r="D403" s="19"/>
      <c r="E403" s="19">
        <v>17</v>
      </c>
      <c r="F403" s="19">
        <v>17</v>
      </c>
      <c r="G403" s="19">
        <v>17</v>
      </c>
      <c r="H403" s="19">
        <v>490</v>
      </c>
      <c r="I403" s="19" t="s">
        <v>40</v>
      </c>
    </row>
    <row r="404" spans="3:9" x14ac:dyDescent="0.3">
      <c r="C404" s="19" t="s">
        <v>290</v>
      </c>
      <c r="D404" s="19"/>
      <c r="E404" s="107">
        <v>1314</v>
      </c>
      <c r="F404" s="19">
        <v>2109</v>
      </c>
      <c r="G404" s="19">
        <v>1450</v>
      </c>
      <c r="H404" s="19">
        <v>703</v>
      </c>
      <c r="I404" s="19">
        <v>674</v>
      </c>
    </row>
    <row r="405" spans="3:9" x14ac:dyDescent="0.3">
      <c r="C405" s="22" t="s">
        <v>216</v>
      </c>
      <c r="D405" s="19"/>
      <c r="E405" s="293">
        <f>SUM(E401:E404)</f>
        <v>2280</v>
      </c>
      <c r="F405" s="293">
        <f>SUM(F401:F404)</f>
        <v>3220</v>
      </c>
      <c r="G405" s="293">
        <f>SUM(G401:G404)</f>
        <v>4233</v>
      </c>
      <c r="H405" s="293">
        <f>SUM(H401:H404)</f>
        <v>3474</v>
      </c>
      <c r="I405" s="22">
        <f>SUM(I401:I404)</f>
        <v>3817</v>
      </c>
    </row>
    <row r="406" spans="3:9" x14ac:dyDescent="0.3">
      <c r="C406" s="291" t="s">
        <v>291</v>
      </c>
      <c r="D406" s="19"/>
      <c r="E406" s="19"/>
      <c r="F406" s="19"/>
      <c r="G406" s="19"/>
      <c r="H406" s="19"/>
      <c r="I406" s="19"/>
    </row>
    <row r="407" spans="3:9" x14ac:dyDescent="0.3">
      <c r="C407" s="19" t="s">
        <v>290</v>
      </c>
      <c r="D407" s="19"/>
      <c r="E407" s="19">
        <v>211</v>
      </c>
      <c r="F407" s="19">
        <v>211</v>
      </c>
      <c r="G407" s="19">
        <v>211</v>
      </c>
      <c r="H407" s="19">
        <v>211</v>
      </c>
      <c r="I407" s="19">
        <v>211</v>
      </c>
    </row>
    <row r="408" spans="3:9" x14ac:dyDescent="0.3">
      <c r="C408" s="19" t="s">
        <v>292</v>
      </c>
      <c r="D408" s="19"/>
      <c r="E408" s="296">
        <v>-211</v>
      </c>
      <c r="F408" s="296">
        <v>-211</v>
      </c>
      <c r="G408" s="296">
        <v>-211</v>
      </c>
      <c r="H408" s="296">
        <v>-211</v>
      </c>
      <c r="I408" s="93">
        <v>-211</v>
      </c>
    </row>
    <row r="409" spans="3:9" x14ac:dyDescent="0.3">
      <c r="C409" s="19"/>
      <c r="D409" s="19"/>
      <c r="E409" s="19"/>
      <c r="F409" s="19"/>
      <c r="G409" s="19"/>
      <c r="H409" s="19"/>
      <c r="I409" s="19"/>
    </row>
    <row r="410" spans="3:9" x14ac:dyDescent="0.3">
      <c r="C410" s="19"/>
      <c r="D410" s="19"/>
      <c r="E410" s="293">
        <f>SUM(E408,E407,E405,E399)</f>
        <v>2285</v>
      </c>
      <c r="F410" s="293">
        <f t="shared" ref="F410:G410" si="24">SUM(F408,F407,F405,F399)</f>
        <v>3220</v>
      </c>
      <c r="G410" s="293">
        <f t="shared" si="24"/>
        <v>4235</v>
      </c>
      <c r="H410" s="293">
        <f>SUM(H408,H407,H405,H399)</f>
        <v>3474</v>
      </c>
      <c r="I410" s="22">
        <f>SUM(I409,I405)</f>
        <v>3817</v>
      </c>
    </row>
    <row r="411" spans="3:9" x14ac:dyDescent="0.3">
      <c r="C411" s="22" t="s">
        <v>277</v>
      </c>
      <c r="D411" s="19"/>
      <c r="E411" s="19"/>
      <c r="F411" s="19"/>
      <c r="G411" s="19"/>
      <c r="H411" s="19"/>
      <c r="I411" s="19"/>
    </row>
    <row r="412" spans="3:9" x14ac:dyDescent="0.3">
      <c r="C412" s="19" t="s">
        <v>278</v>
      </c>
      <c r="D412" s="19">
        <v>54</v>
      </c>
      <c r="E412" s="296" t="s">
        <v>40</v>
      </c>
      <c r="F412" s="296" t="s">
        <v>40</v>
      </c>
      <c r="G412" s="296" t="s">
        <v>40</v>
      </c>
      <c r="H412" s="296" t="s">
        <v>40</v>
      </c>
      <c r="I412" s="19"/>
    </row>
    <row r="413" spans="3:9" x14ac:dyDescent="0.3">
      <c r="C413" s="19" t="s">
        <v>279</v>
      </c>
      <c r="D413" s="19">
        <v>54</v>
      </c>
      <c r="E413" s="296" t="s">
        <v>40</v>
      </c>
      <c r="F413" s="296" t="s">
        <v>40</v>
      </c>
      <c r="G413" s="19">
        <v>1</v>
      </c>
      <c r="H413" s="296" t="s">
        <v>40</v>
      </c>
      <c r="I413" s="19"/>
    </row>
    <row r="414" spans="3:9" x14ac:dyDescent="0.3">
      <c r="C414" s="19" t="s">
        <v>293</v>
      </c>
      <c r="D414" s="19">
        <v>54</v>
      </c>
      <c r="E414" s="296" t="s">
        <v>40</v>
      </c>
      <c r="F414" s="296" t="s">
        <v>40</v>
      </c>
      <c r="G414" s="296" t="s">
        <v>40</v>
      </c>
      <c r="H414" s="296" t="s">
        <v>40</v>
      </c>
      <c r="I414" s="19"/>
    </row>
    <row r="415" spans="3:9" x14ac:dyDescent="0.3">
      <c r="C415" s="17" t="s">
        <v>294</v>
      </c>
    </row>
    <row r="417" spans="3:10" ht="14.5" x14ac:dyDescent="0.35">
      <c r="C417" s="1093" t="s">
        <v>562</v>
      </c>
      <c r="D417" s="1093"/>
      <c r="E417" s="1093"/>
      <c r="F417" s="1093"/>
      <c r="G417" s="1093"/>
      <c r="H417" s="1093"/>
      <c r="I417" s="1093"/>
    </row>
    <row r="418" spans="3:10" x14ac:dyDescent="0.3">
      <c r="C418" s="22" t="s">
        <v>49</v>
      </c>
      <c r="D418" s="22" t="s">
        <v>50</v>
      </c>
      <c r="E418" s="1">
        <v>2016</v>
      </c>
      <c r="F418" s="1">
        <v>2017</v>
      </c>
      <c r="G418" s="1">
        <v>2018</v>
      </c>
      <c r="H418" s="1">
        <v>2019</v>
      </c>
      <c r="I418" s="22">
        <v>2020</v>
      </c>
    </row>
    <row r="419" spans="3:10" x14ac:dyDescent="0.3">
      <c r="C419" s="296" t="s">
        <v>295</v>
      </c>
      <c r="E419" s="19">
        <v>61456</v>
      </c>
      <c r="F419" s="107">
        <v>58233</v>
      </c>
      <c r="G419" s="19">
        <v>50565</v>
      </c>
      <c r="H419" s="19">
        <v>120980</v>
      </c>
      <c r="I419" s="19">
        <v>98866</v>
      </c>
    </row>
    <row r="420" spans="3:10" x14ac:dyDescent="0.3">
      <c r="C420" s="19" t="s">
        <v>296</v>
      </c>
      <c r="D420" s="19"/>
      <c r="E420" s="296" t="s">
        <v>40</v>
      </c>
      <c r="F420" s="296" t="s">
        <v>40</v>
      </c>
      <c r="G420" s="19">
        <v>6488</v>
      </c>
      <c r="H420" s="19">
        <v>10410</v>
      </c>
      <c r="I420" s="19">
        <v>14644</v>
      </c>
    </row>
    <row r="421" spans="3:10" x14ac:dyDescent="0.3">
      <c r="C421" s="19" t="s">
        <v>299</v>
      </c>
      <c r="D421" s="19"/>
      <c r="E421" s="19">
        <v>58</v>
      </c>
      <c r="F421" s="296" t="s">
        <v>40</v>
      </c>
      <c r="G421" s="19"/>
      <c r="H421" s="19"/>
      <c r="I421" s="19"/>
    </row>
    <row r="422" spans="3:10" x14ac:dyDescent="0.3">
      <c r="C422" s="19" t="s">
        <v>116</v>
      </c>
      <c r="D422" s="19"/>
      <c r="E422" s="19">
        <v>5573</v>
      </c>
      <c r="F422" s="107">
        <v>8621</v>
      </c>
      <c r="G422" s="19"/>
      <c r="H422" s="19"/>
      <c r="I422" s="19"/>
    </row>
    <row r="423" spans="3:10" x14ac:dyDescent="0.3">
      <c r="C423" s="19" t="s">
        <v>297</v>
      </c>
      <c r="D423" s="19"/>
      <c r="E423" s="19">
        <v>61</v>
      </c>
      <c r="F423" s="19">
        <v>65</v>
      </c>
      <c r="G423" s="19">
        <v>74</v>
      </c>
      <c r="H423" s="19">
        <v>111</v>
      </c>
      <c r="I423" s="19">
        <v>240</v>
      </c>
    </row>
    <row r="424" spans="3:10" x14ac:dyDescent="0.3">
      <c r="C424" s="19"/>
      <c r="D424" s="19"/>
      <c r="E424" s="22">
        <v>67148</v>
      </c>
      <c r="F424" s="293">
        <v>66919</v>
      </c>
      <c r="G424" s="22">
        <v>57127</v>
      </c>
      <c r="H424" s="22">
        <v>131501</v>
      </c>
      <c r="I424" s="22">
        <f>SUM(I419:I423)</f>
        <v>113750</v>
      </c>
    </row>
    <row r="425" spans="3:10" x14ac:dyDescent="0.3">
      <c r="C425" s="19" t="s">
        <v>298</v>
      </c>
      <c r="D425" s="19"/>
      <c r="E425" s="19">
        <v>20371</v>
      </c>
      <c r="F425" s="107">
        <v>24972</v>
      </c>
      <c r="G425" s="19">
        <v>33937</v>
      </c>
      <c r="H425" s="19">
        <v>87753</v>
      </c>
      <c r="I425" s="19">
        <v>63941</v>
      </c>
    </row>
    <row r="427" spans="3:10" ht="14.5" x14ac:dyDescent="0.35">
      <c r="C427" s="1093" t="s">
        <v>561</v>
      </c>
      <c r="D427" s="1093"/>
      <c r="E427" s="1093"/>
      <c r="F427" s="1093"/>
      <c r="G427" s="1093"/>
      <c r="H427" s="1093"/>
      <c r="I427" s="1093"/>
    </row>
    <row r="428" spans="3:10" x14ac:dyDescent="0.3">
      <c r="C428" s="22" t="s">
        <v>49</v>
      </c>
      <c r="D428" s="22" t="s">
        <v>50</v>
      </c>
      <c r="E428" s="1">
        <v>2016</v>
      </c>
      <c r="F428" s="1">
        <v>2017</v>
      </c>
      <c r="G428" s="1">
        <v>2018</v>
      </c>
      <c r="H428" s="1">
        <v>2019</v>
      </c>
      <c r="I428" s="22">
        <v>2020</v>
      </c>
    </row>
    <row r="429" spans="3:10" x14ac:dyDescent="0.3">
      <c r="C429" s="22" t="s">
        <v>300</v>
      </c>
      <c r="D429" s="19"/>
      <c r="E429" s="19"/>
      <c r="F429" s="19"/>
      <c r="G429" s="19"/>
      <c r="H429" s="19"/>
      <c r="I429" s="19"/>
      <c r="J429" s="17" t="s">
        <v>958</v>
      </c>
    </row>
    <row r="430" spans="3:10" x14ac:dyDescent="0.3">
      <c r="C430" s="291" t="s">
        <v>301</v>
      </c>
      <c r="D430" s="19" t="s">
        <v>869</v>
      </c>
      <c r="E430" s="19">
        <v>0</v>
      </c>
      <c r="F430" s="19">
        <v>0</v>
      </c>
      <c r="G430" s="19">
        <v>0</v>
      </c>
      <c r="H430" s="19">
        <v>0</v>
      </c>
      <c r="I430" s="19">
        <v>0</v>
      </c>
    </row>
    <row r="431" spans="3:10" x14ac:dyDescent="0.3">
      <c r="C431" s="296" t="s">
        <v>302</v>
      </c>
      <c r="D431" s="19" t="s">
        <v>870</v>
      </c>
      <c r="E431" s="19">
        <v>2231</v>
      </c>
      <c r="F431" s="19">
        <v>103</v>
      </c>
      <c r="G431" s="19">
        <v>111</v>
      </c>
      <c r="H431" s="19">
        <v>5</v>
      </c>
      <c r="I431" s="19">
        <v>5</v>
      </c>
    </row>
    <row r="432" spans="3:10" x14ac:dyDescent="0.3">
      <c r="C432" s="19"/>
      <c r="D432" s="19"/>
      <c r="E432" s="22">
        <v>2231</v>
      </c>
      <c r="F432" s="22">
        <v>103</v>
      </c>
      <c r="G432" s="19">
        <v>111</v>
      </c>
      <c r="H432" s="19">
        <v>5</v>
      </c>
      <c r="I432" s="19">
        <v>5</v>
      </c>
    </row>
    <row r="434" spans="3:9" x14ac:dyDescent="0.3">
      <c r="C434" s="1091" t="s">
        <v>563</v>
      </c>
      <c r="D434" s="1091"/>
      <c r="E434" s="1091"/>
      <c r="F434" s="1091"/>
      <c r="G434" s="1091"/>
      <c r="H434" s="1091"/>
      <c r="I434" s="1091"/>
    </row>
    <row r="435" spans="3:9" x14ac:dyDescent="0.3">
      <c r="C435" s="22" t="s">
        <v>49</v>
      </c>
      <c r="D435" s="22" t="s">
        <v>50</v>
      </c>
      <c r="E435" s="1">
        <v>2016</v>
      </c>
      <c r="F435" s="1">
        <v>2017</v>
      </c>
      <c r="G435" s="1">
        <v>2018</v>
      </c>
      <c r="H435" s="1">
        <v>2019</v>
      </c>
      <c r="I435" s="22">
        <v>2020</v>
      </c>
    </row>
    <row r="436" spans="3:9" x14ac:dyDescent="0.3">
      <c r="C436" s="22" t="s">
        <v>303</v>
      </c>
      <c r="D436" s="22"/>
      <c r="E436" s="1">
        <v>0</v>
      </c>
      <c r="F436" s="1">
        <v>0</v>
      </c>
      <c r="G436" s="1">
        <v>0</v>
      </c>
      <c r="H436" s="1">
        <v>0</v>
      </c>
      <c r="I436" s="19">
        <v>0</v>
      </c>
    </row>
    <row r="437" spans="3:9" x14ac:dyDescent="0.3">
      <c r="C437" s="19"/>
      <c r="D437" s="19"/>
      <c r="E437" s="19">
        <v>0</v>
      </c>
      <c r="F437" s="19">
        <v>0</v>
      </c>
      <c r="G437" s="19">
        <v>0</v>
      </c>
      <c r="H437" s="19">
        <v>0</v>
      </c>
      <c r="I437" s="19">
        <v>0</v>
      </c>
    </row>
    <row r="439" spans="3:9" x14ac:dyDescent="0.3">
      <c r="C439" s="1092" t="s">
        <v>564</v>
      </c>
      <c r="D439" s="1092"/>
      <c r="E439" s="1092"/>
      <c r="F439" s="1092"/>
      <c r="G439" s="1092"/>
      <c r="H439" s="1092"/>
      <c r="I439" s="1092"/>
    </row>
    <row r="440" spans="3:9" x14ac:dyDescent="0.3">
      <c r="C440" s="22" t="s">
        <v>49</v>
      </c>
      <c r="D440" s="22" t="s">
        <v>50</v>
      </c>
      <c r="E440" s="1">
        <v>2016</v>
      </c>
      <c r="F440" s="1">
        <v>2017</v>
      </c>
      <c r="G440" s="1">
        <v>2018</v>
      </c>
      <c r="H440" s="1">
        <v>2019</v>
      </c>
      <c r="I440" s="22">
        <v>2020</v>
      </c>
    </row>
    <row r="441" spans="3:9" x14ac:dyDescent="0.3">
      <c r="C441" s="296" t="s">
        <v>304</v>
      </c>
      <c r="D441" s="19"/>
      <c r="E441" s="19">
        <v>5</v>
      </c>
      <c r="F441" s="19">
        <v>5</v>
      </c>
      <c r="G441" s="19">
        <v>5</v>
      </c>
      <c r="H441" s="19">
        <v>5</v>
      </c>
      <c r="I441" s="19">
        <v>5</v>
      </c>
    </row>
    <row r="442" spans="3:9" x14ac:dyDescent="0.3">
      <c r="C442" s="296" t="s">
        <v>309</v>
      </c>
      <c r="D442" s="19"/>
      <c r="E442" s="19">
        <v>165</v>
      </c>
      <c r="F442" s="296" t="s">
        <v>40</v>
      </c>
      <c r="G442" s="296" t="s">
        <v>40</v>
      </c>
      <c r="H442" s="296" t="s">
        <v>40</v>
      </c>
      <c r="I442" s="19" t="s">
        <v>40</v>
      </c>
    </row>
    <row r="443" spans="3:9" x14ac:dyDescent="0.3">
      <c r="C443" s="296" t="s">
        <v>310</v>
      </c>
      <c r="D443" s="19"/>
      <c r="E443" s="19">
        <v>456</v>
      </c>
      <c r="F443" s="296" t="s">
        <v>40</v>
      </c>
      <c r="G443" s="296" t="s">
        <v>40</v>
      </c>
      <c r="H443" s="296" t="s">
        <v>40</v>
      </c>
      <c r="I443" s="19" t="s">
        <v>40</v>
      </c>
    </row>
    <row r="444" spans="3:9" x14ac:dyDescent="0.3">
      <c r="C444" s="296" t="s">
        <v>311</v>
      </c>
      <c r="D444" s="19"/>
      <c r="E444" s="19">
        <v>231</v>
      </c>
      <c r="F444" s="296" t="s">
        <v>40</v>
      </c>
      <c r="G444" s="296" t="s">
        <v>40</v>
      </c>
      <c r="H444" s="296" t="s">
        <v>40</v>
      </c>
      <c r="I444" s="19" t="s">
        <v>40</v>
      </c>
    </row>
    <row r="445" spans="3:9" x14ac:dyDescent="0.3">
      <c r="C445" s="296" t="s">
        <v>312</v>
      </c>
      <c r="D445" s="19"/>
      <c r="E445" s="19">
        <v>653</v>
      </c>
      <c r="F445" s="296" t="s">
        <v>40</v>
      </c>
      <c r="G445" s="296" t="s">
        <v>40</v>
      </c>
      <c r="H445" s="296" t="s">
        <v>40</v>
      </c>
      <c r="I445" s="19" t="s">
        <v>40</v>
      </c>
    </row>
    <row r="446" spans="3:9" x14ac:dyDescent="0.3">
      <c r="C446" s="296" t="s">
        <v>313</v>
      </c>
      <c r="D446" s="19"/>
      <c r="E446" s="19">
        <v>632</v>
      </c>
      <c r="F446" s="296" t="s">
        <v>40</v>
      </c>
      <c r="G446" s="296" t="s">
        <v>40</v>
      </c>
      <c r="H446" s="296" t="s">
        <v>40</v>
      </c>
      <c r="I446" s="19" t="s">
        <v>40</v>
      </c>
    </row>
    <row r="447" spans="3:9" x14ac:dyDescent="0.3">
      <c r="C447" s="296" t="s">
        <v>305</v>
      </c>
      <c r="D447" s="19"/>
      <c r="E447" s="19">
        <v>89</v>
      </c>
      <c r="F447" s="19">
        <v>98</v>
      </c>
      <c r="G447" s="19">
        <v>106</v>
      </c>
      <c r="H447" s="296" t="s">
        <v>40</v>
      </c>
      <c r="I447" s="19" t="s">
        <v>40</v>
      </c>
    </row>
    <row r="448" spans="3:9" x14ac:dyDescent="0.3">
      <c r="C448" s="22" t="s">
        <v>306</v>
      </c>
      <c r="D448" s="19"/>
      <c r="E448" s="107">
        <v>2231</v>
      </c>
      <c r="F448" s="19">
        <v>103</v>
      </c>
      <c r="G448" s="19">
        <v>111</v>
      </c>
      <c r="H448" s="19">
        <v>5</v>
      </c>
      <c r="I448" s="19">
        <v>5</v>
      </c>
    </row>
    <row r="449" spans="3:9" x14ac:dyDescent="0.3">
      <c r="C449" s="22" t="s">
        <v>307</v>
      </c>
      <c r="D449" s="19"/>
      <c r="E449" s="107">
        <v>2231</v>
      </c>
      <c r="F449" s="19">
        <v>103</v>
      </c>
      <c r="G449" s="19">
        <v>111</v>
      </c>
      <c r="H449" s="19">
        <v>5</v>
      </c>
      <c r="I449" s="19">
        <v>5</v>
      </c>
    </row>
    <row r="450" spans="3:9" x14ac:dyDescent="0.3">
      <c r="C450" s="19" t="s">
        <v>264</v>
      </c>
      <c r="D450" s="19"/>
      <c r="E450" s="19">
        <v>0</v>
      </c>
      <c r="F450" s="19">
        <v>0</v>
      </c>
      <c r="G450" s="19">
        <v>0</v>
      </c>
      <c r="H450" s="19">
        <v>0</v>
      </c>
      <c r="I450" s="19">
        <v>0</v>
      </c>
    </row>
    <row r="451" spans="3:9" x14ac:dyDescent="0.3">
      <c r="C451" s="19" t="s">
        <v>265</v>
      </c>
      <c r="D451" s="19"/>
      <c r="E451" s="19">
        <v>0</v>
      </c>
      <c r="F451" s="19">
        <v>0</v>
      </c>
      <c r="G451" s="19">
        <v>0</v>
      </c>
      <c r="H451" s="19">
        <v>0</v>
      </c>
      <c r="I451" s="19">
        <v>0</v>
      </c>
    </row>
    <row r="452" spans="3:9" x14ac:dyDescent="0.3">
      <c r="C452" s="19" t="s">
        <v>266</v>
      </c>
      <c r="D452" s="19"/>
      <c r="E452" s="107">
        <v>2231</v>
      </c>
      <c r="F452" s="19">
        <v>103</v>
      </c>
      <c r="G452" s="19">
        <v>111</v>
      </c>
      <c r="H452" s="19">
        <v>5</v>
      </c>
      <c r="I452" s="19">
        <v>5</v>
      </c>
    </row>
    <row r="453" spans="3:9" x14ac:dyDescent="0.3">
      <c r="C453" s="19" t="s">
        <v>267</v>
      </c>
      <c r="D453" s="19"/>
      <c r="E453" s="296" t="s">
        <v>40</v>
      </c>
      <c r="F453" s="296" t="s">
        <v>40</v>
      </c>
      <c r="G453" s="296" t="s">
        <v>40</v>
      </c>
      <c r="H453" s="296" t="s">
        <v>40</v>
      </c>
      <c r="I453" s="19" t="s">
        <v>40</v>
      </c>
    </row>
    <row r="454" spans="3:9" x14ac:dyDescent="0.3">
      <c r="C454" s="291" t="s">
        <v>308</v>
      </c>
      <c r="D454" s="19"/>
      <c r="E454" s="19"/>
      <c r="F454" s="19"/>
      <c r="G454" s="19"/>
      <c r="H454" s="19"/>
      <c r="I454" s="19"/>
    </row>
    <row r="455" spans="3:9" x14ac:dyDescent="0.3">
      <c r="C455" s="19" t="s">
        <v>262</v>
      </c>
      <c r="D455" s="19"/>
      <c r="E455" s="296" t="s">
        <v>40</v>
      </c>
      <c r="F455" s="296" t="s">
        <v>40</v>
      </c>
      <c r="G455" s="296" t="s">
        <v>40</v>
      </c>
      <c r="H455" s="296" t="s">
        <v>40</v>
      </c>
      <c r="I455" s="19" t="s">
        <v>40</v>
      </c>
    </row>
    <row r="456" spans="3:9" x14ac:dyDescent="0.3">
      <c r="C456" s="19" t="s">
        <v>263</v>
      </c>
      <c r="D456" s="19"/>
      <c r="E456" s="107">
        <v>2231</v>
      </c>
      <c r="F456" s="19">
        <v>103</v>
      </c>
      <c r="G456" s="19">
        <v>111</v>
      </c>
      <c r="H456" s="19">
        <v>5</v>
      </c>
      <c r="I456" s="19">
        <v>5</v>
      </c>
    </row>
    <row r="457" spans="3:9" x14ac:dyDescent="0.3">
      <c r="C457" s="22" t="s">
        <v>307</v>
      </c>
      <c r="D457" s="19"/>
      <c r="E457" s="19">
        <v>2231</v>
      </c>
      <c r="F457" s="19">
        <v>103</v>
      </c>
      <c r="G457" s="19">
        <v>111</v>
      </c>
      <c r="H457" s="19">
        <v>5</v>
      </c>
      <c r="I457" s="19">
        <v>5</v>
      </c>
    </row>
    <row r="458" spans="3:9" ht="14.5" thickBot="1" x14ac:dyDescent="0.35"/>
    <row r="459" spans="3:9" ht="14.5" thickBot="1" x14ac:dyDescent="0.35">
      <c r="C459" s="1089" t="s">
        <v>565</v>
      </c>
      <c r="D459" s="1090"/>
      <c r="E459" s="227">
        <v>2137</v>
      </c>
      <c r="F459" s="312" t="s">
        <v>40</v>
      </c>
      <c r="G459" s="313" t="s">
        <v>40</v>
      </c>
      <c r="H459" s="314" t="s">
        <v>40</v>
      </c>
      <c r="I459" s="315" t="s">
        <v>40</v>
      </c>
    </row>
    <row r="461" spans="3:9" ht="14.5" x14ac:dyDescent="0.35">
      <c r="C461" s="1093" t="s">
        <v>566</v>
      </c>
      <c r="D461" s="1093"/>
      <c r="E461" s="1093"/>
      <c r="F461" s="1093"/>
      <c r="G461" s="1093"/>
      <c r="H461" s="1093"/>
      <c r="I461" s="1093"/>
    </row>
    <row r="462" spans="3:9" x14ac:dyDescent="0.3">
      <c r="C462" s="22" t="s">
        <v>49</v>
      </c>
      <c r="D462" s="22" t="s">
        <v>50</v>
      </c>
      <c r="E462" s="1">
        <v>2016</v>
      </c>
      <c r="F462" s="1">
        <v>2017</v>
      </c>
      <c r="G462" s="1">
        <v>2018</v>
      </c>
      <c r="H462" s="1">
        <v>2019</v>
      </c>
      <c r="I462" s="22">
        <v>2020</v>
      </c>
    </row>
    <row r="463" spans="3:9" x14ac:dyDescent="0.3">
      <c r="C463" s="22" t="s">
        <v>269</v>
      </c>
      <c r="D463" s="19"/>
      <c r="E463" s="19"/>
      <c r="F463" s="19"/>
      <c r="G463" s="19"/>
      <c r="H463" s="19"/>
      <c r="I463" s="19"/>
    </row>
    <row r="464" spans="3:9" x14ac:dyDescent="0.3">
      <c r="C464" s="19" t="s">
        <v>314</v>
      </c>
      <c r="D464" s="19"/>
      <c r="E464" s="19">
        <v>11426</v>
      </c>
      <c r="F464" s="19">
        <v>10057</v>
      </c>
      <c r="G464" s="19">
        <v>9645</v>
      </c>
      <c r="H464" s="19">
        <v>16544</v>
      </c>
      <c r="I464" s="19">
        <v>14765</v>
      </c>
    </row>
    <row r="465" spans="3:9" x14ac:dyDescent="0.3">
      <c r="C465" s="19" t="s">
        <v>315</v>
      </c>
      <c r="D465" s="19"/>
      <c r="E465" s="19">
        <v>1133</v>
      </c>
      <c r="F465" s="19">
        <v>1144</v>
      </c>
      <c r="G465" s="19">
        <v>1144</v>
      </c>
      <c r="H465" s="19">
        <v>1146</v>
      </c>
      <c r="I465" s="19">
        <v>1229</v>
      </c>
    </row>
    <row r="466" spans="3:9" x14ac:dyDescent="0.3">
      <c r="C466" s="19"/>
      <c r="D466" s="19"/>
      <c r="E466" s="22">
        <f>SUM(E464:E465)</f>
        <v>12559</v>
      </c>
      <c r="F466" s="22">
        <f t="shared" ref="F466:I466" si="25">SUM(F464:F465)</f>
        <v>11201</v>
      </c>
      <c r="G466" s="22">
        <f t="shared" si="25"/>
        <v>10789</v>
      </c>
      <c r="H466" s="22">
        <f t="shared" si="25"/>
        <v>17690</v>
      </c>
      <c r="I466" s="22">
        <f t="shared" si="25"/>
        <v>15994</v>
      </c>
    </row>
    <row r="467" spans="3:9" x14ac:dyDescent="0.3">
      <c r="C467" s="22" t="s">
        <v>316</v>
      </c>
      <c r="D467" s="19"/>
      <c r="E467" s="19"/>
      <c r="F467" s="19"/>
      <c r="G467" s="19"/>
      <c r="H467" s="19"/>
      <c r="I467" s="19"/>
    </row>
    <row r="468" spans="3:9" x14ac:dyDescent="0.3">
      <c r="C468" s="19" t="s">
        <v>314</v>
      </c>
      <c r="D468" s="19"/>
      <c r="E468" s="296" t="s">
        <v>40</v>
      </c>
      <c r="F468" s="296" t="s">
        <v>40</v>
      </c>
      <c r="G468" s="296" t="s">
        <v>40</v>
      </c>
      <c r="H468" s="296" t="s">
        <v>40</v>
      </c>
      <c r="I468" s="19" t="s">
        <v>40</v>
      </c>
    </row>
    <row r="469" spans="3:9" x14ac:dyDescent="0.3">
      <c r="C469" s="19" t="s">
        <v>315</v>
      </c>
      <c r="D469" s="19"/>
      <c r="E469" s="296">
        <v>-1133</v>
      </c>
      <c r="F469" s="296">
        <v>-1144</v>
      </c>
      <c r="G469" s="296">
        <v>-1144</v>
      </c>
      <c r="H469" s="296">
        <v>-1146</v>
      </c>
      <c r="I469" s="19">
        <f>-1229</f>
        <v>-1229</v>
      </c>
    </row>
    <row r="470" spans="3:9" x14ac:dyDescent="0.3">
      <c r="C470" s="19"/>
      <c r="D470" s="19"/>
      <c r="E470" s="291">
        <f t="shared" ref="E470:I470" si="26">SUM(E469,E466)</f>
        <v>11426</v>
      </c>
      <c r="F470" s="291">
        <f t="shared" si="26"/>
        <v>10057</v>
      </c>
      <c r="G470" s="291">
        <f t="shared" si="26"/>
        <v>9645</v>
      </c>
      <c r="H470" s="291">
        <f t="shared" si="26"/>
        <v>16544</v>
      </c>
      <c r="I470" s="291">
        <f t="shared" si="26"/>
        <v>14765</v>
      </c>
    </row>
    <row r="471" spans="3:9" x14ac:dyDescent="0.3">
      <c r="C471" s="22" t="s">
        <v>277</v>
      </c>
      <c r="D471" s="19"/>
      <c r="E471" s="19"/>
      <c r="F471" s="19"/>
      <c r="G471" s="19"/>
      <c r="H471" s="19"/>
      <c r="I471" s="19"/>
    </row>
    <row r="472" spans="3:9" x14ac:dyDescent="0.3">
      <c r="C472" s="19" t="s">
        <v>278</v>
      </c>
      <c r="D472" s="19"/>
      <c r="E472" s="19">
        <v>174</v>
      </c>
      <c r="F472" s="19">
        <v>6</v>
      </c>
      <c r="G472" s="296" t="s">
        <v>40</v>
      </c>
      <c r="H472" s="19">
        <v>24</v>
      </c>
      <c r="I472" s="19">
        <v>11</v>
      </c>
    </row>
    <row r="473" spans="3:9" x14ac:dyDescent="0.3">
      <c r="C473" s="19" t="s">
        <v>279</v>
      </c>
      <c r="D473" s="19"/>
      <c r="E473" s="19">
        <v>1</v>
      </c>
      <c r="F473" s="19">
        <v>5</v>
      </c>
      <c r="G473" s="19">
        <v>2</v>
      </c>
      <c r="H473" s="19">
        <v>52</v>
      </c>
      <c r="I473" s="19">
        <v>44</v>
      </c>
    </row>
    <row r="474" spans="3:9" ht="14.5" thickBot="1" x14ac:dyDescent="0.35">
      <c r="C474" s="152" t="s">
        <v>280</v>
      </c>
      <c r="D474" s="152"/>
      <c r="E474" s="152">
        <v>29</v>
      </c>
      <c r="F474" s="152">
        <v>10</v>
      </c>
      <c r="G474" s="152">
        <v>71</v>
      </c>
      <c r="H474" s="152">
        <v>96</v>
      </c>
      <c r="I474" s="152">
        <v>87</v>
      </c>
    </row>
    <row r="475" spans="3:9" ht="14.5" thickBot="1" x14ac:dyDescent="0.35">
      <c r="C475" s="316" t="s">
        <v>317</v>
      </c>
      <c r="D475" s="170"/>
      <c r="E475" s="170">
        <v>2750</v>
      </c>
      <c r="F475" s="170">
        <v>3277</v>
      </c>
      <c r="G475" s="170">
        <v>5042</v>
      </c>
      <c r="H475" s="170">
        <v>12519</v>
      </c>
      <c r="I475" s="171">
        <v>10291</v>
      </c>
    </row>
    <row r="476" spans="3:9" x14ac:dyDescent="0.3">
      <c r="C476" s="118" t="s">
        <v>318</v>
      </c>
      <c r="D476" s="118"/>
      <c r="E476" s="118">
        <v>962</v>
      </c>
      <c r="F476" s="118">
        <v>1133</v>
      </c>
      <c r="G476" s="118">
        <v>1144</v>
      </c>
      <c r="H476" s="118">
        <v>1144</v>
      </c>
      <c r="I476" s="118">
        <v>1146</v>
      </c>
    </row>
    <row r="477" spans="3:9" x14ac:dyDescent="0.3">
      <c r="C477" s="19" t="s">
        <v>319</v>
      </c>
      <c r="D477" s="19"/>
      <c r="E477" s="19">
        <v>183</v>
      </c>
      <c r="F477" s="19">
        <v>11</v>
      </c>
      <c r="G477" s="19">
        <v>5</v>
      </c>
      <c r="H477" s="19">
        <v>9</v>
      </c>
      <c r="I477" s="19">
        <v>90</v>
      </c>
    </row>
    <row r="478" spans="3:9" x14ac:dyDescent="0.3">
      <c r="C478" s="19" t="s">
        <v>320</v>
      </c>
      <c r="D478" s="19"/>
      <c r="E478" s="296">
        <v>-12</v>
      </c>
      <c r="F478" s="296" t="s">
        <v>40</v>
      </c>
      <c r="G478" s="296">
        <v>-5</v>
      </c>
      <c r="H478" s="296">
        <v>-7</v>
      </c>
      <c r="I478" s="19">
        <f>-7</f>
        <v>-7</v>
      </c>
    </row>
    <row r="479" spans="3:9" x14ac:dyDescent="0.3">
      <c r="C479" s="19" t="s">
        <v>321</v>
      </c>
      <c r="D479" s="19"/>
      <c r="E479" s="22">
        <v>1133</v>
      </c>
      <c r="F479" s="22">
        <v>1144</v>
      </c>
      <c r="G479" s="22">
        <v>1144</v>
      </c>
      <c r="H479" s="22">
        <v>1146</v>
      </c>
      <c r="I479" s="22">
        <v>1229</v>
      </c>
    </row>
    <row r="481" spans="3:9" ht="14.5" x14ac:dyDescent="0.35">
      <c r="C481" s="1094" t="s">
        <v>567</v>
      </c>
      <c r="D481" s="1094"/>
      <c r="E481" s="1094"/>
      <c r="F481" s="1094"/>
      <c r="G481" s="1094"/>
      <c r="H481" s="1094"/>
      <c r="I481" s="1094"/>
    </row>
    <row r="482" spans="3:9" x14ac:dyDescent="0.3">
      <c r="C482" s="22" t="s">
        <v>49</v>
      </c>
      <c r="D482" s="22" t="s">
        <v>50</v>
      </c>
      <c r="E482" s="1">
        <v>2016</v>
      </c>
      <c r="F482" s="1">
        <v>2017</v>
      </c>
      <c r="G482" s="1">
        <v>2018</v>
      </c>
      <c r="H482" s="1">
        <v>2019</v>
      </c>
      <c r="I482" s="22">
        <v>2020</v>
      </c>
    </row>
    <row r="483" spans="3:9" x14ac:dyDescent="0.3">
      <c r="C483" s="19" t="s">
        <v>322</v>
      </c>
      <c r="D483" s="19"/>
      <c r="E483" s="19">
        <v>4</v>
      </c>
      <c r="F483" s="19">
        <v>2</v>
      </c>
      <c r="G483" s="19">
        <v>4</v>
      </c>
      <c r="H483" s="19">
        <v>3</v>
      </c>
      <c r="I483" s="19">
        <v>2</v>
      </c>
    </row>
    <row r="484" spans="3:9" x14ac:dyDescent="0.3">
      <c r="C484" s="19" t="s">
        <v>326</v>
      </c>
      <c r="D484" s="19"/>
      <c r="E484" s="296" t="s">
        <v>40</v>
      </c>
      <c r="F484" s="19"/>
      <c r="G484" s="19"/>
      <c r="H484" s="19"/>
      <c r="I484" s="19"/>
    </row>
    <row r="485" spans="3:9" x14ac:dyDescent="0.3">
      <c r="C485" s="19" t="s">
        <v>323</v>
      </c>
      <c r="D485" s="19"/>
      <c r="E485" s="19"/>
      <c r="F485" s="19"/>
      <c r="G485" s="19"/>
      <c r="H485" s="19"/>
      <c r="I485" s="19"/>
    </row>
    <row r="486" spans="3:9" x14ac:dyDescent="0.3">
      <c r="C486" s="296" t="s">
        <v>324</v>
      </c>
      <c r="D486" s="19"/>
      <c r="E486" s="107">
        <v>2766</v>
      </c>
      <c r="F486" s="19">
        <v>2783</v>
      </c>
      <c r="G486" s="19">
        <v>3207</v>
      </c>
      <c r="H486" s="19">
        <v>5300</v>
      </c>
      <c r="I486" s="19">
        <v>4331</v>
      </c>
    </row>
    <row r="487" spans="3:9" x14ac:dyDescent="0.3">
      <c r="C487" s="296" t="s">
        <v>325</v>
      </c>
      <c r="D487" s="19"/>
      <c r="E487" s="107">
        <v>1375</v>
      </c>
      <c r="F487" s="19">
        <v>486</v>
      </c>
      <c r="G487" s="19">
        <v>321</v>
      </c>
      <c r="H487" s="19">
        <v>1227</v>
      </c>
      <c r="I487" s="19">
        <v>3524</v>
      </c>
    </row>
    <row r="488" spans="3:9" x14ac:dyDescent="0.3">
      <c r="C488" s="22" t="s">
        <v>329</v>
      </c>
      <c r="D488" s="19"/>
      <c r="E488" s="293">
        <f t="shared" ref="E488:I488" si="27">SUM(E483:E487)</f>
        <v>4145</v>
      </c>
      <c r="F488" s="293">
        <f t="shared" si="27"/>
        <v>3271</v>
      </c>
      <c r="G488" s="293">
        <f t="shared" si="27"/>
        <v>3532</v>
      </c>
      <c r="H488" s="293">
        <f t="shared" si="27"/>
        <v>6530</v>
      </c>
      <c r="I488" s="293">
        <f t="shared" si="27"/>
        <v>7857</v>
      </c>
    </row>
    <row r="489" spans="3:9" x14ac:dyDescent="0.3">
      <c r="C489" s="19" t="s">
        <v>327</v>
      </c>
      <c r="D489" s="19"/>
      <c r="E489" s="19"/>
      <c r="F489" s="19"/>
      <c r="G489" s="19"/>
      <c r="H489" s="19"/>
      <c r="I489" s="19"/>
    </row>
    <row r="490" spans="3:9" x14ac:dyDescent="0.3">
      <c r="C490" s="296" t="s">
        <v>328</v>
      </c>
      <c r="D490" s="19"/>
      <c r="E490" s="19">
        <v>0</v>
      </c>
      <c r="F490" s="19">
        <v>0</v>
      </c>
      <c r="G490" s="19">
        <v>0</v>
      </c>
      <c r="H490" s="19">
        <v>0</v>
      </c>
      <c r="I490" s="19">
        <v>0</v>
      </c>
    </row>
    <row r="491" spans="3:9" x14ac:dyDescent="0.3">
      <c r="C491" s="19"/>
      <c r="D491" s="19"/>
      <c r="E491" s="22">
        <v>0</v>
      </c>
      <c r="F491" s="19">
        <v>0</v>
      </c>
      <c r="G491" s="19">
        <v>0</v>
      </c>
      <c r="H491" s="19">
        <v>0</v>
      </c>
      <c r="I491" s="19">
        <v>0</v>
      </c>
    </row>
    <row r="492" spans="3:9" x14ac:dyDescent="0.3">
      <c r="C492" s="19"/>
      <c r="D492" s="19"/>
      <c r="E492" s="293">
        <f>SUM(E488:E491)</f>
        <v>4145</v>
      </c>
      <c r="F492" s="293">
        <f>SUM(F488:F491)</f>
        <v>3271</v>
      </c>
      <c r="G492" s="293">
        <f t="shared" ref="G492:I492" si="28">SUM(G488:G491)</f>
        <v>3532</v>
      </c>
      <c r="H492" s="293">
        <f t="shared" si="28"/>
        <v>6530</v>
      </c>
      <c r="I492" s="293">
        <f t="shared" si="28"/>
        <v>7857</v>
      </c>
    </row>
    <row r="494" spans="3:9" x14ac:dyDescent="0.3">
      <c r="C494" s="317" t="s">
        <v>568</v>
      </c>
      <c r="D494" s="317"/>
      <c r="E494" s="17">
        <v>459</v>
      </c>
    </row>
    <row r="496" spans="3:9" ht="27" customHeight="1" x14ac:dyDescent="0.3">
      <c r="C496" s="1067" t="s">
        <v>569</v>
      </c>
      <c r="D496" s="1067"/>
      <c r="E496" s="1067"/>
      <c r="F496" s="1067"/>
      <c r="G496" s="1067"/>
    </row>
    <row r="497" spans="3:9" ht="42" x14ac:dyDescent="0.3">
      <c r="C497" s="22" t="s">
        <v>49</v>
      </c>
      <c r="D497" s="19"/>
      <c r="E497" s="297" t="s">
        <v>335</v>
      </c>
      <c r="F497" s="297" t="s">
        <v>336</v>
      </c>
      <c r="G497" s="19" t="s">
        <v>195</v>
      </c>
    </row>
    <row r="498" spans="3:9" x14ac:dyDescent="0.3">
      <c r="C498" s="19" t="s">
        <v>330</v>
      </c>
      <c r="D498" s="19"/>
      <c r="E498" s="19">
        <v>3</v>
      </c>
      <c r="F498" s="19">
        <v>2</v>
      </c>
      <c r="G498" s="19">
        <v>5</v>
      </c>
    </row>
    <row r="499" spans="3:9" x14ac:dyDescent="0.3">
      <c r="C499" s="19" t="s">
        <v>331</v>
      </c>
      <c r="D499" s="19"/>
      <c r="E499" s="296" t="s">
        <v>40</v>
      </c>
      <c r="F499" s="19">
        <v>16</v>
      </c>
      <c r="G499" s="19">
        <v>16</v>
      </c>
    </row>
    <row r="500" spans="3:9" x14ac:dyDescent="0.3">
      <c r="C500" s="19" t="s">
        <v>332</v>
      </c>
      <c r="D500" s="19"/>
      <c r="E500" s="296" t="s">
        <v>40</v>
      </c>
      <c r="F500" s="19">
        <v>2</v>
      </c>
      <c r="G500" s="19">
        <v>2</v>
      </c>
    </row>
    <row r="501" spans="3:9" x14ac:dyDescent="0.3">
      <c r="C501" s="19" t="s">
        <v>333</v>
      </c>
      <c r="D501" s="19"/>
      <c r="E501" s="19">
        <v>3</v>
      </c>
      <c r="F501" s="19">
        <v>13</v>
      </c>
      <c r="G501" s="19">
        <v>16</v>
      </c>
    </row>
    <row r="502" spans="3:9" x14ac:dyDescent="0.3">
      <c r="C502" s="19" t="s">
        <v>334</v>
      </c>
      <c r="D502" s="19"/>
      <c r="E502" s="296" t="s">
        <v>40</v>
      </c>
      <c r="F502" s="19">
        <v>3</v>
      </c>
      <c r="G502" s="19">
        <v>3</v>
      </c>
    </row>
    <row r="504" spans="3:9" ht="14.5" x14ac:dyDescent="0.35">
      <c r="C504" s="1068" t="s">
        <v>570</v>
      </c>
      <c r="D504" s="1068"/>
      <c r="E504" s="1068"/>
      <c r="F504" s="1068"/>
      <c r="G504" s="1068"/>
      <c r="H504" s="1068"/>
      <c r="I504" s="1068"/>
    </row>
    <row r="505" spans="3:9" x14ac:dyDescent="0.3">
      <c r="C505" s="22" t="s">
        <v>49</v>
      </c>
      <c r="D505" s="22" t="s">
        <v>50</v>
      </c>
      <c r="E505" s="1">
        <v>2016</v>
      </c>
      <c r="F505" s="1">
        <v>2017</v>
      </c>
      <c r="G505" s="1">
        <v>2018</v>
      </c>
      <c r="H505" s="1">
        <v>2019</v>
      </c>
      <c r="I505" s="22">
        <v>2020</v>
      </c>
    </row>
    <row r="506" spans="3:9" x14ac:dyDescent="0.3">
      <c r="C506" s="291" t="s">
        <v>268</v>
      </c>
      <c r="D506" s="19"/>
      <c r="E506" s="19"/>
      <c r="F506" s="19"/>
      <c r="G506" s="19"/>
      <c r="H506" s="19"/>
      <c r="I506" s="19"/>
    </row>
    <row r="507" spans="3:9" x14ac:dyDescent="0.3">
      <c r="C507" s="19" t="s">
        <v>269</v>
      </c>
      <c r="D507" s="19"/>
      <c r="E507" s="19"/>
      <c r="F507" s="19"/>
      <c r="G507" s="19"/>
      <c r="H507" s="19"/>
      <c r="I507" s="19"/>
    </row>
    <row r="508" spans="3:9" x14ac:dyDescent="0.3">
      <c r="C508" s="19" t="s">
        <v>270</v>
      </c>
      <c r="D508" s="19"/>
      <c r="E508" s="19">
        <v>47</v>
      </c>
      <c r="F508" s="19">
        <v>90</v>
      </c>
      <c r="G508" s="19">
        <v>112</v>
      </c>
      <c r="H508" s="19">
        <v>64</v>
      </c>
      <c r="I508" s="19">
        <v>68</v>
      </c>
    </row>
    <row r="509" spans="3:9" x14ac:dyDescent="0.3">
      <c r="C509" s="19" t="s">
        <v>337</v>
      </c>
      <c r="D509" s="19"/>
      <c r="E509" s="19">
        <v>219</v>
      </c>
      <c r="F509" s="19">
        <v>102</v>
      </c>
      <c r="G509" s="19">
        <v>28</v>
      </c>
      <c r="H509" s="19">
        <v>358</v>
      </c>
      <c r="I509" s="19">
        <v>709</v>
      </c>
    </row>
    <row r="510" spans="3:9" x14ac:dyDescent="0.3">
      <c r="C510" s="19" t="s">
        <v>272</v>
      </c>
      <c r="D510" s="19"/>
      <c r="E510" s="19"/>
      <c r="F510" s="19"/>
      <c r="G510" s="296" t="s">
        <v>40</v>
      </c>
      <c r="H510" s="19">
        <v>617</v>
      </c>
      <c r="I510" s="19">
        <v>51</v>
      </c>
    </row>
    <row r="511" spans="3:9" x14ac:dyDescent="0.3">
      <c r="C511" s="19" t="s">
        <v>338</v>
      </c>
      <c r="D511" s="19"/>
      <c r="E511" s="19">
        <v>68</v>
      </c>
      <c r="F511" s="19">
        <v>114</v>
      </c>
      <c r="G511" s="19">
        <v>630</v>
      </c>
      <c r="H511" s="19">
        <v>529</v>
      </c>
      <c r="I511" s="19">
        <v>150</v>
      </c>
    </row>
    <row r="512" spans="3:9" x14ac:dyDescent="0.3">
      <c r="C512" s="19"/>
      <c r="D512" s="19"/>
      <c r="E512" s="22">
        <v>334</v>
      </c>
      <c r="F512" s="22">
        <v>306</v>
      </c>
      <c r="G512" s="22">
        <v>770</v>
      </c>
      <c r="H512" s="293">
        <v>1568</v>
      </c>
      <c r="I512" s="22">
        <v>978</v>
      </c>
    </row>
    <row r="513" spans="3:14" x14ac:dyDescent="0.3">
      <c r="C513" s="291" t="s">
        <v>287</v>
      </c>
      <c r="D513" s="19"/>
      <c r="E513" s="19"/>
      <c r="F513" s="19"/>
      <c r="G513" s="19"/>
      <c r="H513" s="19"/>
      <c r="I513" s="19"/>
    </row>
    <row r="514" spans="3:14" x14ac:dyDescent="0.3">
      <c r="C514" s="22" t="s">
        <v>269</v>
      </c>
      <c r="D514" s="19"/>
      <c r="E514" s="19"/>
      <c r="F514" s="19"/>
      <c r="G514" s="19"/>
      <c r="H514" s="19"/>
      <c r="I514" s="19"/>
    </row>
    <row r="515" spans="3:14" x14ac:dyDescent="0.3">
      <c r="C515" s="19" t="s">
        <v>270</v>
      </c>
      <c r="D515" s="19"/>
      <c r="E515" s="19">
        <v>540</v>
      </c>
      <c r="F515" s="107">
        <v>1095</v>
      </c>
      <c r="G515" s="107">
        <v>1270</v>
      </c>
      <c r="H515" s="107">
        <v>1911</v>
      </c>
      <c r="I515" s="19">
        <v>484</v>
      </c>
    </row>
    <row r="516" spans="3:14" x14ac:dyDescent="0.3">
      <c r="C516" s="19" t="s">
        <v>276</v>
      </c>
      <c r="D516" s="19"/>
      <c r="E516" s="107">
        <v>2956</v>
      </c>
      <c r="F516" s="107">
        <v>3109</v>
      </c>
      <c r="G516" s="107">
        <v>3233</v>
      </c>
      <c r="H516" s="107">
        <v>2052</v>
      </c>
      <c r="I516" s="19">
        <v>1786</v>
      </c>
    </row>
    <row r="517" spans="3:14" x14ac:dyDescent="0.3">
      <c r="C517" s="19" t="s">
        <v>337</v>
      </c>
      <c r="D517" s="19"/>
      <c r="E517" s="107">
        <v>1279</v>
      </c>
      <c r="F517" s="19">
        <v>518</v>
      </c>
      <c r="G517" s="19">
        <v>33</v>
      </c>
      <c r="H517" s="19">
        <v>184</v>
      </c>
      <c r="I517" s="19">
        <v>1106</v>
      </c>
    </row>
    <row r="518" spans="3:14" x14ac:dyDescent="0.3">
      <c r="C518" s="19" t="s">
        <v>339</v>
      </c>
      <c r="D518" s="19"/>
      <c r="E518" s="19">
        <v>8</v>
      </c>
      <c r="F518" s="19">
        <v>17</v>
      </c>
      <c r="G518" s="19">
        <v>44</v>
      </c>
      <c r="H518" s="19">
        <v>35</v>
      </c>
      <c r="I518" s="19">
        <v>9</v>
      </c>
    </row>
    <row r="519" spans="3:14" x14ac:dyDescent="0.3">
      <c r="C519" s="19" t="s">
        <v>338</v>
      </c>
      <c r="D519" s="19"/>
      <c r="E519" s="19">
        <v>805</v>
      </c>
      <c r="F519" s="19">
        <v>903</v>
      </c>
      <c r="G519" s="107">
        <v>1717</v>
      </c>
      <c r="H519" s="107">
        <v>1489</v>
      </c>
      <c r="I519" s="19">
        <v>807</v>
      </c>
    </row>
    <row r="520" spans="3:14" x14ac:dyDescent="0.3">
      <c r="C520" s="19"/>
      <c r="D520" s="19"/>
      <c r="E520" s="293">
        <v>5588</v>
      </c>
      <c r="F520" s="293">
        <v>5642</v>
      </c>
      <c r="G520" s="293">
        <v>6297</v>
      </c>
      <c r="H520" s="293">
        <v>5671</v>
      </c>
      <c r="I520" s="22">
        <v>4192</v>
      </c>
    </row>
    <row r="521" spans="3:14" x14ac:dyDescent="0.3">
      <c r="C521" s="19"/>
      <c r="D521" s="19"/>
      <c r="E521" s="293">
        <v>5922</v>
      </c>
      <c r="F521" s="293">
        <v>5948</v>
      </c>
      <c r="G521" s="293">
        <v>7067</v>
      </c>
      <c r="H521" s="293">
        <v>7239</v>
      </c>
      <c r="I521" s="22">
        <v>5170</v>
      </c>
      <c r="J521" s="17">
        <f>H521*(1+$K$522)</f>
        <v>7114.211203717362</v>
      </c>
      <c r="K521" s="17">
        <f t="shared" ref="K521:N521" si="29">I521*(1+$K$522)</f>
        <v>5080.8774586571017</v>
      </c>
      <c r="L521" s="17">
        <f t="shared" si="29"/>
        <v>6991.5735669426213</v>
      </c>
      <c r="M521" s="17">
        <f t="shared" si="29"/>
        <v>4993.2912475608991</v>
      </c>
      <c r="N521" s="17">
        <f t="shared" si="29"/>
        <v>6871.0500071221659</v>
      </c>
    </row>
    <row r="522" spans="3:14" x14ac:dyDescent="0.3">
      <c r="C522" s="22" t="s">
        <v>277</v>
      </c>
      <c r="D522" s="19" t="s">
        <v>959</v>
      </c>
      <c r="E522" s="19"/>
      <c r="F522" s="21">
        <f>(F521-E521)/E521</f>
        <v>4.3904086457277943E-3</v>
      </c>
      <c r="G522" s="21">
        <f t="shared" ref="G522:I522" si="30">(G521-F521)/F521</f>
        <v>0.18813046402151984</v>
      </c>
      <c r="H522" s="21">
        <f t="shared" si="30"/>
        <v>2.4338474600254706E-2</v>
      </c>
      <c r="I522" s="21">
        <f t="shared" si="30"/>
        <v>-0.28581295759082748</v>
      </c>
      <c r="J522" s="17" t="s">
        <v>958</v>
      </c>
      <c r="K522" s="539">
        <f>AVERAGE(F522:I522)</f>
        <v>-1.7238402580831286E-2</v>
      </c>
    </row>
    <row r="523" spans="3:14" x14ac:dyDescent="0.3">
      <c r="C523" s="19" t="s">
        <v>278</v>
      </c>
      <c r="D523" s="19"/>
      <c r="E523" s="19">
        <v>53</v>
      </c>
      <c r="F523" s="19">
        <v>84</v>
      </c>
      <c r="G523" s="19">
        <v>107</v>
      </c>
      <c r="H523" s="19">
        <v>11</v>
      </c>
      <c r="I523" s="19">
        <v>11</v>
      </c>
      <c r="J523" s="17" t="s">
        <v>960</v>
      </c>
      <c r="K523" s="528">
        <f>(((I521-E521)/E521)^(1/5))-1</f>
        <v>-1.6618352395064857</v>
      </c>
    </row>
    <row r="524" spans="3:14" x14ac:dyDescent="0.3">
      <c r="C524" s="19" t="s">
        <v>279</v>
      </c>
      <c r="D524" s="19"/>
      <c r="E524" s="296" t="s">
        <v>40</v>
      </c>
      <c r="F524" s="296" t="s">
        <v>40</v>
      </c>
      <c r="G524" s="19">
        <v>569</v>
      </c>
      <c r="H524" s="19">
        <v>755</v>
      </c>
      <c r="I524" s="19">
        <v>185</v>
      </c>
    </row>
    <row r="525" spans="3:14" x14ac:dyDescent="0.3">
      <c r="C525" s="19" t="s">
        <v>280</v>
      </c>
      <c r="D525" s="19"/>
      <c r="E525" s="19">
        <v>61</v>
      </c>
      <c r="F525" s="19">
        <v>145</v>
      </c>
      <c r="G525" s="19">
        <v>79</v>
      </c>
      <c r="H525" s="19">
        <v>776</v>
      </c>
      <c r="I525" s="19">
        <v>741</v>
      </c>
    </row>
    <row r="527" spans="3:14" ht="14.5" x14ac:dyDescent="0.35">
      <c r="C527" s="1094" t="s">
        <v>571</v>
      </c>
      <c r="D527" s="1094"/>
      <c r="E527" s="1094"/>
      <c r="F527" s="1094"/>
      <c r="G527" s="1094"/>
      <c r="H527" s="1094"/>
      <c r="I527" s="1094"/>
    </row>
    <row r="528" spans="3:14" x14ac:dyDescent="0.3">
      <c r="C528" s="22" t="s">
        <v>49</v>
      </c>
      <c r="D528" s="22" t="s">
        <v>50</v>
      </c>
      <c r="E528" s="1">
        <v>2016</v>
      </c>
      <c r="F528" s="1">
        <v>2017</v>
      </c>
      <c r="G528" s="1">
        <v>2018</v>
      </c>
      <c r="H528" s="1">
        <v>2019</v>
      </c>
      <c r="I528" s="19">
        <v>2020</v>
      </c>
    </row>
    <row r="529" spans="3:9" x14ac:dyDescent="0.3">
      <c r="C529" s="19" t="s">
        <v>341</v>
      </c>
      <c r="D529" s="22"/>
      <c r="E529" s="308" t="s">
        <v>40</v>
      </c>
      <c r="F529" s="308" t="s">
        <v>40</v>
      </c>
      <c r="G529" s="308" t="s">
        <v>40</v>
      </c>
      <c r="H529" s="297">
        <v>65</v>
      </c>
      <c r="I529" s="19">
        <v>153</v>
      </c>
    </row>
    <row r="530" spans="3:9" x14ac:dyDescent="0.3">
      <c r="C530" s="19" t="s">
        <v>327</v>
      </c>
      <c r="D530" s="19"/>
      <c r="E530" s="19"/>
      <c r="F530" s="19"/>
      <c r="G530" s="19"/>
      <c r="H530" s="19"/>
      <c r="I530" s="19"/>
    </row>
    <row r="531" spans="3:9" x14ac:dyDescent="0.3">
      <c r="C531" s="296" t="s">
        <v>328</v>
      </c>
      <c r="D531" s="19"/>
      <c r="E531" s="19">
        <v>459</v>
      </c>
      <c r="F531" s="19">
        <v>593</v>
      </c>
      <c r="G531" s="107">
        <v>3853</v>
      </c>
      <c r="H531" s="19">
        <v>528</v>
      </c>
      <c r="I531" s="19">
        <v>1498</v>
      </c>
    </row>
    <row r="532" spans="3:9" x14ac:dyDescent="0.3">
      <c r="C532" s="19"/>
      <c r="D532" s="19"/>
      <c r="E532" s="22">
        <v>459</v>
      </c>
      <c r="F532" s="22">
        <v>593</v>
      </c>
      <c r="G532" s="293">
        <v>3853</v>
      </c>
      <c r="H532" s="22">
        <v>593</v>
      </c>
      <c r="I532" s="19">
        <v>1651</v>
      </c>
    </row>
    <row r="533" spans="3:9" x14ac:dyDescent="0.3">
      <c r="C533" s="19" t="s">
        <v>340</v>
      </c>
      <c r="D533" s="19">
        <v>54</v>
      </c>
      <c r="E533" s="19">
        <v>459</v>
      </c>
      <c r="F533" s="19">
        <v>593</v>
      </c>
      <c r="G533" s="107">
        <v>3853</v>
      </c>
      <c r="H533" s="19">
        <v>528</v>
      </c>
      <c r="I533" s="19">
        <v>1498</v>
      </c>
    </row>
    <row r="535" spans="3:9" ht="14.5" x14ac:dyDescent="0.35">
      <c r="C535" s="1068" t="s">
        <v>572</v>
      </c>
      <c r="D535" s="1068"/>
      <c r="E535" s="1068"/>
      <c r="F535" s="1068"/>
      <c r="G535" s="1068"/>
      <c r="H535" s="1068"/>
      <c r="I535" s="1068"/>
    </row>
    <row r="536" spans="3:9" x14ac:dyDescent="0.3">
      <c r="C536" s="22" t="s">
        <v>49</v>
      </c>
      <c r="D536" s="22" t="s">
        <v>50</v>
      </c>
      <c r="E536" s="1">
        <v>2016</v>
      </c>
      <c r="F536" s="1">
        <v>2017</v>
      </c>
      <c r="G536" s="1">
        <v>2018</v>
      </c>
      <c r="H536" s="1">
        <v>2019</v>
      </c>
      <c r="I536" s="22">
        <v>2020</v>
      </c>
    </row>
    <row r="537" spans="3:9" x14ac:dyDescent="0.3">
      <c r="C537" s="296" t="s">
        <v>268</v>
      </c>
      <c r="D537" s="19">
        <v>55</v>
      </c>
      <c r="E537" s="19"/>
      <c r="F537" s="19"/>
      <c r="G537" s="19"/>
      <c r="H537" s="19"/>
      <c r="I537" s="19"/>
    </row>
    <row r="538" spans="3:9" x14ac:dyDescent="0.3">
      <c r="C538" s="22" t="s">
        <v>269</v>
      </c>
      <c r="D538" s="19"/>
      <c r="E538" s="19"/>
      <c r="F538" s="19"/>
      <c r="G538" s="19"/>
      <c r="H538" s="19"/>
      <c r="I538" s="19"/>
    </row>
    <row r="539" spans="3:9" x14ac:dyDescent="0.3">
      <c r="C539" s="19" t="s">
        <v>342</v>
      </c>
      <c r="D539" s="19"/>
      <c r="E539" s="296" t="s">
        <v>40</v>
      </c>
      <c r="F539" s="19"/>
      <c r="G539" s="19"/>
      <c r="H539" s="19"/>
      <c r="I539" s="19"/>
    </row>
    <row r="540" spans="3:9" x14ac:dyDescent="0.3">
      <c r="C540" s="19" t="s">
        <v>283</v>
      </c>
      <c r="D540" s="19"/>
      <c r="E540" s="19">
        <v>36</v>
      </c>
      <c r="F540" s="19">
        <v>42</v>
      </c>
      <c r="G540" s="19">
        <v>3</v>
      </c>
      <c r="H540" s="19">
        <v>44</v>
      </c>
      <c r="I540" s="19">
        <v>61</v>
      </c>
    </row>
    <row r="541" spans="3:9" x14ac:dyDescent="0.3">
      <c r="C541" s="19"/>
      <c r="D541" s="19"/>
      <c r="E541" s="19">
        <v>36</v>
      </c>
      <c r="F541" s="19">
        <v>42</v>
      </c>
      <c r="G541" s="19">
        <v>3</v>
      </c>
      <c r="H541" s="19">
        <v>44</v>
      </c>
      <c r="I541" s="19">
        <v>61</v>
      </c>
    </row>
    <row r="542" spans="3:9" x14ac:dyDescent="0.3">
      <c r="C542" s="291" t="s">
        <v>274</v>
      </c>
      <c r="D542" s="19"/>
      <c r="E542" s="19"/>
      <c r="F542" s="19"/>
      <c r="G542" s="19"/>
      <c r="H542" s="19"/>
      <c r="I542" s="19"/>
    </row>
    <row r="543" spans="3:9" x14ac:dyDescent="0.3">
      <c r="C543" s="19" t="s">
        <v>269</v>
      </c>
      <c r="D543" s="19"/>
      <c r="E543" s="19"/>
      <c r="F543" s="19"/>
      <c r="G543" s="19"/>
      <c r="H543" s="19"/>
      <c r="I543" s="19"/>
    </row>
    <row r="544" spans="3:9" x14ac:dyDescent="0.3">
      <c r="C544" s="19" t="s">
        <v>283</v>
      </c>
      <c r="D544" s="19"/>
      <c r="E544" s="19">
        <v>429</v>
      </c>
      <c r="F544" s="19">
        <v>407</v>
      </c>
      <c r="G544" s="19">
        <v>122</v>
      </c>
      <c r="H544" s="19">
        <v>423</v>
      </c>
      <c r="I544" s="19">
        <v>160</v>
      </c>
    </row>
    <row r="545" spans="3:12" x14ac:dyDescent="0.3">
      <c r="C545" s="19"/>
      <c r="D545" s="19"/>
      <c r="E545" s="19">
        <v>429</v>
      </c>
      <c r="F545" s="19">
        <v>407</v>
      </c>
      <c r="G545" s="19">
        <v>122</v>
      </c>
      <c r="H545" s="19">
        <v>423</v>
      </c>
      <c r="I545" s="19">
        <v>160</v>
      </c>
    </row>
    <row r="546" spans="3:12" x14ac:dyDescent="0.3">
      <c r="C546" s="19"/>
      <c r="D546" s="19"/>
      <c r="E546" s="22">
        <v>465</v>
      </c>
      <c r="F546" s="22">
        <v>449</v>
      </c>
      <c r="G546" s="22">
        <v>125</v>
      </c>
      <c r="H546" s="22">
        <v>467</v>
      </c>
      <c r="I546" s="318">
        <v>221</v>
      </c>
      <c r="J546" s="319"/>
      <c r="K546" s="319"/>
      <c r="L546" s="319"/>
    </row>
    <row r="547" spans="3:12" x14ac:dyDescent="0.3">
      <c r="C547" s="22" t="s">
        <v>277</v>
      </c>
      <c r="D547" s="19"/>
      <c r="E547" s="19"/>
      <c r="F547" s="19"/>
      <c r="G547" s="19"/>
      <c r="H547" s="19"/>
      <c r="I547" s="19"/>
    </row>
    <row r="548" spans="3:12" x14ac:dyDescent="0.3">
      <c r="C548" s="19" t="s">
        <v>278</v>
      </c>
      <c r="D548" s="19">
        <v>54</v>
      </c>
      <c r="E548" s="296" t="s">
        <v>40</v>
      </c>
      <c r="F548" s="296" t="s">
        <v>40</v>
      </c>
      <c r="G548" s="296" t="s">
        <v>40</v>
      </c>
      <c r="H548" s="296" t="s">
        <v>40</v>
      </c>
      <c r="I548" s="19" t="s">
        <v>40</v>
      </c>
      <c r="K548" s="319"/>
    </row>
    <row r="549" spans="3:12" x14ac:dyDescent="0.3">
      <c r="C549" s="19" t="s">
        <v>279</v>
      </c>
      <c r="D549" s="19">
        <v>54</v>
      </c>
      <c r="E549" s="296" t="s">
        <v>40</v>
      </c>
      <c r="F549" s="296" t="s">
        <v>40</v>
      </c>
      <c r="G549" s="296" t="s">
        <v>40</v>
      </c>
      <c r="H549" s="19">
        <v>31</v>
      </c>
      <c r="I549" s="19">
        <v>61</v>
      </c>
    </row>
    <row r="550" spans="3:12" x14ac:dyDescent="0.3">
      <c r="C550" s="19" t="s">
        <v>280</v>
      </c>
      <c r="D550" s="19">
        <v>54</v>
      </c>
      <c r="E550" s="296" t="s">
        <v>40</v>
      </c>
      <c r="F550" s="296" t="s">
        <v>40</v>
      </c>
      <c r="G550" s="296" t="s">
        <v>40</v>
      </c>
      <c r="H550" s="296" t="s">
        <v>40</v>
      </c>
      <c r="I550" s="19" t="s">
        <v>40</v>
      </c>
    </row>
    <row r="552" spans="3:12" ht="14.5" x14ac:dyDescent="0.35">
      <c r="C552" s="1068" t="s">
        <v>573</v>
      </c>
      <c r="D552" s="1068"/>
      <c r="E552" s="1068"/>
      <c r="F552" s="1068"/>
      <c r="G552" s="1068"/>
      <c r="H552" s="1068"/>
      <c r="I552" s="1068"/>
    </row>
    <row r="553" spans="3:12" x14ac:dyDescent="0.3">
      <c r="C553" s="22" t="s">
        <v>49</v>
      </c>
      <c r="D553" s="22" t="s">
        <v>50</v>
      </c>
      <c r="E553" s="1">
        <v>2016</v>
      </c>
      <c r="F553" s="1">
        <v>2017</v>
      </c>
      <c r="G553" s="1">
        <v>2018</v>
      </c>
      <c r="H553" s="1">
        <v>2019</v>
      </c>
      <c r="I553" s="22">
        <v>2020</v>
      </c>
    </row>
    <row r="554" spans="3:12" x14ac:dyDescent="0.3">
      <c r="C554" s="291" t="s">
        <v>268</v>
      </c>
      <c r="D554" s="19"/>
      <c r="E554" s="19"/>
      <c r="F554" s="19"/>
      <c r="G554" s="19"/>
      <c r="H554" s="19"/>
      <c r="I554" s="19"/>
    </row>
    <row r="555" spans="3:12" x14ac:dyDescent="0.3">
      <c r="C555" s="19" t="s">
        <v>343</v>
      </c>
      <c r="D555" s="19"/>
      <c r="E555" s="19">
        <v>13</v>
      </c>
      <c r="F555" s="19">
        <v>13</v>
      </c>
      <c r="G555" s="19">
        <v>13</v>
      </c>
      <c r="H555" s="19">
        <v>12</v>
      </c>
      <c r="I555" s="19" t="s">
        <v>40</v>
      </c>
    </row>
    <row r="556" spans="3:12" x14ac:dyDescent="0.3">
      <c r="C556" s="19" t="s">
        <v>344</v>
      </c>
      <c r="D556" s="19"/>
      <c r="E556" s="19">
        <v>85</v>
      </c>
      <c r="F556" s="19">
        <v>68</v>
      </c>
      <c r="G556" s="19">
        <v>181</v>
      </c>
      <c r="H556" s="19">
        <v>28</v>
      </c>
      <c r="I556" s="19">
        <v>10</v>
      </c>
    </row>
    <row r="557" spans="3:12" x14ac:dyDescent="0.3">
      <c r="C557" s="19"/>
      <c r="D557" s="19"/>
      <c r="E557" s="22">
        <v>98</v>
      </c>
      <c r="F557" s="22">
        <v>81</v>
      </c>
      <c r="G557" s="22">
        <v>194</v>
      </c>
      <c r="H557" s="22">
        <v>40</v>
      </c>
      <c r="I557" s="22">
        <v>10</v>
      </c>
    </row>
    <row r="558" spans="3:12" x14ac:dyDescent="0.3">
      <c r="C558" s="291" t="s">
        <v>274</v>
      </c>
      <c r="D558" s="19"/>
      <c r="E558" s="19"/>
      <c r="F558" s="19"/>
      <c r="G558" s="19"/>
      <c r="H558" s="19"/>
      <c r="I558" s="19"/>
    </row>
    <row r="559" spans="3:12" x14ac:dyDescent="0.3">
      <c r="C559" s="19" t="s">
        <v>344</v>
      </c>
      <c r="D559" s="19"/>
      <c r="E559" s="107">
        <v>2893</v>
      </c>
      <c r="F559" s="107">
        <v>2782</v>
      </c>
      <c r="G559" s="107">
        <v>2423</v>
      </c>
      <c r="H559" s="107">
        <v>2482</v>
      </c>
      <c r="I559" s="19">
        <v>2028</v>
      </c>
    </row>
    <row r="560" spans="3:12" x14ac:dyDescent="0.3">
      <c r="C560" s="19" t="s">
        <v>288</v>
      </c>
      <c r="D560" s="19"/>
      <c r="E560" s="19">
        <v>516</v>
      </c>
      <c r="F560" s="19">
        <v>553</v>
      </c>
      <c r="G560" s="19">
        <v>565</v>
      </c>
      <c r="H560" s="107">
        <v>1539</v>
      </c>
      <c r="I560" s="19">
        <v>1434</v>
      </c>
    </row>
    <row r="561" spans="1:9" x14ac:dyDescent="0.3">
      <c r="C561" s="19" t="s">
        <v>343</v>
      </c>
      <c r="D561" s="19"/>
      <c r="E561" s="107">
        <v>2614</v>
      </c>
      <c r="F561" s="107">
        <v>2639</v>
      </c>
      <c r="G561" s="107">
        <v>3966</v>
      </c>
      <c r="H561" s="107">
        <v>1846</v>
      </c>
      <c r="I561" s="19">
        <v>1948</v>
      </c>
    </row>
    <row r="562" spans="1:9" x14ac:dyDescent="0.3">
      <c r="C562" s="19" t="s">
        <v>345</v>
      </c>
      <c r="D562" s="19"/>
      <c r="E562" s="107">
        <v>1132</v>
      </c>
      <c r="F562" s="107">
        <v>1258</v>
      </c>
      <c r="G562" s="107">
        <v>1679</v>
      </c>
      <c r="H562" s="107">
        <v>1748</v>
      </c>
      <c r="I562" s="19">
        <v>1434</v>
      </c>
    </row>
    <row r="563" spans="1:9" x14ac:dyDescent="0.3">
      <c r="C563" s="19" t="s">
        <v>346</v>
      </c>
      <c r="D563" s="19"/>
      <c r="E563" s="19">
        <v>390</v>
      </c>
      <c r="F563" s="19">
        <v>254</v>
      </c>
      <c r="G563" s="19">
        <v>143</v>
      </c>
      <c r="H563" s="19">
        <v>526</v>
      </c>
      <c r="I563" s="19">
        <v>403</v>
      </c>
    </row>
    <row r="564" spans="1:9" x14ac:dyDescent="0.3">
      <c r="C564" s="19"/>
      <c r="D564" s="19"/>
      <c r="E564" s="293">
        <v>7545</v>
      </c>
      <c r="F564" s="293">
        <v>7486</v>
      </c>
      <c r="G564" s="293">
        <v>8776</v>
      </c>
      <c r="H564" s="293">
        <v>8141</v>
      </c>
      <c r="I564" s="22">
        <v>7247</v>
      </c>
    </row>
    <row r="565" spans="1:9" x14ac:dyDescent="0.3">
      <c r="C565" s="19"/>
      <c r="D565" s="19"/>
      <c r="E565" s="293">
        <v>7643</v>
      </c>
      <c r="F565" s="293">
        <v>7567</v>
      </c>
      <c r="G565" s="293">
        <v>8970</v>
      </c>
      <c r="H565" s="293">
        <v>8181</v>
      </c>
      <c r="I565" s="22">
        <v>7257</v>
      </c>
    </row>
    <row r="566" spans="1:9" x14ac:dyDescent="0.3">
      <c r="C566" s="22" t="s">
        <v>277</v>
      </c>
      <c r="D566" s="19"/>
      <c r="E566" s="19"/>
      <c r="F566" s="19"/>
      <c r="G566" s="19"/>
      <c r="H566" s="19"/>
      <c r="I566" s="19"/>
    </row>
    <row r="567" spans="1:9" x14ac:dyDescent="0.3">
      <c r="C567" s="19" t="s">
        <v>278</v>
      </c>
      <c r="D567" s="19"/>
      <c r="E567" s="296" t="s">
        <v>40</v>
      </c>
      <c r="F567" s="296" t="s">
        <v>40</v>
      </c>
      <c r="G567" s="296" t="s">
        <v>40</v>
      </c>
      <c r="H567" s="296" t="s">
        <v>40</v>
      </c>
      <c r="I567" s="19" t="s">
        <v>40</v>
      </c>
    </row>
    <row r="568" spans="1:9" x14ac:dyDescent="0.3">
      <c r="C568" s="19" t="s">
        <v>279</v>
      </c>
      <c r="D568" s="19"/>
      <c r="E568" s="19">
        <v>57</v>
      </c>
      <c r="F568" s="19">
        <v>51</v>
      </c>
      <c r="G568" s="19">
        <v>151</v>
      </c>
      <c r="H568" s="19">
        <v>12</v>
      </c>
      <c r="I568" s="19" t="s">
        <v>40</v>
      </c>
    </row>
    <row r="569" spans="1:9" x14ac:dyDescent="0.3">
      <c r="C569" s="19" t="s">
        <v>280</v>
      </c>
      <c r="D569" s="19"/>
      <c r="E569" s="296" t="s">
        <v>40</v>
      </c>
      <c r="F569" s="296" t="s">
        <v>40</v>
      </c>
      <c r="G569" s="296" t="s">
        <v>40</v>
      </c>
      <c r="H569" s="296" t="s">
        <v>40</v>
      </c>
      <c r="I569" s="19" t="s">
        <v>40</v>
      </c>
    </row>
    <row r="571" spans="1:9" ht="14.5" x14ac:dyDescent="0.35">
      <c r="C571" s="1068" t="s">
        <v>574</v>
      </c>
      <c r="D571" s="1068"/>
      <c r="E571" s="1068"/>
      <c r="F571" s="1068"/>
      <c r="G571" s="1068"/>
      <c r="H571" s="1068"/>
      <c r="I571" s="1068"/>
    </row>
    <row r="572" spans="1:9" x14ac:dyDescent="0.3">
      <c r="A572" s="17" t="s">
        <v>774</v>
      </c>
      <c r="B572" s="17">
        <v>761</v>
      </c>
      <c r="C572" s="22" t="s">
        <v>49</v>
      </c>
      <c r="D572" s="22" t="s">
        <v>50</v>
      </c>
      <c r="E572" s="1">
        <v>2016</v>
      </c>
      <c r="F572" s="1">
        <v>2017</v>
      </c>
      <c r="G572" s="1">
        <v>2018</v>
      </c>
      <c r="H572" s="1">
        <v>2019</v>
      </c>
      <c r="I572" s="22">
        <v>2020</v>
      </c>
    </row>
    <row r="573" spans="1:9" x14ac:dyDescent="0.3">
      <c r="B573" s="17">
        <v>762</v>
      </c>
      <c r="C573" s="19" t="s">
        <v>347</v>
      </c>
      <c r="D573" s="19"/>
      <c r="E573" s="19"/>
      <c r="F573" s="19"/>
      <c r="G573" s="19"/>
      <c r="H573" s="19"/>
      <c r="I573" s="19"/>
    </row>
    <row r="574" spans="1:9" x14ac:dyDescent="0.3">
      <c r="C574" s="19" t="s">
        <v>349</v>
      </c>
      <c r="D574" s="19"/>
      <c r="E574" s="19">
        <v>4000</v>
      </c>
      <c r="F574" s="19">
        <v>4000</v>
      </c>
      <c r="G574" s="19">
        <v>4000</v>
      </c>
      <c r="H574" s="19">
        <v>4000</v>
      </c>
      <c r="I574" s="19">
        <v>4500</v>
      </c>
    </row>
    <row r="575" spans="1:9" x14ac:dyDescent="0.3">
      <c r="C575" s="19" t="s">
        <v>348</v>
      </c>
      <c r="D575" s="19"/>
      <c r="E575" s="19"/>
      <c r="F575" s="19"/>
      <c r="G575" s="19"/>
      <c r="H575" s="19"/>
      <c r="I575" s="19"/>
    </row>
    <row r="576" spans="1:9" ht="28" x14ac:dyDescent="0.3">
      <c r="C576" s="297" t="s">
        <v>350</v>
      </c>
      <c r="D576" s="19"/>
      <c r="E576" s="19">
        <v>3750</v>
      </c>
      <c r="F576" s="19">
        <v>3750</v>
      </c>
      <c r="G576" s="19">
        <v>3750</v>
      </c>
      <c r="H576" s="19">
        <v>3750</v>
      </c>
      <c r="I576" s="19">
        <v>4009</v>
      </c>
    </row>
    <row r="577" spans="3:19" x14ac:dyDescent="0.3">
      <c r="C577" s="19"/>
      <c r="D577" s="19"/>
      <c r="E577" s="22">
        <v>3750</v>
      </c>
      <c r="F577" s="22">
        <v>3750</v>
      </c>
      <c r="G577" s="22">
        <v>3750</v>
      </c>
      <c r="H577" s="22">
        <v>3750</v>
      </c>
      <c r="I577" s="22">
        <v>4009</v>
      </c>
    </row>
    <row r="578" spans="3:19" x14ac:dyDescent="0.3">
      <c r="E578" s="54"/>
      <c r="F578" s="54"/>
      <c r="G578" s="54"/>
      <c r="H578" s="54"/>
    </row>
    <row r="579" spans="3:19" ht="30" customHeight="1" x14ac:dyDescent="0.3">
      <c r="C579" s="1067" t="s">
        <v>575</v>
      </c>
      <c r="D579" s="1067"/>
      <c r="E579" s="1067"/>
      <c r="F579" s="1067"/>
      <c r="G579" s="1067"/>
      <c r="H579" s="1067"/>
    </row>
    <row r="580" spans="3:19" x14ac:dyDescent="0.3">
      <c r="C580" s="1103" t="s">
        <v>49</v>
      </c>
      <c r="D580" s="19"/>
      <c r="E580" s="1066" t="s">
        <v>353</v>
      </c>
      <c r="F580" s="1066"/>
      <c r="G580" s="1073" t="s">
        <v>359</v>
      </c>
      <c r="H580" s="1075"/>
      <c r="I580" s="1073" t="s">
        <v>359</v>
      </c>
      <c r="J580" s="1074"/>
      <c r="K580" s="1075"/>
      <c r="L580" s="1066" t="s">
        <v>359</v>
      </c>
      <c r="M580" s="1066"/>
      <c r="N580" s="1066" t="s">
        <v>361</v>
      </c>
      <c r="O580" s="1066"/>
      <c r="P580" s="1066" t="s">
        <v>362</v>
      </c>
      <c r="Q580" s="1066"/>
      <c r="R580" s="1066" t="s">
        <v>871</v>
      </c>
      <c r="S580" s="1066"/>
    </row>
    <row r="581" spans="3:19" ht="28" x14ac:dyDescent="0.3">
      <c r="C581" s="1103"/>
      <c r="D581" s="19"/>
      <c r="E581" s="22" t="s">
        <v>354</v>
      </c>
      <c r="F581" s="1" t="s">
        <v>355</v>
      </c>
      <c r="G581" s="22" t="s">
        <v>354</v>
      </c>
      <c r="H581" s="1" t="s">
        <v>355</v>
      </c>
      <c r="I581" s="22" t="s">
        <v>354</v>
      </c>
      <c r="J581" s="22"/>
      <c r="K581" s="1" t="s">
        <v>355</v>
      </c>
      <c r="L581" s="22" t="s">
        <v>354</v>
      </c>
      <c r="M581" s="1" t="s">
        <v>355</v>
      </c>
      <c r="N581" s="22" t="s">
        <v>354</v>
      </c>
      <c r="O581" s="1" t="s">
        <v>355</v>
      </c>
      <c r="P581" s="22" t="s">
        <v>354</v>
      </c>
      <c r="Q581" s="1" t="s">
        <v>355</v>
      </c>
      <c r="R581" s="22" t="s">
        <v>354</v>
      </c>
      <c r="S581" s="1" t="s">
        <v>355</v>
      </c>
    </row>
    <row r="582" spans="3:19" x14ac:dyDescent="0.3">
      <c r="C582" s="19" t="s">
        <v>356</v>
      </c>
      <c r="D582" s="19"/>
      <c r="E582" s="293">
        <v>375000000</v>
      </c>
      <c r="F582" s="293">
        <v>3750</v>
      </c>
      <c r="G582" s="293">
        <v>375000000</v>
      </c>
      <c r="H582" s="293">
        <v>3750</v>
      </c>
      <c r="I582" s="293">
        <v>375000000</v>
      </c>
      <c r="J582" s="293"/>
      <c r="K582" s="293">
        <v>3750</v>
      </c>
      <c r="L582" s="293">
        <v>375000000</v>
      </c>
      <c r="M582" s="293">
        <v>3750</v>
      </c>
      <c r="N582" s="293">
        <v>375000000</v>
      </c>
      <c r="O582" s="293">
        <v>3750</v>
      </c>
      <c r="P582" s="293">
        <v>375000000</v>
      </c>
      <c r="Q582" s="293">
        <v>3750</v>
      </c>
      <c r="R582" s="293">
        <v>375000000</v>
      </c>
      <c r="S582" s="293">
        <v>3750</v>
      </c>
    </row>
    <row r="583" spans="3:19" x14ac:dyDescent="0.3">
      <c r="C583" s="19" t="s">
        <v>357</v>
      </c>
      <c r="D583" s="19"/>
      <c r="E583" s="291" t="s">
        <v>40</v>
      </c>
      <c r="F583" s="291" t="s">
        <v>40</v>
      </c>
      <c r="G583" s="291" t="s">
        <v>40</v>
      </c>
      <c r="H583" s="291" t="s">
        <v>40</v>
      </c>
      <c r="I583" s="291" t="s">
        <v>40</v>
      </c>
      <c r="J583" s="291"/>
      <c r="K583" s="291" t="s">
        <v>40</v>
      </c>
      <c r="L583" s="291" t="s">
        <v>40</v>
      </c>
      <c r="M583" s="291" t="s">
        <v>40</v>
      </c>
      <c r="N583" s="291" t="s">
        <v>40</v>
      </c>
      <c r="O583" s="291" t="s">
        <v>40</v>
      </c>
      <c r="P583" s="291" t="s">
        <v>40</v>
      </c>
      <c r="Q583" s="291" t="s">
        <v>40</v>
      </c>
      <c r="R583" s="291">
        <v>25861654</v>
      </c>
      <c r="S583" s="291">
        <v>259</v>
      </c>
    </row>
    <row r="584" spans="3:19" x14ac:dyDescent="0.3">
      <c r="C584" s="19" t="s">
        <v>358</v>
      </c>
      <c r="D584" s="19"/>
      <c r="E584" s="293">
        <v>375000000</v>
      </c>
      <c r="F584" s="293">
        <v>3750</v>
      </c>
      <c r="G584" s="293">
        <v>375000000</v>
      </c>
      <c r="H584" s="293">
        <v>3750</v>
      </c>
      <c r="I584" s="293">
        <v>375000000</v>
      </c>
      <c r="J584" s="293"/>
      <c r="K584" s="293">
        <v>3750</v>
      </c>
      <c r="L584" s="293">
        <v>375000000</v>
      </c>
      <c r="M584" s="293">
        <v>3750</v>
      </c>
      <c r="N584" s="293">
        <v>375000000</v>
      </c>
      <c r="O584" s="293">
        <v>3750</v>
      </c>
      <c r="P584" s="293">
        <v>375000000</v>
      </c>
      <c r="Q584" s="293">
        <v>3750</v>
      </c>
      <c r="R584" s="293">
        <v>400861654</v>
      </c>
      <c r="S584" s="293">
        <v>4009</v>
      </c>
    </row>
    <row r="585" spans="3:19" x14ac:dyDescent="0.3">
      <c r="E585" s="54"/>
      <c r="F585" s="54"/>
      <c r="G585" s="54"/>
      <c r="H585" s="54"/>
    </row>
    <row r="586" spans="3:19" ht="60" customHeight="1" x14ac:dyDescent="0.3">
      <c r="C586" s="1104" t="s">
        <v>576</v>
      </c>
      <c r="D586" s="1104"/>
      <c r="E586" s="1104"/>
      <c r="F586" s="1104"/>
      <c r="G586" s="1104"/>
      <c r="H586" s="1104"/>
    </row>
    <row r="587" spans="3:19" x14ac:dyDescent="0.3">
      <c r="C587" s="28"/>
      <c r="D587" s="28"/>
    </row>
    <row r="588" spans="3:19" ht="23" customHeight="1" x14ac:dyDescent="0.3">
      <c r="C588" s="1067" t="s">
        <v>577</v>
      </c>
      <c r="D588" s="1067"/>
      <c r="E588" s="1067"/>
      <c r="F588" s="1067"/>
      <c r="G588" s="1067"/>
      <c r="H588" s="1067"/>
      <c r="I588" s="1067"/>
      <c r="J588" s="1067"/>
      <c r="K588" s="1067"/>
      <c r="L588" s="1067"/>
      <c r="M588" s="1067"/>
      <c r="N588" s="1067"/>
      <c r="O588" s="1067"/>
      <c r="P588" s="1067"/>
      <c r="Q588" s="1067"/>
    </row>
    <row r="589" spans="3:19" ht="14.5" x14ac:dyDescent="0.35">
      <c r="C589" s="1103" t="s">
        <v>49</v>
      </c>
      <c r="D589" s="19"/>
      <c r="E589" s="1066" t="s">
        <v>353</v>
      </c>
      <c r="F589" s="1066"/>
      <c r="G589" s="1073" t="s">
        <v>359</v>
      </c>
      <c r="H589" s="1075"/>
      <c r="I589" s="1073" t="s">
        <v>361</v>
      </c>
      <c r="J589" s="1074"/>
      <c r="K589" s="1075"/>
      <c r="L589" s="1066" t="s">
        <v>362</v>
      </c>
      <c r="M589" s="1066"/>
      <c r="N589" s="1066" t="s">
        <v>362</v>
      </c>
      <c r="O589" s="1066"/>
      <c r="P589" s="1066" t="s">
        <v>871</v>
      </c>
      <c r="Q589" s="1066"/>
      <c r="R589"/>
      <c r="S589"/>
    </row>
    <row r="590" spans="3:19" ht="14.5" x14ac:dyDescent="0.35">
      <c r="C590" s="1103"/>
      <c r="D590" s="19"/>
      <c r="E590" s="22" t="s">
        <v>354</v>
      </c>
      <c r="F590" s="22" t="s">
        <v>360</v>
      </c>
      <c r="G590" s="22" t="s">
        <v>354</v>
      </c>
      <c r="H590" s="22" t="s">
        <v>360</v>
      </c>
      <c r="I590" s="22" t="s">
        <v>354</v>
      </c>
      <c r="J590" s="22"/>
      <c r="K590" s="22" t="s">
        <v>360</v>
      </c>
      <c r="L590" s="22" t="s">
        <v>354</v>
      </c>
      <c r="M590" s="22" t="s">
        <v>360</v>
      </c>
      <c r="N590" s="22" t="s">
        <v>354</v>
      </c>
      <c r="O590" s="22" t="s">
        <v>360</v>
      </c>
      <c r="P590" s="22" t="s">
        <v>354</v>
      </c>
      <c r="Q590" s="22" t="s">
        <v>360</v>
      </c>
      <c r="R590"/>
      <c r="S590"/>
    </row>
    <row r="591" spans="3:19" ht="14.5" x14ac:dyDescent="0.35">
      <c r="C591" s="19" t="s">
        <v>363</v>
      </c>
      <c r="D591" s="19"/>
      <c r="E591" s="291" t="s">
        <v>40</v>
      </c>
      <c r="F591" s="291" t="s">
        <v>40</v>
      </c>
      <c r="G591" s="293">
        <v>225000000</v>
      </c>
      <c r="H591" s="320">
        <v>0.6</v>
      </c>
      <c r="I591" s="293">
        <v>225000000</v>
      </c>
      <c r="J591" s="293"/>
      <c r="K591" s="320">
        <v>0.6</v>
      </c>
      <c r="L591" s="293">
        <v>225000000</v>
      </c>
      <c r="M591" s="320">
        <v>0.6</v>
      </c>
      <c r="N591" s="293">
        <v>225000000</v>
      </c>
      <c r="O591" s="320">
        <v>0.6</v>
      </c>
      <c r="P591" s="293">
        <v>225000000</v>
      </c>
      <c r="Q591" s="320">
        <v>0.56130000000000002</v>
      </c>
      <c r="R591"/>
      <c r="S591"/>
    </row>
    <row r="592" spans="3:19" ht="14.5" x14ac:dyDescent="0.35">
      <c r="C592" s="19" t="s">
        <v>364</v>
      </c>
      <c r="D592" s="19"/>
      <c r="E592" s="293">
        <v>65625000</v>
      </c>
      <c r="F592" s="320">
        <v>0.17499999999999999</v>
      </c>
      <c r="G592" s="291" t="s">
        <v>40</v>
      </c>
      <c r="H592" s="291" t="s">
        <v>40</v>
      </c>
      <c r="I592" s="291" t="s">
        <v>40</v>
      </c>
      <c r="J592" s="291"/>
      <c r="K592" s="291" t="s">
        <v>40</v>
      </c>
      <c r="L592" s="291" t="s">
        <v>40</v>
      </c>
      <c r="M592" s="291" t="s">
        <v>40</v>
      </c>
      <c r="N592" s="291" t="s">
        <v>40</v>
      </c>
      <c r="O592" s="291" t="s">
        <v>40</v>
      </c>
      <c r="P592" s="291" t="s">
        <v>40</v>
      </c>
      <c r="Q592" s="291" t="s">
        <v>40</v>
      </c>
      <c r="R592"/>
      <c r="S592"/>
    </row>
    <row r="593" spans="3:19" ht="14.5" x14ac:dyDescent="0.35">
      <c r="C593" s="19" t="s">
        <v>365</v>
      </c>
      <c r="D593" s="19"/>
      <c r="E593" s="293">
        <v>65625000</v>
      </c>
      <c r="F593" s="320">
        <v>0.17499999999999999</v>
      </c>
      <c r="G593" s="291" t="s">
        <v>40</v>
      </c>
      <c r="H593" s="291" t="s">
        <v>40</v>
      </c>
      <c r="I593" s="291" t="s">
        <v>40</v>
      </c>
      <c r="J593" s="291"/>
      <c r="K593" s="291" t="s">
        <v>40</v>
      </c>
      <c r="L593" s="291" t="s">
        <v>40</v>
      </c>
      <c r="M593" s="291" t="s">
        <v>40</v>
      </c>
      <c r="N593" s="291" t="s">
        <v>40</v>
      </c>
      <c r="O593" s="291" t="s">
        <v>40</v>
      </c>
      <c r="P593" s="291" t="s">
        <v>40</v>
      </c>
      <c r="Q593" s="291" t="s">
        <v>40</v>
      </c>
      <c r="R593"/>
      <c r="S593"/>
    </row>
    <row r="594" spans="3:19" ht="14.5" x14ac:dyDescent="0.35">
      <c r="C594" s="19" t="s">
        <v>366</v>
      </c>
      <c r="D594" s="19"/>
      <c r="E594" s="293">
        <v>65625000</v>
      </c>
      <c r="F594" s="320">
        <v>0.17499999999999999</v>
      </c>
      <c r="G594" s="291" t="s">
        <v>40</v>
      </c>
      <c r="H594" s="291" t="s">
        <v>40</v>
      </c>
      <c r="I594" s="291" t="s">
        <v>40</v>
      </c>
      <c r="J594" s="291"/>
      <c r="K594" s="291" t="s">
        <v>40</v>
      </c>
      <c r="L594" s="291" t="s">
        <v>40</v>
      </c>
      <c r="M594" s="291" t="s">
        <v>40</v>
      </c>
      <c r="N594" s="291" t="s">
        <v>40</v>
      </c>
      <c r="O594" s="291" t="s">
        <v>40</v>
      </c>
      <c r="P594" s="291" t="s">
        <v>40</v>
      </c>
      <c r="Q594" s="291" t="s">
        <v>40</v>
      </c>
      <c r="R594"/>
      <c r="S594"/>
    </row>
    <row r="595" spans="3:19" x14ac:dyDescent="0.3">
      <c r="E595" s="54"/>
      <c r="F595" s="54"/>
      <c r="G595" s="54"/>
      <c r="H595" s="54"/>
    </row>
    <row r="596" spans="3:19" ht="14.5" x14ac:dyDescent="0.35">
      <c r="C596" s="1068" t="s">
        <v>578</v>
      </c>
      <c r="D596" s="1068"/>
      <c r="E596" s="1068"/>
      <c r="F596" s="1068"/>
      <c r="G596" s="1068"/>
      <c r="H596" s="1068"/>
      <c r="I596" s="1068"/>
    </row>
    <row r="597" spans="3:19" x14ac:dyDescent="0.3">
      <c r="C597" s="22" t="s">
        <v>49</v>
      </c>
      <c r="D597" s="22" t="s">
        <v>50</v>
      </c>
      <c r="E597" s="1">
        <v>2016</v>
      </c>
      <c r="F597" s="1">
        <v>2017</v>
      </c>
      <c r="G597" s="1">
        <v>2018</v>
      </c>
      <c r="H597" s="1">
        <v>2019</v>
      </c>
      <c r="I597" s="22">
        <v>2020</v>
      </c>
      <c r="J597" s="17">
        <v>2021</v>
      </c>
      <c r="K597" s="17">
        <v>2022</v>
      </c>
    </row>
    <row r="598" spans="3:19" x14ac:dyDescent="0.3">
      <c r="C598" s="19" t="s">
        <v>367</v>
      </c>
      <c r="D598" s="19"/>
      <c r="E598" s="19">
        <v>396</v>
      </c>
      <c r="F598" s="19">
        <v>388</v>
      </c>
      <c r="G598" s="19">
        <v>388</v>
      </c>
      <c r="H598" s="19">
        <v>888</v>
      </c>
      <c r="I598" s="19">
        <v>2138</v>
      </c>
      <c r="J598" s="19">
        <v>2138</v>
      </c>
      <c r="K598" s="19">
        <v>2138</v>
      </c>
      <c r="L598" s="19">
        <v>2138</v>
      </c>
      <c r="M598" s="19">
        <v>2138</v>
      </c>
      <c r="N598" s="19">
        <v>2138</v>
      </c>
    </row>
    <row r="599" spans="3:19" x14ac:dyDescent="0.3">
      <c r="C599" s="19" t="s">
        <v>368</v>
      </c>
      <c r="D599" s="19"/>
      <c r="E599" s="19">
        <v>157</v>
      </c>
      <c r="F599" s="19">
        <v>157</v>
      </c>
      <c r="G599" s="19">
        <v>157</v>
      </c>
      <c r="H599" s="107">
        <v>1612</v>
      </c>
      <c r="I599" s="19">
        <v>1612</v>
      </c>
      <c r="J599" s="19">
        <v>1612</v>
      </c>
      <c r="K599" s="19">
        <v>1612</v>
      </c>
      <c r="L599" s="19">
        <v>1612</v>
      </c>
      <c r="M599" s="19">
        <v>1612</v>
      </c>
      <c r="N599" s="19">
        <v>1612</v>
      </c>
    </row>
    <row r="600" spans="3:19" x14ac:dyDescent="0.3">
      <c r="C600" s="19" t="s">
        <v>369</v>
      </c>
      <c r="D600" s="19"/>
      <c r="E600" s="107">
        <v>19883</v>
      </c>
      <c r="F600" s="107">
        <v>19883</v>
      </c>
      <c r="G600" s="107">
        <v>19883</v>
      </c>
      <c r="H600" s="107">
        <v>19883</v>
      </c>
      <c r="I600" s="19">
        <v>28563</v>
      </c>
      <c r="J600" s="19">
        <v>28563</v>
      </c>
      <c r="K600" s="19">
        <v>28563</v>
      </c>
      <c r="L600" s="19">
        <v>28563</v>
      </c>
      <c r="M600" s="19">
        <v>28563</v>
      </c>
      <c r="N600" s="19">
        <v>28563</v>
      </c>
    </row>
    <row r="601" spans="3:19" x14ac:dyDescent="0.3">
      <c r="C601" s="19" t="s">
        <v>370</v>
      </c>
      <c r="D601" s="19"/>
      <c r="E601" s="19">
        <v>221</v>
      </c>
      <c r="F601" s="19">
        <v>541</v>
      </c>
      <c r="G601" s="19">
        <v>967</v>
      </c>
      <c r="H601" s="107">
        <v>1133</v>
      </c>
      <c r="I601" s="19">
        <v>1045</v>
      </c>
      <c r="J601" s="19">
        <v>1045</v>
      </c>
      <c r="K601" s="19">
        <v>1045</v>
      </c>
      <c r="L601" s="19">
        <v>1045</v>
      </c>
      <c r="M601" s="19">
        <v>1045</v>
      </c>
      <c r="N601" s="19">
        <v>1045</v>
      </c>
    </row>
    <row r="602" spans="3:19" x14ac:dyDescent="0.3">
      <c r="C602" s="19" t="s">
        <v>371</v>
      </c>
      <c r="D602" s="19"/>
      <c r="E602" s="107">
        <v>17592</v>
      </c>
      <c r="F602" s="107">
        <v>19429</v>
      </c>
      <c r="G602" s="107">
        <v>22182</v>
      </c>
      <c r="H602" s="107">
        <v>15000</v>
      </c>
      <c r="I602" s="19">
        <v>16235</v>
      </c>
      <c r="J602" s="779">
        <f>$H$602/'INCOME STATEMENT'!$L$31*'INCOME STATEMENT'!M31</f>
        <v>17459.734705987968</v>
      </c>
      <c r="K602" s="779">
        <f>$H$602/'INCOME STATEMENT'!$L$31*'INCOME STATEMENT'!N31</f>
        <v>286.08750444575423</v>
      </c>
      <c r="L602" s="779">
        <f>$H$602/'INCOME STATEMENT'!$L$31*'INCOME STATEMENT'!O31</f>
        <v>7277.9518189280243</v>
      </c>
      <c r="M602" s="779">
        <f>$H$602/'INCOME STATEMENT'!$L$31*'INCOME STATEMENT'!P31</f>
        <v>7477.0305374988066</v>
      </c>
      <c r="N602" s="779">
        <f>$H$602/'INCOME STATEMENT'!$L$31*'INCOME STATEMENT'!Q31</f>
        <v>1117.1566863699791</v>
      </c>
    </row>
    <row r="603" spans="3:19" x14ac:dyDescent="0.3">
      <c r="C603" s="19"/>
      <c r="D603" s="19"/>
      <c r="E603" s="19">
        <f t="shared" ref="E603:N603" si="31">SUM(E598:E602)</f>
        <v>38249</v>
      </c>
      <c r="F603" s="19">
        <f t="shared" si="31"/>
        <v>40398</v>
      </c>
      <c r="G603" s="19">
        <f t="shared" si="31"/>
        <v>43577</v>
      </c>
      <c r="H603" s="19">
        <f t="shared" si="31"/>
        <v>38516</v>
      </c>
      <c r="I603" s="19">
        <f t="shared" si="31"/>
        <v>49593</v>
      </c>
      <c r="J603" s="790">
        <f t="shared" si="31"/>
        <v>50817.734705987968</v>
      </c>
      <c r="K603" s="790">
        <f t="shared" si="31"/>
        <v>33644.087504445757</v>
      </c>
      <c r="L603" s="790">
        <f t="shared" si="31"/>
        <v>40635.951818928021</v>
      </c>
      <c r="M603" s="790">
        <f t="shared" si="31"/>
        <v>40835.030537498809</v>
      </c>
      <c r="N603" s="790">
        <f t="shared" si="31"/>
        <v>34475.156686369977</v>
      </c>
    </row>
    <row r="604" spans="3:19" x14ac:dyDescent="0.3">
      <c r="C604" s="321"/>
      <c r="D604" s="321"/>
      <c r="E604" s="321"/>
      <c r="F604" s="321"/>
      <c r="G604" s="321"/>
      <c r="H604" s="321"/>
    </row>
    <row r="605" spans="3:19" x14ac:dyDescent="0.3">
      <c r="C605" s="1069" t="s">
        <v>579</v>
      </c>
      <c r="D605" s="1069"/>
      <c r="E605" s="1069"/>
      <c r="F605" s="1069"/>
      <c r="G605" s="1069"/>
      <c r="H605" s="1069"/>
      <c r="I605" s="1069"/>
    </row>
    <row r="606" spans="3:19" x14ac:dyDescent="0.3">
      <c r="C606" s="22" t="s">
        <v>49</v>
      </c>
      <c r="D606" s="22" t="s">
        <v>50</v>
      </c>
      <c r="E606" s="1">
        <v>2016</v>
      </c>
      <c r="F606" s="1">
        <v>2017</v>
      </c>
      <c r="G606" s="1">
        <v>2018</v>
      </c>
      <c r="H606" s="1">
        <v>2019</v>
      </c>
      <c r="I606" s="22">
        <v>2020</v>
      </c>
    </row>
    <row r="607" spans="3:19" x14ac:dyDescent="0.3">
      <c r="C607" s="19" t="s">
        <v>318</v>
      </c>
      <c r="D607" s="19"/>
      <c r="E607" s="19">
        <v>396</v>
      </c>
      <c r="F607" s="19">
        <v>396</v>
      </c>
      <c r="G607" s="19">
        <v>157</v>
      </c>
      <c r="H607" s="19">
        <v>388</v>
      </c>
      <c r="I607" s="19">
        <v>888</v>
      </c>
    </row>
    <row r="608" spans="3:19" x14ac:dyDescent="0.3">
      <c r="C608" s="19" t="s">
        <v>351</v>
      </c>
      <c r="D608" s="19"/>
      <c r="E608" s="296" t="s">
        <v>40</v>
      </c>
      <c r="F608" s="19">
        <v>8</v>
      </c>
      <c r="G608" s="296" t="s">
        <v>40</v>
      </c>
      <c r="H608" s="19">
        <v>500</v>
      </c>
      <c r="I608" s="19">
        <v>1250</v>
      </c>
    </row>
    <row r="609" spans="3:9" x14ac:dyDescent="0.3">
      <c r="C609" s="19" t="s">
        <v>352</v>
      </c>
      <c r="D609" s="19"/>
      <c r="E609" s="296" t="s">
        <v>40</v>
      </c>
      <c r="F609" s="296" t="s">
        <v>40</v>
      </c>
      <c r="G609" s="296" t="s">
        <v>40</v>
      </c>
      <c r="H609" s="296" t="s">
        <v>40</v>
      </c>
      <c r="I609" s="19"/>
    </row>
    <row r="610" spans="3:9" x14ac:dyDescent="0.3">
      <c r="C610" s="19" t="s">
        <v>321</v>
      </c>
      <c r="D610" s="19"/>
      <c r="E610" s="22">
        <f t="shared" ref="E610:I610" si="32">SUM(E607:E609)</f>
        <v>396</v>
      </c>
      <c r="F610" s="19">
        <f t="shared" si="32"/>
        <v>404</v>
      </c>
      <c r="G610" s="19">
        <f t="shared" si="32"/>
        <v>157</v>
      </c>
      <c r="H610" s="19">
        <f t="shared" si="32"/>
        <v>888</v>
      </c>
      <c r="I610" s="19">
        <f t="shared" si="32"/>
        <v>2138</v>
      </c>
    </row>
    <row r="612" spans="3:9" x14ac:dyDescent="0.3">
      <c r="C612" s="1070" t="s">
        <v>580</v>
      </c>
      <c r="D612" s="1070"/>
      <c r="E612" s="1070"/>
      <c r="F612" s="1070"/>
      <c r="G612" s="1070"/>
      <c r="H612" s="1070"/>
      <c r="I612" s="1070"/>
    </row>
    <row r="613" spans="3:9" x14ac:dyDescent="0.3">
      <c r="C613" s="22" t="s">
        <v>49</v>
      </c>
      <c r="D613" s="22" t="s">
        <v>50</v>
      </c>
      <c r="E613" s="1">
        <v>2016</v>
      </c>
      <c r="F613" s="1">
        <v>2017</v>
      </c>
      <c r="G613" s="1">
        <v>2018</v>
      </c>
      <c r="H613" s="1">
        <v>2019</v>
      </c>
      <c r="I613" s="22">
        <v>2020</v>
      </c>
    </row>
    <row r="614" spans="3:9" x14ac:dyDescent="0.3">
      <c r="C614" s="19" t="s">
        <v>318</v>
      </c>
      <c r="D614" s="19"/>
      <c r="E614" s="19">
        <v>157</v>
      </c>
      <c r="F614" s="19">
        <v>157</v>
      </c>
      <c r="G614" s="19">
        <v>157</v>
      </c>
      <c r="H614" s="19">
        <v>157</v>
      </c>
      <c r="I614" s="19">
        <v>1612</v>
      </c>
    </row>
    <row r="615" spans="3:9" x14ac:dyDescent="0.3">
      <c r="C615" s="19" t="s">
        <v>351</v>
      </c>
      <c r="D615" s="19"/>
      <c r="E615" s="296" t="s">
        <v>40</v>
      </c>
      <c r="F615" s="296" t="s">
        <v>40</v>
      </c>
      <c r="G615" s="296" t="s">
        <v>40</v>
      </c>
      <c r="H615" s="107">
        <v>1455</v>
      </c>
      <c r="I615" s="19" t="s">
        <v>839</v>
      </c>
    </row>
    <row r="616" spans="3:9" x14ac:dyDescent="0.3">
      <c r="C616" s="19" t="s">
        <v>352</v>
      </c>
      <c r="D616" s="19"/>
      <c r="E616" s="296" t="s">
        <v>40</v>
      </c>
      <c r="F616" s="296" t="s">
        <v>40</v>
      </c>
      <c r="G616" s="296" t="s">
        <v>40</v>
      </c>
      <c r="H616" s="296" t="s">
        <v>40</v>
      </c>
      <c r="I616" s="19"/>
    </row>
    <row r="617" spans="3:9" x14ac:dyDescent="0.3">
      <c r="C617" s="19" t="s">
        <v>321</v>
      </c>
      <c r="D617" s="19"/>
      <c r="E617" s="19">
        <f t="shared" ref="E617:I617" si="33">SUM(E614:E616)</f>
        <v>157</v>
      </c>
      <c r="F617" s="19">
        <f t="shared" si="33"/>
        <v>157</v>
      </c>
      <c r="G617" s="19">
        <f t="shared" si="33"/>
        <v>157</v>
      </c>
      <c r="H617" s="107">
        <f t="shared" si="33"/>
        <v>1612</v>
      </c>
      <c r="I617" s="19">
        <f t="shared" si="33"/>
        <v>1612</v>
      </c>
    </row>
    <row r="619" spans="3:9" x14ac:dyDescent="0.3">
      <c r="C619" s="1070" t="s">
        <v>581</v>
      </c>
      <c r="D619" s="1070"/>
      <c r="E619" s="1070"/>
      <c r="F619" s="1070"/>
      <c r="G619" s="1070"/>
      <c r="H619" s="1070"/>
      <c r="I619" s="1070"/>
    </row>
    <row r="620" spans="3:9" x14ac:dyDescent="0.3">
      <c r="C620" s="22" t="s">
        <v>49</v>
      </c>
      <c r="D620" s="22" t="s">
        <v>50</v>
      </c>
      <c r="E620" s="1">
        <v>2016</v>
      </c>
      <c r="F620" s="1">
        <v>2017</v>
      </c>
      <c r="G620" s="1">
        <v>2018</v>
      </c>
      <c r="H620" s="1">
        <v>2019</v>
      </c>
      <c r="I620" s="22">
        <v>2020</v>
      </c>
    </row>
    <row r="621" spans="3:9" x14ac:dyDescent="0.3">
      <c r="C621" s="19" t="s">
        <v>318</v>
      </c>
      <c r="D621" s="19"/>
      <c r="E621" s="107">
        <v>19883</v>
      </c>
      <c r="F621" s="107">
        <v>19883</v>
      </c>
      <c r="G621" s="107">
        <v>19883</v>
      </c>
      <c r="H621" s="107">
        <v>19883</v>
      </c>
      <c r="I621" s="19">
        <v>19883</v>
      </c>
    </row>
    <row r="622" spans="3:9" x14ac:dyDescent="0.3">
      <c r="C622" s="19" t="s">
        <v>351</v>
      </c>
      <c r="D622" s="19"/>
      <c r="E622" s="296" t="s">
        <v>40</v>
      </c>
      <c r="F622" s="296" t="s">
        <v>40</v>
      </c>
      <c r="G622" s="296" t="s">
        <v>40</v>
      </c>
      <c r="H622" s="296" t="s">
        <v>40</v>
      </c>
      <c r="I622" s="19">
        <v>8737</v>
      </c>
    </row>
    <row r="623" spans="3:9" x14ac:dyDescent="0.3">
      <c r="C623" s="19" t="s">
        <v>372</v>
      </c>
      <c r="D623" s="19"/>
      <c r="E623" s="296" t="s">
        <v>40</v>
      </c>
      <c r="F623" s="296" t="s">
        <v>40</v>
      </c>
      <c r="G623" s="296" t="s">
        <v>40</v>
      </c>
      <c r="H623" s="296" t="s">
        <v>40</v>
      </c>
      <c r="I623" s="19">
        <f>-57</f>
        <v>-57</v>
      </c>
    </row>
    <row r="624" spans="3:9" x14ac:dyDescent="0.3">
      <c r="C624" s="19" t="s">
        <v>321</v>
      </c>
      <c r="D624" s="19"/>
      <c r="E624" s="293">
        <f>SUM(E621:E623)</f>
        <v>19883</v>
      </c>
      <c r="F624" s="293">
        <f t="shared" ref="F624:I624" si="34">SUM(F621:F623)</f>
        <v>19883</v>
      </c>
      <c r="G624" s="293">
        <f t="shared" si="34"/>
        <v>19883</v>
      </c>
      <c r="H624" s="293">
        <f t="shared" si="34"/>
        <v>19883</v>
      </c>
      <c r="I624" s="293">
        <f t="shared" si="34"/>
        <v>28563</v>
      </c>
    </row>
    <row r="626" spans="3:10" x14ac:dyDescent="0.3">
      <c r="C626" s="1071" t="s">
        <v>582</v>
      </c>
      <c r="D626" s="1070"/>
      <c r="E626" s="1070"/>
      <c r="F626" s="1070"/>
      <c r="G626" s="1070"/>
      <c r="H626" s="1070"/>
      <c r="I626" s="1070"/>
    </row>
    <row r="627" spans="3:10" x14ac:dyDescent="0.3">
      <c r="C627" s="22" t="s">
        <v>49</v>
      </c>
      <c r="D627" s="22" t="s">
        <v>50</v>
      </c>
      <c r="E627" s="1">
        <v>2016</v>
      </c>
      <c r="F627" s="1">
        <v>2017</v>
      </c>
      <c r="G627" s="1">
        <v>2018</v>
      </c>
      <c r="H627" s="1">
        <v>2019</v>
      </c>
      <c r="I627" s="22">
        <v>2020</v>
      </c>
    </row>
    <row r="628" spans="3:10" x14ac:dyDescent="0.3">
      <c r="C628" s="19" t="s">
        <v>318</v>
      </c>
      <c r="D628" s="19"/>
      <c r="E628" s="296" t="s">
        <v>40</v>
      </c>
      <c r="F628" s="19">
        <v>221</v>
      </c>
      <c r="G628" s="19">
        <v>541</v>
      </c>
      <c r="H628" s="19">
        <v>967</v>
      </c>
      <c r="I628" s="19">
        <v>1133</v>
      </c>
    </row>
    <row r="629" spans="3:10" x14ac:dyDescent="0.3">
      <c r="C629" s="19" t="s">
        <v>373</v>
      </c>
      <c r="D629" s="19"/>
      <c r="E629" s="19">
        <v>221</v>
      </c>
      <c r="F629" s="19">
        <v>320</v>
      </c>
      <c r="G629" s="19">
        <v>426</v>
      </c>
      <c r="H629" s="19">
        <v>666</v>
      </c>
      <c r="I629" s="19">
        <v>1162</v>
      </c>
    </row>
    <row r="630" spans="3:10" x14ac:dyDescent="0.3">
      <c r="C630" s="19" t="s">
        <v>374</v>
      </c>
      <c r="D630" s="19"/>
      <c r="E630" s="19"/>
      <c r="F630" s="19"/>
      <c r="G630" s="296" t="s">
        <v>40</v>
      </c>
      <c r="H630" s="296">
        <v>-500</v>
      </c>
      <c r="I630" s="19">
        <f>-1250</f>
        <v>-1250</v>
      </c>
    </row>
    <row r="631" spans="3:10" x14ac:dyDescent="0.3">
      <c r="C631" s="19" t="s">
        <v>321</v>
      </c>
      <c r="D631" s="19"/>
      <c r="E631" s="19">
        <v>221</v>
      </c>
      <c r="F631" s="19">
        <v>541</v>
      </c>
      <c r="G631" s="19">
        <v>967</v>
      </c>
      <c r="H631" s="107">
        <v>1133</v>
      </c>
      <c r="I631" s="19">
        <f>SUM(I628:I630)</f>
        <v>1045</v>
      </c>
    </row>
    <row r="633" spans="3:10" x14ac:dyDescent="0.3">
      <c r="C633" s="1070" t="s">
        <v>583</v>
      </c>
      <c r="D633" s="1070"/>
      <c r="E633" s="1070"/>
      <c r="F633" s="1070"/>
      <c r="G633" s="1070"/>
      <c r="H633" s="1070"/>
      <c r="I633" s="1070"/>
    </row>
    <row r="634" spans="3:10" x14ac:dyDescent="0.3">
      <c r="C634" s="22" t="s">
        <v>49</v>
      </c>
      <c r="D634" s="22" t="s">
        <v>50</v>
      </c>
      <c r="E634" s="1">
        <v>2016</v>
      </c>
      <c r="F634" s="1">
        <v>2017</v>
      </c>
      <c r="G634" s="1">
        <v>2018</v>
      </c>
      <c r="H634" s="1">
        <v>2019</v>
      </c>
      <c r="I634" s="22">
        <v>2020</v>
      </c>
    </row>
    <row r="635" spans="3:10" x14ac:dyDescent="0.3">
      <c r="C635" s="19" t="s">
        <v>381</v>
      </c>
      <c r="D635" s="19"/>
      <c r="E635" s="107">
        <v>12939</v>
      </c>
      <c r="F635" s="107">
        <v>17150</v>
      </c>
      <c r="G635" s="107">
        <v>19429</v>
      </c>
      <c r="H635" s="107">
        <v>22182</v>
      </c>
      <c r="I635" s="19">
        <v>15000</v>
      </c>
      <c r="J635" s="46">
        <f>I647</f>
        <v>16235</v>
      </c>
    </row>
    <row r="636" spans="3:10" x14ac:dyDescent="0.3">
      <c r="C636" s="19" t="s">
        <v>375</v>
      </c>
      <c r="D636" s="19"/>
      <c r="E636" s="107">
        <v>6098</v>
      </c>
      <c r="F636" s="107">
        <v>2649</v>
      </c>
      <c r="G636" s="107">
        <v>3713</v>
      </c>
      <c r="H636" s="107">
        <v>4156</v>
      </c>
      <c r="I636" s="19">
        <v>4031</v>
      </c>
    </row>
    <row r="637" spans="3:10" ht="28" x14ac:dyDescent="0.3">
      <c r="C637" s="297" t="s">
        <v>382</v>
      </c>
      <c r="D637" s="19"/>
      <c r="E637" s="296">
        <v>-6</v>
      </c>
      <c r="F637" s="296">
        <v>-10</v>
      </c>
      <c r="G637" s="19">
        <v>6</v>
      </c>
      <c r="H637" s="296">
        <v>-11</v>
      </c>
      <c r="I637" s="19">
        <f>-32</f>
        <v>-32</v>
      </c>
    </row>
    <row r="638" spans="3:10" x14ac:dyDescent="0.3">
      <c r="C638" s="19"/>
      <c r="D638" s="19"/>
      <c r="E638" s="19"/>
      <c r="F638" s="19"/>
      <c r="G638" s="19"/>
      <c r="H638" s="19"/>
      <c r="I638" s="19"/>
    </row>
    <row r="639" spans="3:10" x14ac:dyDescent="0.3">
      <c r="C639" s="19" t="s">
        <v>376</v>
      </c>
      <c r="D639" s="19"/>
      <c r="E639" s="296" t="s">
        <v>40</v>
      </c>
      <c r="F639" s="296">
        <v>-40</v>
      </c>
      <c r="G639" s="19">
        <v>1</v>
      </c>
      <c r="H639" s="19">
        <v>1</v>
      </c>
      <c r="I639" s="19">
        <f>-199</f>
        <v>-199</v>
      </c>
    </row>
    <row r="640" spans="3:10" x14ac:dyDescent="0.3">
      <c r="C640" s="19"/>
      <c r="D640" s="19"/>
      <c r="E640" s="293">
        <f>SUM(E635:E639)</f>
        <v>19031</v>
      </c>
      <c r="F640" s="293">
        <f t="shared" ref="F640:I640" si="35">SUM(F635:F639)</f>
        <v>19749</v>
      </c>
      <c r="G640" s="293">
        <f t="shared" si="35"/>
        <v>23149</v>
      </c>
      <c r="H640" s="293">
        <f t="shared" si="35"/>
        <v>26328</v>
      </c>
      <c r="I640" s="293">
        <f t="shared" si="35"/>
        <v>18800</v>
      </c>
    </row>
    <row r="641" spans="3:11" x14ac:dyDescent="0.3">
      <c r="C641" s="22" t="s">
        <v>377</v>
      </c>
      <c r="D641" s="19"/>
      <c r="E641" s="19"/>
      <c r="F641" s="19"/>
      <c r="G641" s="19"/>
      <c r="H641" s="19"/>
      <c r="I641" s="19"/>
    </row>
    <row r="642" spans="3:11" x14ac:dyDescent="0.3">
      <c r="C642" s="19" t="s">
        <v>378</v>
      </c>
      <c r="D642" s="19"/>
      <c r="E642" s="107">
        <v>221</v>
      </c>
      <c r="F642" s="107">
        <v>320</v>
      </c>
      <c r="G642" s="107">
        <v>426</v>
      </c>
      <c r="H642" s="107">
        <v>666</v>
      </c>
      <c r="I642" s="19">
        <v>1162</v>
      </c>
      <c r="K642" s="287">
        <f>E647-F656-F660</f>
        <v>17050</v>
      </c>
    </row>
    <row r="643" spans="3:11" x14ac:dyDescent="0.3">
      <c r="C643" s="19" t="s">
        <v>79</v>
      </c>
      <c r="D643" s="19"/>
      <c r="E643" s="107"/>
      <c r="F643" s="107"/>
      <c r="G643" s="296" t="s">
        <v>40</v>
      </c>
      <c r="H643" s="107">
        <v>10119</v>
      </c>
      <c r="I643" s="19" t="s">
        <v>839</v>
      </c>
    </row>
    <row r="644" spans="3:11" x14ac:dyDescent="0.3">
      <c r="C644" s="19" t="s">
        <v>379</v>
      </c>
      <c r="D644" s="19"/>
      <c r="E644" s="107">
        <v>1031</v>
      </c>
      <c r="F644" s="291">
        <v>0</v>
      </c>
      <c r="G644" s="19">
        <v>450</v>
      </c>
      <c r="H644" s="107">
        <v>450</v>
      </c>
      <c r="I644" s="19">
        <v>1164</v>
      </c>
    </row>
    <row r="645" spans="3:11" x14ac:dyDescent="0.3">
      <c r="C645" s="19" t="s">
        <v>380</v>
      </c>
      <c r="D645" s="19"/>
      <c r="E645" s="19">
        <v>205</v>
      </c>
      <c r="F645" s="296">
        <v>0</v>
      </c>
      <c r="G645" s="19">
        <v>91</v>
      </c>
      <c r="H645" s="107">
        <v>93</v>
      </c>
      <c r="I645" s="19">
        <v>239</v>
      </c>
    </row>
    <row r="646" spans="3:11" x14ac:dyDescent="0.3">
      <c r="C646" s="19"/>
      <c r="D646" s="19"/>
      <c r="E646" s="293">
        <v>1439</v>
      </c>
      <c r="F646" s="22">
        <v>320</v>
      </c>
      <c r="G646" s="22">
        <v>967</v>
      </c>
      <c r="H646" s="293">
        <v>11328</v>
      </c>
      <c r="I646" s="22">
        <v>2565</v>
      </c>
    </row>
    <row r="647" spans="3:11" x14ac:dyDescent="0.3">
      <c r="C647" s="19"/>
      <c r="D647" s="19"/>
      <c r="E647" s="293">
        <v>17592</v>
      </c>
      <c r="F647" s="293">
        <v>19429</v>
      </c>
      <c r="G647" s="293">
        <v>22182</v>
      </c>
      <c r="H647" s="293">
        <v>15000</v>
      </c>
      <c r="I647" s="293">
        <v>16235</v>
      </c>
    </row>
    <row r="648" spans="3:11" x14ac:dyDescent="0.3">
      <c r="F648" s="46"/>
    </row>
    <row r="649" spans="3:11" x14ac:dyDescent="0.3">
      <c r="C649" s="1070" t="s">
        <v>584</v>
      </c>
      <c r="D649" s="1070"/>
      <c r="E649" s="1070"/>
      <c r="F649" s="1070"/>
      <c r="G649" s="1070"/>
      <c r="H649" s="1070"/>
      <c r="I649" s="1070"/>
    </row>
    <row r="650" spans="3:11" x14ac:dyDescent="0.3">
      <c r="C650" s="22" t="s">
        <v>49</v>
      </c>
      <c r="D650" s="22" t="s">
        <v>50</v>
      </c>
      <c r="E650" s="1">
        <v>2016</v>
      </c>
      <c r="F650" s="1">
        <v>2017</v>
      </c>
      <c r="G650" s="1">
        <v>2018</v>
      </c>
      <c r="H650" s="1">
        <v>2019</v>
      </c>
      <c r="I650" s="22">
        <v>2020</v>
      </c>
    </row>
    <row r="651" spans="3:11" x14ac:dyDescent="0.3">
      <c r="C651" s="22" t="s">
        <v>383</v>
      </c>
      <c r="D651" s="19"/>
      <c r="E651" s="19"/>
      <c r="F651" s="107"/>
      <c r="G651" s="19"/>
      <c r="H651" s="19"/>
      <c r="I651" s="19"/>
    </row>
    <row r="652" spans="3:11" x14ac:dyDescent="0.3">
      <c r="C652" s="19" t="s">
        <v>384</v>
      </c>
      <c r="D652" s="19"/>
      <c r="E652" s="19">
        <v>563</v>
      </c>
      <c r="F652" s="296" t="s">
        <v>40</v>
      </c>
      <c r="G652" s="19">
        <v>450</v>
      </c>
      <c r="H652" s="19">
        <v>450</v>
      </c>
      <c r="I652" s="19">
        <v>563</v>
      </c>
    </row>
    <row r="653" spans="3:11" x14ac:dyDescent="0.3">
      <c r="C653" s="19" t="s">
        <v>380</v>
      </c>
      <c r="D653" s="19"/>
      <c r="E653" s="19">
        <v>113</v>
      </c>
      <c r="F653" s="296" t="s">
        <v>40</v>
      </c>
      <c r="G653" s="19">
        <v>91</v>
      </c>
      <c r="H653" s="19">
        <v>93</v>
      </c>
      <c r="I653" s="19">
        <v>239</v>
      </c>
    </row>
    <row r="654" spans="3:11" x14ac:dyDescent="0.3">
      <c r="C654" s="19" t="s">
        <v>388</v>
      </c>
      <c r="D654" s="19"/>
      <c r="E654" s="19">
        <v>450</v>
      </c>
      <c r="F654" s="19"/>
      <c r="G654" s="19"/>
      <c r="H654" s="19" t="s">
        <v>839</v>
      </c>
      <c r="I654" s="19">
        <v>601</v>
      </c>
    </row>
    <row r="655" spans="3:11" x14ac:dyDescent="0.3">
      <c r="C655" s="19" t="s">
        <v>380</v>
      </c>
      <c r="D655" s="19"/>
      <c r="E655" s="107">
        <v>92</v>
      </c>
      <c r="F655" s="19"/>
      <c r="G655" s="19"/>
      <c r="H655" s="19"/>
      <c r="I655" s="19"/>
    </row>
    <row r="656" spans="3:11" x14ac:dyDescent="0.3">
      <c r="C656" s="19"/>
      <c r="D656" s="19"/>
      <c r="E656" s="293">
        <f t="shared" ref="E656:I656" si="36">SUM(E652:E655)</f>
        <v>1218</v>
      </c>
      <c r="F656" s="22">
        <f t="shared" si="36"/>
        <v>0</v>
      </c>
      <c r="G656" s="22">
        <f t="shared" si="36"/>
        <v>541</v>
      </c>
      <c r="H656" s="22">
        <f t="shared" si="36"/>
        <v>543</v>
      </c>
      <c r="I656" s="22">
        <f t="shared" si="36"/>
        <v>1403</v>
      </c>
    </row>
    <row r="657" spans="3:9" x14ac:dyDescent="0.3">
      <c r="C657" s="22" t="s">
        <v>385</v>
      </c>
      <c r="D657" s="19"/>
      <c r="E657" s="107"/>
      <c r="F657" s="19"/>
      <c r="G657" s="19"/>
      <c r="H657" s="19"/>
      <c r="I657" s="19"/>
    </row>
    <row r="658" spans="3:9" x14ac:dyDescent="0.3">
      <c r="C658" s="19" t="s">
        <v>386</v>
      </c>
      <c r="D658" s="19"/>
      <c r="E658" s="296" t="s">
        <v>40</v>
      </c>
      <c r="F658" s="19">
        <v>450</v>
      </c>
      <c r="G658" s="19">
        <v>450</v>
      </c>
      <c r="H658" s="19">
        <v>563</v>
      </c>
      <c r="I658" s="19" t="s">
        <v>839</v>
      </c>
    </row>
    <row r="659" spans="3:9" x14ac:dyDescent="0.3">
      <c r="C659" s="19" t="s">
        <v>387</v>
      </c>
      <c r="D659" s="19"/>
      <c r="E659" s="296" t="s">
        <v>40</v>
      </c>
      <c r="F659" s="19">
        <v>92</v>
      </c>
      <c r="G659" s="19">
        <v>91</v>
      </c>
      <c r="H659" s="19">
        <v>114</v>
      </c>
      <c r="I659" s="19" t="s">
        <v>839</v>
      </c>
    </row>
    <row r="660" spans="3:9" x14ac:dyDescent="0.3">
      <c r="C660" s="19"/>
      <c r="D660" s="19"/>
      <c r="E660" s="291" t="s">
        <v>40</v>
      </c>
      <c r="F660" s="293">
        <f t="shared" ref="F660:I660" si="37">SUM(F658:F659)</f>
        <v>542</v>
      </c>
      <c r="G660" s="22">
        <f t="shared" si="37"/>
        <v>541</v>
      </c>
      <c r="H660" s="22">
        <f t="shared" si="37"/>
        <v>677</v>
      </c>
      <c r="I660" s="19">
        <f t="shared" si="37"/>
        <v>0</v>
      </c>
    </row>
    <row r="662" spans="3:9" ht="42" x14ac:dyDescent="0.3">
      <c r="C662" s="28" t="s">
        <v>389</v>
      </c>
      <c r="D662" s="28"/>
    </row>
    <row r="663" spans="3:9" x14ac:dyDescent="0.3">
      <c r="C663" s="28"/>
      <c r="D663" s="28"/>
    </row>
    <row r="664" spans="3:9" ht="14.5" x14ac:dyDescent="0.35">
      <c r="C664" s="1078" t="s">
        <v>585</v>
      </c>
      <c r="D664" s="1078"/>
      <c r="E664" s="1078"/>
      <c r="F664" s="1078"/>
      <c r="G664" s="1078"/>
      <c r="H664" s="1078"/>
      <c r="I664" s="1078"/>
    </row>
    <row r="665" spans="3:9" x14ac:dyDescent="0.3">
      <c r="C665" s="22" t="s">
        <v>49</v>
      </c>
      <c r="D665" s="22" t="s">
        <v>50</v>
      </c>
      <c r="E665" s="1">
        <v>2016</v>
      </c>
      <c r="F665" s="1">
        <v>2017</v>
      </c>
      <c r="G665" s="1">
        <v>2018</v>
      </c>
      <c r="H665" s="1">
        <v>2019</v>
      </c>
      <c r="I665" s="22">
        <v>2020</v>
      </c>
    </row>
    <row r="666" spans="3:9" x14ac:dyDescent="0.3">
      <c r="C666" s="19" t="s">
        <v>390</v>
      </c>
      <c r="D666" s="19"/>
      <c r="E666" s="107">
        <v>2036</v>
      </c>
      <c r="F666" s="107">
        <v>2188</v>
      </c>
      <c r="G666" s="107">
        <v>2027</v>
      </c>
      <c r="H666" s="107">
        <v>2300</v>
      </c>
      <c r="I666" s="19">
        <v>1120</v>
      </c>
    </row>
    <row r="667" spans="3:9" x14ac:dyDescent="0.3">
      <c r="C667" s="19" t="s">
        <v>391</v>
      </c>
      <c r="D667" s="19"/>
      <c r="E667" s="19">
        <v>435</v>
      </c>
      <c r="F667" s="107">
        <v>1085</v>
      </c>
      <c r="G667" s="19">
        <v>533</v>
      </c>
      <c r="H667" s="19">
        <v>263</v>
      </c>
      <c r="I667" s="19">
        <v>1455</v>
      </c>
    </row>
    <row r="668" spans="3:9" x14ac:dyDescent="0.3">
      <c r="C668" s="19" t="s">
        <v>79</v>
      </c>
      <c r="D668" s="19"/>
      <c r="E668" s="296" t="s">
        <v>40</v>
      </c>
      <c r="F668" s="296" t="s">
        <v>40</v>
      </c>
      <c r="G668" s="296" t="s">
        <v>40</v>
      </c>
      <c r="H668" s="296">
        <v>-1175</v>
      </c>
      <c r="I668" s="19" t="s">
        <v>839</v>
      </c>
    </row>
    <row r="669" spans="3:9" x14ac:dyDescent="0.3">
      <c r="C669" s="19" t="s">
        <v>392</v>
      </c>
      <c r="D669" s="19"/>
      <c r="E669" s="296">
        <v>-551</v>
      </c>
      <c r="F669" s="296">
        <v>-1246</v>
      </c>
      <c r="G669" s="296">
        <v>-954</v>
      </c>
      <c r="H669" s="296">
        <v>-381</v>
      </c>
      <c r="I669" s="19">
        <f>-383</f>
        <v>-383</v>
      </c>
    </row>
    <row r="670" spans="3:9" x14ac:dyDescent="0.3">
      <c r="C670" s="296" t="s">
        <v>393</v>
      </c>
      <c r="D670" s="19"/>
      <c r="E670" s="19">
        <v>346</v>
      </c>
      <c r="F670" s="296" t="s">
        <v>40</v>
      </c>
      <c r="G670" s="19">
        <v>694</v>
      </c>
      <c r="H670" s="19">
        <v>113</v>
      </c>
      <c r="I670" s="19" t="s">
        <v>839</v>
      </c>
    </row>
    <row r="671" spans="3:9" x14ac:dyDescent="0.3">
      <c r="C671" s="296" t="s">
        <v>872</v>
      </c>
      <c r="D671" s="19"/>
      <c r="E671" s="19" t="s">
        <v>839</v>
      </c>
      <c r="F671" s="296" t="s">
        <v>839</v>
      </c>
      <c r="G671" s="19" t="s">
        <v>839</v>
      </c>
      <c r="H671" s="19" t="s">
        <v>839</v>
      </c>
      <c r="I671" s="19">
        <v>92</v>
      </c>
    </row>
    <row r="672" spans="3:9" x14ac:dyDescent="0.3">
      <c r="C672" s="19" t="s">
        <v>394</v>
      </c>
      <c r="D672" s="19"/>
      <c r="E672" s="293">
        <f t="shared" ref="E672:I672" si="38">SUM(E666:E671)</f>
        <v>2266</v>
      </c>
      <c r="F672" s="293">
        <f t="shared" si="38"/>
        <v>2027</v>
      </c>
      <c r="G672" s="293">
        <f t="shared" si="38"/>
        <v>2300</v>
      </c>
      <c r="H672" s="293">
        <f t="shared" si="38"/>
        <v>1120</v>
      </c>
      <c r="I672" s="107">
        <f t="shared" si="38"/>
        <v>2284</v>
      </c>
    </row>
    <row r="674" spans="3:13" ht="23" customHeight="1" x14ac:dyDescent="0.3">
      <c r="C674" s="1108" t="s">
        <v>586</v>
      </c>
      <c r="D674" s="1108"/>
      <c r="E674" s="1108"/>
      <c r="F674" s="1108"/>
      <c r="G674" s="1108"/>
      <c r="H674" s="1108"/>
      <c r="I674" s="1108"/>
      <c r="J674" s="322"/>
    </row>
    <row r="675" spans="3:13" ht="42" x14ac:dyDescent="0.3">
      <c r="C675" s="323" t="s">
        <v>395</v>
      </c>
      <c r="F675" s="1107" t="s">
        <v>399</v>
      </c>
      <c r="G675" s="1107"/>
      <c r="H675" s="1107"/>
      <c r="I675" s="1107"/>
      <c r="J675" s="324"/>
    </row>
    <row r="676" spans="3:13" ht="28" x14ac:dyDescent="0.3">
      <c r="C676" s="1" t="s">
        <v>396</v>
      </c>
      <c r="D676" s="22" t="s">
        <v>397</v>
      </c>
      <c r="E676" s="1" t="s">
        <v>398</v>
      </c>
      <c r="F676" s="1">
        <v>2016</v>
      </c>
      <c r="G676" s="1">
        <v>2017</v>
      </c>
      <c r="H676" s="1">
        <v>2018</v>
      </c>
      <c r="I676" s="1">
        <v>2019</v>
      </c>
      <c r="J676" s="1">
        <v>2020</v>
      </c>
    </row>
    <row r="677" spans="3:13" ht="28" x14ac:dyDescent="0.3">
      <c r="C677" s="297" t="s">
        <v>400</v>
      </c>
      <c r="D677" s="297" t="s">
        <v>401</v>
      </c>
      <c r="E677" s="19" t="s">
        <v>402</v>
      </c>
      <c r="F677" s="302">
        <v>0.49</v>
      </c>
      <c r="G677" s="302">
        <v>0.49</v>
      </c>
      <c r="H677" s="302">
        <v>0.49</v>
      </c>
      <c r="I677" s="302">
        <v>0.49</v>
      </c>
      <c r="J677" s="302">
        <v>0.49</v>
      </c>
    </row>
    <row r="678" spans="3:13" ht="28" x14ac:dyDescent="0.3">
      <c r="C678" s="19" t="s">
        <v>403</v>
      </c>
      <c r="D678" s="297" t="s">
        <v>401</v>
      </c>
      <c r="E678" s="19" t="s">
        <v>402</v>
      </c>
      <c r="F678" s="19"/>
      <c r="G678" s="302">
        <v>0.49</v>
      </c>
      <c r="H678" s="302">
        <v>0.49</v>
      </c>
      <c r="I678" s="302">
        <v>0.49</v>
      </c>
      <c r="J678" s="302">
        <v>0.49</v>
      </c>
    </row>
    <row r="679" spans="3:13" x14ac:dyDescent="0.3">
      <c r="C679" s="19" t="s">
        <v>404</v>
      </c>
      <c r="D679" s="19" t="s">
        <v>405</v>
      </c>
      <c r="E679" s="19" t="s">
        <v>402</v>
      </c>
      <c r="F679" s="19"/>
      <c r="G679" s="19"/>
      <c r="H679" s="302">
        <v>0.2</v>
      </c>
      <c r="I679" s="302">
        <v>0.2</v>
      </c>
      <c r="J679" s="302">
        <v>0.2</v>
      </c>
    </row>
    <row r="681" spans="3:13" ht="22.5" customHeight="1" x14ac:dyDescent="0.3">
      <c r="C681" s="19" t="s">
        <v>396</v>
      </c>
      <c r="D681" s="1076" t="s">
        <v>682</v>
      </c>
      <c r="E681" s="1077"/>
      <c r="F681" s="1077"/>
      <c r="G681" s="1077"/>
      <c r="H681" s="1077"/>
      <c r="I681" s="1079" t="s">
        <v>873</v>
      </c>
      <c r="J681" s="1079"/>
      <c r="K681" s="1079"/>
      <c r="L681" s="1079"/>
      <c r="M681" s="1079"/>
    </row>
    <row r="682" spans="3:13" x14ac:dyDescent="0.3">
      <c r="C682" s="19"/>
      <c r="D682" s="1">
        <v>2016</v>
      </c>
      <c r="E682" s="1">
        <v>2017</v>
      </c>
      <c r="F682" s="1">
        <v>2018</v>
      </c>
      <c r="G682" s="1">
        <v>2019</v>
      </c>
      <c r="H682" s="1">
        <v>2020</v>
      </c>
      <c r="I682" s="1">
        <v>2016</v>
      </c>
      <c r="J682" s="1">
        <v>2017</v>
      </c>
      <c r="K682" s="1">
        <v>2018</v>
      </c>
      <c r="L682" s="1">
        <v>2019</v>
      </c>
      <c r="M682" s="22">
        <v>2020</v>
      </c>
    </row>
    <row r="683" spans="3:13" x14ac:dyDescent="0.3">
      <c r="C683" s="19" t="s">
        <v>406</v>
      </c>
      <c r="D683" s="19"/>
      <c r="E683" s="19"/>
      <c r="F683" s="19"/>
      <c r="G683" s="19"/>
      <c r="H683" s="19"/>
      <c r="I683" s="19"/>
      <c r="J683" s="19"/>
      <c r="K683" s="19"/>
      <c r="L683" s="19"/>
      <c r="M683" s="19"/>
    </row>
    <row r="684" spans="3:13" x14ac:dyDescent="0.3">
      <c r="C684" s="19" t="s">
        <v>400</v>
      </c>
      <c r="D684" s="19">
        <v>102</v>
      </c>
      <c r="E684" s="19">
        <v>133</v>
      </c>
      <c r="F684" s="19">
        <v>61</v>
      </c>
      <c r="G684" s="296">
        <v>-14</v>
      </c>
      <c r="H684" s="296">
        <v>250</v>
      </c>
      <c r="I684" s="107">
        <v>1349</v>
      </c>
      <c r="J684" s="107">
        <v>1573</v>
      </c>
      <c r="K684" s="107">
        <v>1384</v>
      </c>
      <c r="L684" s="107">
        <v>1212</v>
      </c>
      <c r="M684" s="19">
        <v>1461</v>
      </c>
    </row>
    <row r="685" spans="3:13" x14ac:dyDescent="0.3">
      <c r="C685" s="19" t="s">
        <v>404</v>
      </c>
      <c r="D685" s="296" t="s">
        <v>40</v>
      </c>
      <c r="E685" s="296" t="s">
        <v>40</v>
      </c>
      <c r="F685" s="19">
        <v>261</v>
      </c>
      <c r="G685" s="296">
        <v>-11</v>
      </c>
      <c r="H685" s="296">
        <v>726</v>
      </c>
      <c r="I685" s="107"/>
      <c r="J685" s="296" t="s">
        <v>40</v>
      </c>
      <c r="K685" s="296">
        <v>-880</v>
      </c>
      <c r="L685" s="296">
        <v>-1805</v>
      </c>
      <c r="M685" s="19">
        <f>-1079</f>
        <v>-1079</v>
      </c>
    </row>
    <row r="686" spans="3:13" x14ac:dyDescent="0.3">
      <c r="C686" s="19" t="s">
        <v>403</v>
      </c>
      <c r="D686" s="296" t="s">
        <v>40</v>
      </c>
      <c r="E686" s="19">
        <v>586</v>
      </c>
      <c r="F686" s="19">
        <v>0</v>
      </c>
      <c r="G686" s="19">
        <v>0</v>
      </c>
      <c r="H686" s="19">
        <v>0</v>
      </c>
      <c r="I686" s="107"/>
      <c r="J686" s="296">
        <v>-1101</v>
      </c>
      <c r="K686" s="19">
        <v>569</v>
      </c>
      <c r="L686" s="19">
        <v>597</v>
      </c>
      <c r="M686" s="19">
        <v>597</v>
      </c>
    </row>
    <row r="687" spans="3:13" x14ac:dyDescent="0.3">
      <c r="C687" s="296" t="s">
        <v>407</v>
      </c>
      <c r="D687" s="19">
        <v>333</v>
      </c>
      <c r="E687" s="19">
        <v>366</v>
      </c>
      <c r="F687" s="19">
        <v>211</v>
      </c>
      <c r="G687" s="19">
        <v>288</v>
      </c>
      <c r="H687" s="19">
        <v>479</v>
      </c>
      <c r="I687" s="19">
        <v>917</v>
      </c>
      <c r="J687" s="107">
        <v>1555</v>
      </c>
      <c r="K687" s="107">
        <v>1227</v>
      </c>
      <c r="L687" s="107">
        <v>1116</v>
      </c>
      <c r="M687" s="19">
        <v>1305</v>
      </c>
    </row>
    <row r="688" spans="3:13" x14ac:dyDescent="0.3">
      <c r="C688" s="19"/>
      <c r="D688" s="22">
        <f>SUM(D684:D687)</f>
        <v>435</v>
      </c>
      <c r="E688" s="22">
        <f t="shared" ref="E688:M688" si="39">SUM(E684:E687)</f>
        <v>1085</v>
      </c>
      <c r="F688" s="22">
        <f t="shared" si="39"/>
        <v>533</v>
      </c>
      <c r="G688" s="22">
        <f t="shared" si="39"/>
        <v>263</v>
      </c>
      <c r="H688" s="22">
        <f t="shared" si="39"/>
        <v>1455</v>
      </c>
      <c r="I688" s="22">
        <f t="shared" si="39"/>
        <v>2266</v>
      </c>
      <c r="J688" s="22">
        <f t="shared" si="39"/>
        <v>2027</v>
      </c>
      <c r="K688" s="22">
        <f t="shared" si="39"/>
        <v>2300</v>
      </c>
      <c r="L688" s="22">
        <f t="shared" si="39"/>
        <v>1120</v>
      </c>
      <c r="M688" s="22">
        <f t="shared" si="39"/>
        <v>2284</v>
      </c>
    </row>
    <row r="689" spans="3:17" x14ac:dyDescent="0.3">
      <c r="E689" s="46"/>
    </row>
    <row r="690" spans="3:17" ht="43.5" customHeight="1" x14ac:dyDescent="0.3">
      <c r="C690" s="1105" t="s">
        <v>456</v>
      </c>
      <c r="D690" s="1106"/>
    </row>
    <row r="691" spans="3:17" x14ac:dyDescent="0.3">
      <c r="C691" s="54" t="s">
        <v>455</v>
      </c>
    </row>
    <row r="692" spans="3:17" ht="11.25" customHeight="1" x14ac:dyDescent="0.3">
      <c r="C692" s="54" t="s">
        <v>457</v>
      </c>
    </row>
    <row r="693" spans="3:17" ht="27.75" customHeight="1" x14ac:dyDescent="0.3">
      <c r="E693" s="1097" t="s">
        <v>400</v>
      </c>
      <c r="F693" s="1098"/>
      <c r="G693" s="1098"/>
      <c r="H693" s="1099"/>
      <c r="I693" s="1097" t="s">
        <v>403</v>
      </c>
      <c r="J693" s="1098"/>
      <c r="K693" s="1098"/>
      <c r="L693" s="1098"/>
      <c r="M693" s="1099"/>
      <c r="N693" s="1102" t="s">
        <v>462</v>
      </c>
      <c r="O693" s="1102"/>
      <c r="P693" s="1102"/>
      <c r="Q693" s="1102"/>
    </row>
    <row r="694" spans="3:17" x14ac:dyDescent="0.3">
      <c r="C694" s="325" t="s">
        <v>49</v>
      </c>
      <c r="D694" s="325" t="s">
        <v>50</v>
      </c>
      <c r="E694" s="1">
        <v>2016</v>
      </c>
      <c r="F694" s="1">
        <v>2017</v>
      </c>
      <c r="G694" s="1">
        <v>2018</v>
      </c>
      <c r="H694" s="1">
        <v>2019</v>
      </c>
      <c r="I694" s="1">
        <v>2016</v>
      </c>
      <c r="J694" s="1"/>
      <c r="K694" s="1">
        <v>2017</v>
      </c>
      <c r="L694" s="1">
        <v>2018</v>
      </c>
      <c r="M694" s="1">
        <v>2019</v>
      </c>
      <c r="N694" s="1">
        <v>2016</v>
      </c>
      <c r="O694" s="1">
        <v>2017</v>
      </c>
      <c r="P694" s="1">
        <v>2018</v>
      </c>
      <c r="Q694" s="1">
        <v>2019</v>
      </c>
    </row>
    <row r="695" spans="3:17" x14ac:dyDescent="0.3">
      <c r="C695" s="296" t="s">
        <v>458</v>
      </c>
      <c r="D695" s="19"/>
      <c r="E695" s="19">
        <v>385</v>
      </c>
      <c r="F695" s="19">
        <v>540</v>
      </c>
      <c r="G695" s="19">
        <v>554</v>
      </c>
      <c r="H695" s="19">
        <v>668</v>
      </c>
      <c r="I695" s="19"/>
      <c r="J695" s="19"/>
      <c r="K695" s="19">
        <v>671</v>
      </c>
      <c r="L695" s="19">
        <v>814</v>
      </c>
      <c r="M695" s="107">
        <v>2296</v>
      </c>
      <c r="N695" s="19"/>
      <c r="O695" s="19"/>
      <c r="P695" s="107">
        <v>3793</v>
      </c>
      <c r="Q695" s="107">
        <v>4065</v>
      </c>
    </row>
    <row r="696" spans="3:17" x14ac:dyDescent="0.3">
      <c r="C696" s="19" t="s">
        <v>459</v>
      </c>
      <c r="D696" s="19"/>
      <c r="E696" s="107">
        <v>3872</v>
      </c>
      <c r="F696" s="107">
        <v>3715</v>
      </c>
      <c r="G696" s="107">
        <v>4040</v>
      </c>
      <c r="H696" s="107">
        <v>14505</v>
      </c>
      <c r="I696" s="107"/>
      <c r="J696" s="107"/>
      <c r="K696" s="107">
        <v>3606</v>
      </c>
      <c r="L696" s="107">
        <v>3475</v>
      </c>
      <c r="M696" s="107">
        <v>14896</v>
      </c>
      <c r="N696" s="19"/>
      <c r="O696" s="19"/>
      <c r="P696" s="19">
        <v>38</v>
      </c>
      <c r="Q696" s="19">
        <v>35</v>
      </c>
    </row>
    <row r="697" spans="3:17" x14ac:dyDescent="0.3">
      <c r="C697" s="296" t="s">
        <v>460</v>
      </c>
      <c r="D697" s="19"/>
      <c r="E697" s="19">
        <v>9</v>
      </c>
      <c r="F697" s="19">
        <v>13</v>
      </c>
      <c r="G697" s="19">
        <v>13</v>
      </c>
      <c r="H697" s="296" t="s">
        <v>40</v>
      </c>
      <c r="I697" s="19"/>
      <c r="J697" s="19"/>
      <c r="K697" s="19">
        <v>166</v>
      </c>
      <c r="L697" s="19">
        <v>104</v>
      </c>
      <c r="M697" s="296" t="s">
        <v>40</v>
      </c>
      <c r="N697" s="19"/>
      <c r="O697" s="19"/>
      <c r="P697" s="296" t="s">
        <v>40</v>
      </c>
      <c r="Q697" s="296" t="s">
        <v>40</v>
      </c>
    </row>
    <row r="698" spans="3:17" x14ac:dyDescent="0.3">
      <c r="C698" s="19" t="s">
        <v>461</v>
      </c>
      <c r="D698" s="19"/>
      <c r="E698" s="107">
        <v>2112</v>
      </c>
      <c r="F698" s="107">
        <v>1703</v>
      </c>
      <c r="G698" s="107">
        <v>1994</v>
      </c>
      <c r="H698" s="107">
        <v>12937</v>
      </c>
      <c r="I698" s="107"/>
      <c r="J698" s="107"/>
      <c r="K698" s="107">
        <v>5290</v>
      </c>
      <c r="L698" s="107">
        <v>4872</v>
      </c>
      <c r="M698" s="107">
        <v>19561</v>
      </c>
      <c r="N698" s="19"/>
      <c r="O698" s="19"/>
      <c r="P698" s="19">
        <v>842</v>
      </c>
      <c r="Q698" s="107">
        <v>1113</v>
      </c>
    </row>
    <row r="699" spans="3:17" x14ac:dyDescent="0.3">
      <c r="C699" s="19" t="s">
        <v>198</v>
      </c>
      <c r="D699" s="19"/>
      <c r="E699" s="19">
        <v>787</v>
      </c>
      <c r="F699" s="19">
        <v>966</v>
      </c>
      <c r="G699" s="107">
        <v>1203</v>
      </c>
      <c r="H699" s="107">
        <v>1024</v>
      </c>
      <c r="I699" s="19"/>
      <c r="J699" s="19"/>
      <c r="K699" s="296">
        <v>-78</v>
      </c>
      <c r="L699" s="19">
        <v>193</v>
      </c>
      <c r="M699" s="296">
        <v>-565</v>
      </c>
      <c r="N699" s="19"/>
      <c r="O699" s="19"/>
      <c r="P699" s="107">
        <v>2391</v>
      </c>
      <c r="Q699" s="107">
        <v>2390</v>
      </c>
    </row>
    <row r="700" spans="3:17" x14ac:dyDescent="0.3">
      <c r="C700" s="296" t="s">
        <v>16</v>
      </c>
      <c r="D700" s="19"/>
      <c r="E700" s="107">
        <v>1349</v>
      </c>
      <c r="F700" s="107">
        <v>1573</v>
      </c>
      <c r="G700" s="107">
        <v>1384</v>
      </c>
      <c r="H700" s="107">
        <v>1212</v>
      </c>
      <c r="I700" s="107"/>
      <c r="J700" s="107"/>
      <c r="K700" s="296">
        <v>-1101</v>
      </c>
      <c r="L700" s="296">
        <v>-880</v>
      </c>
      <c r="M700" s="296">
        <v>-1805</v>
      </c>
      <c r="N700" s="19"/>
      <c r="O700" s="19"/>
      <c r="P700" s="19">
        <v>598</v>
      </c>
      <c r="Q700" s="19">
        <v>597</v>
      </c>
    </row>
    <row r="701" spans="3:17" x14ac:dyDescent="0.3">
      <c r="C701" s="19"/>
      <c r="D701" s="19"/>
      <c r="E701" s="19"/>
      <c r="F701" s="19"/>
      <c r="G701" s="19"/>
      <c r="H701" s="19"/>
      <c r="I701" s="19"/>
      <c r="J701" s="19"/>
      <c r="K701" s="19"/>
      <c r="L701" s="19"/>
      <c r="M701" s="19"/>
      <c r="N701" s="19"/>
      <c r="O701" s="19"/>
      <c r="P701" s="19"/>
      <c r="Q701" s="19"/>
    </row>
    <row r="703" spans="3:17" x14ac:dyDescent="0.3">
      <c r="C703" s="54" t="s">
        <v>463</v>
      </c>
      <c r="E703" s="1097" t="s">
        <v>400</v>
      </c>
      <c r="F703" s="1098"/>
      <c r="G703" s="1098"/>
      <c r="H703" s="1099"/>
      <c r="I703" s="1097" t="s">
        <v>403</v>
      </c>
      <c r="J703" s="1098"/>
      <c r="K703" s="1098"/>
      <c r="L703" s="1098"/>
      <c r="M703" s="1099"/>
      <c r="N703" s="1102" t="s">
        <v>462</v>
      </c>
      <c r="O703" s="1102"/>
      <c r="P703" s="1102"/>
      <c r="Q703" s="1102"/>
    </row>
    <row r="704" spans="3:17" s="28" customFormat="1" ht="35.25" customHeight="1" x14ac:dyDescent="0.3">
      <c r="C704" s="326" t="s">
        <v>49</v>
      </c>
      <c r="D704" s="326" t="s">
        <v>50</v>
      </c>
      <c r="E704" s="1">
        <v>2016</v>
      </c>
      <c r="F704" s="1">
        <v>2017</v>
      </c>
      <c r="G704" s="1">
        <v>2018</v>
      </c>
      <c r="H704" s="1">
        <v>2019</v>
      </c>
      <c r="I704" s="1">
        <v>2016</v>
      </c>
      <c r="J704" s="1"/>
      <c r="K704" s="1">
        <v>2017</v>
      </c>
      <c r="L704" s="1">
        <v>2018</v>
      </c>
      <c r="M704" s="1">
        <v>2019</v>
      </c>
      <c r="N704" s="1">
        <v>2016</v>
      </c>
      <c r="O704" s="1">
        <v>2017</v>
      </c>
      <c r="P704" s="1">
        <v>2018</v>
      </c>
      <c r="Q704" s="1">
        <v>2019</v>
      </c>
    </row>
    <row r="705" spans="3:17" x14ac:dyDescent="0.3">
      <c r="C705" s="19" t="s">
        <v>464</v>
      </c>
      <c r="D705" s="19"/>
      <c r="E705" s="107">
        <v>2206</v>
      </c>
      <c r="F705" s="107">
        <v>2544</v>
      </c>
      <c r="G705" s="107">
        <v>1807</v>
      </c>
      <c r="H705" s="107">
        <v>1497</v>
      </c>
      <c r="I705" s="19"/>
      <c r="J705" s="19"/>
      <c r="K705" s="107">
        <v>9410</v>
      </c>
      <c r="L705" s="107">
        <v>4557</v>
      </c>
      <c r="M705" s="19">
        <v>666</v>
      </c>
      <c r="N705" s="19"/>
      <c r="O705" s="19"/>
      <c r="P705" s="19">
        <v>0</v>
      </c>
      <c r="Q705" s="19">
        <v>0</v>
      </c>
    </row>
    <row r="706" spans="3:17" x14ac:dyDescent="0.3">
      <c r="C706" s="19" t="s">
        <v>465</v>
      </c>
      <c r="D706" s="19"/>
      <c r="E706" s="107">
        <v>1885</v>
      </c>
      <c r="F706" s="107">
        <v>2125</v>
      </c>
      <c r="G706" s="107">
        <v>1615</v>
      </c>
      <c r="H706" s="107">
        <v>1542</v>
      </c>
      <c r="I706" s="19"/>
      <c r="J706" s="19"/>
      <c r="K706" s="107">
        <v>7577</v>
      </c>
      <c r="L706" s="107">
        <v>3738</v>
      </c>
      <c r="M706" s="19">
        <v>707</v>
      </c>
      <c r="N706" s="19"/>
      <c r="O706" s="19"/>
      <c r="P706" s="19">
        <v>0</v>
      </c>
      <c r="Q706" s="19">
        <v>2</v>
      </c>
    </row>
    <row r="707" spans="3:17" x14ac:dyDescent="0.3">
      <c r="C707" s="19" t="s">
        <v>466</v>
      </c>
      <c r="D707" s="19"/>
      <c r="E707" s="19">
        <v>321</v>
      </c>
      <c r="F707" s="19">
        <v>419</v>
      </c>
      <c r="G707" s="19">
        <v>192</v>
      </c>
      <c r="H707" s="296">
        <v>-45</v>
      </c>
      <c r="I707" s="19"/>
      <c r="J707" s="19"/>
      <c r="K707" s="107">
        <v>1833</v>
      </c>
      <c r="L707" s="19">
        <v>819</v>
      </c>
      <c r="M707" s="296">
        <v>-41</v>
      </c>
      <c r="N707" s="19"/>
      <c r="O707" s="19"/>
      <c r="P707" s="19">
        <v>0</v>
      </c>
      <c r="Q707" s="296">
        <v>-2</v>
      </c>
    </row>
    <row r="708" spans="3:17" x14ac:dyDescent="0.3">
      <c r="C708" s="19" t="s">
        <v>6</v>
      </c>
      <c r="D708" s="19"/>
      <c r="E708" s="19">
        <v>112</v>
      </c>
      <c r="F708" s="19">
        <v>147</v>
      </c>
      <c r="G708" s="19">
        <v>67</v>
      </c>
      <c r="H708" s="296">
        <v>-17</v>
      </c>
      <c r="I708" s="19"/>
      <c r="J708" s="19"/>
      <c r="K708" s="19">
        <v>636</v>
      </c>
      <c r="L708" s="19">
        <v>287</v>
      </c>
      <c r="M708" s="296">
        <v>-20</v>
      </c>
      <c r="N708" s="19"/>
      <c r="O708" s="19"/>
      <c r="P708" s="19">
        <v>0</v>
      </c>
      <c r="Q708" s="19">
        <v>0</v>
      </c>
    </row>
    <row r="709" spans="3:17" x14ac:dyDescent="0.3">
      <c r="C709" s="19" t="s">
        <v>467</v>
      </c>
      <c r="D709" s="19"/>
      <c r="E709" s="19">
        <v>209</v>
      </c>
      <c r="F709" s="19">
        <v>272</v>
      </c>
      <c r="G709" s="19">
        <v>125</v>
      </c>
      <c r="H709" s="296">
        <v>-28</v>
      </c>
      <c r="I709" s="19"/>
      <c r="J709" s="19"/>
      <c r="K709" s="107">
        <v>1197</v>
      </c>
      <c r="L709" s="19">
        <v>532</v>
      </c>
      <c r="M709" s="296">
        <v>-21</v>
      </c>
      <c r="N709" s="19"/>
      <c r="O709" s="19"/>
      <c r="P709" s="296" t="s">
        <v>40</v>
      </c>
      <c r="Q709" s="296">
        <v>-2</v>
      </c>
    </row>
    <row r="710" spans="3:17" x14ac:dyDescent="0.3">
      <c r="C710" s="19" t="s">
        <v>468</v>
      </c>
      <c r="D710" s="19"/>
      <c r="E710" s="296" t="s">
        <v>40</v>
      </c>
      <c r="F710" s="296" t="s">
        <v>40</v>
      </c>
      <c r="G710" s="296" t="s">
        <v>40</v>
      </c>
      <c r="H710" s="296" t="s">
        <v>40</v>
      </c>
      <c r="I710" s="19"/>
      <c r="J710" s="19"/>
      <c r="K710" s="296" t="s">
        <v>40</v>
      </c>
      <c r="L710" s="296" t="s">
        <v>40</v>
      </c>
      <c r="M710" s="296" t="s">
        <v>40</v>
      </c>
      <c r="N710" s="19"/>
      <c r="O710" s="19"/>
      <c r="P710" s="19">
        <v>0</v>
      </c>
      <c r="Q710" s="296" t="s">
        <v>40</v>
      </c>
    </row>
    <row r="711" spans="3:17" x14ac:dyDescent="0.3">
      <c r="C711" s="19" t="s">
        <v>469</v>
      </c>
      <c r="D711" s="19"/>
      <c r="E711" s="19">
        <v>209</v>
      </c>
      <c r="F711" s="19">
        <v>272</v>
      </c>
      <c r="G711" s="19">
        <v>125</v>
      </c>
      <c r="H711" s="296">
        <v>-28</v>
      </c>
      <c r="I711" s="19"/>
      <c r="J711" s="19"/>
      <c r="K711" s="107">
        <v>1197</v>
      </c>
      <c r="L711" s="19">
        <v>532</v>
      </c>
      <c r="M711" s="296">
        <v>-21</v>
      </c>
      <c r="N711" s="19"/>
      <c r="O711" s="19"/>
      <c r="P711" s="19">
        <v>0</v>
      </c>
      <c r="Q711" s="296">
        <v>-2</v>
      </c>
    </row>
    <row r="712" spans="3:17" x14ac:dyDescent="0.3">
      <c r="C712" s="19" t="s">
        <v>470</v>
      </c>
      <c r="D712" s="19"/>
      <c r="E712" s="19">
        <v>107</v>
      </c>
      <c r="F712" s="19">
        <v>139</v>
      </c>
      <c r="G712" s="19">
        <v>64</v>
      </c>
      <c r="H712" s="296">
        <v>-14</v>
      </c>
      <c r="I712" s="19"/>
      <c r="J712" s="19"/>
      <c r="K712" s="19">
        <v>611</v>
      </c>
      <c r="L712" s="19">
        <v>271</v>
      </c>
      <c r="M712" s="296">
        <v>-11</v>
      </c>
      <c r="N712" s="19"/>
      <c r="O712" s="19"/>
      <c r="P712" s="19">
        <v>0</v>
      </c>
      <c r="Q712" s="296">
        <v>-2</v>
      </c>
    </row>
    <row r="713" spans="3:17" x14ac:dyDescent="0.3">
      <c r="C713" s="296" t="s">
        <v>471</v>
      </c>
      <c r="D713" s="19"/>
      <c r="E713" s="19">
        <v>102</v>
      </c>
      <c r="F713" s="19">
        <v>133</v>
      </c>
      <c r="G713" s="19">
        <v>61</v>
      </c>
      <c r="H713" s="296">
        <v>-14</v>
      </c>
      <c r="I713" s="19"/>
      <c r="J713" s="19"/>
      <c r="K713" s="19">
        <v>586</v>
      </c>
      <c r="L713" s="19">
        <v>261</v>
      </c>
      <c r="M713" s="296">
        <v>-10</v>
      </c>
      <c r="N713" s="19"/>
      <c r="O713" s="19"/>
      <c r="P713" s="19"/>
      <c r="Q713" s="19">
        <v>0</v>
      </c>
    </row>
    <row r="715" spans="3:17" x14ac:dyDescent="0.3">
      <c r="C715" s="54" t="s">
        <v>472</v>
      </c>
    </row>
    <row r="716" spans="3:17" x14ac:dyDescent="0.3">
      <c r="E716" s="1084" t="s">
        <v>400</v>
      </c>
      <c r="F716" s="1085"/>
      <c r="G716" s="1085"/>
      <c r="H716" s="1086"/>
      <c r="I716" s="1084" t="s">
        <v>403</v>
      </c>
      <c r="J716" s="1085"/>
      <c r="K716" s="1085"/>
      <c r="L716" s="1085"/>
      <c r="M716" s="1086"/>
      <c r="N716" s="1072" t="s">
        <v>462</v>
      </c>
      <c r="O716" s="1072"/>
      <c r="P716" s="1072"/>
      <c r="Q716" s="1072"/>
    </row>
    <row r="717" spans="3:17" x14ac:dyDescent="0.3">
      <c r="C717" s="326" t="s">
        <v>49</v>
      </c>
      <c r="D717" s="326" t="s">
        <v>50</v>
      </c>
      <c r="E717" s="1">
        <v>2016</v>
      </c>
      <c r="F717" s="1">
        <v>2017</v>
      </c>
      <c r="G717" s="1">
        <v>2018</v>
      </c>
      <c r="H717" s="1">
        <v>2019</v>
      </c>
      <c r="I717" s="1">
        <v>2016</v>
      </c>
      <c r="J717" s="1"/>
      <c r="K717" s="1">
        <v>2017</v>
      </c>
      <c r="L717" s="1">
        <v>2018</v>
      </c>
      <c r="M717" s="1">
        <v>2019</v>
      </c>
      <c r="N717" s="1">
        <v>2016</v>
      </c>
      <c r="O717" s="1">
        <v>2017</v>
      </c>
      <c r="P717" s="1">
        <v>2018</v>
      </c>
      <c r="Q717" s="1">
        <v>2019</v>
      </c>
    </row>
    <row r="718" spans="3:17" x14ac:dyDescent="0.3">
      <c r="C718" s="19" t="s">
        <v>473</v>
      </c>
      <c r="D718" s="19"/>
      <c r="E718" s="19">
        <v>193</v>
      </c>
      <c r="F718" s="296">
        <v>-248</v>
      </c>
      <c r="G718" s="107">
        <v>197</v>
      </c>
      <c r="H718" s="107">
        <v>343</v>
      </c>
      <c r="I718" s="19"/>
      <c r="J718" s="19"/>
      <c r="K718" s="19">
        <v>109</v>
      </c>
      <c r="L718" s="107">
        <v>116</v>
      </c>
      <c r="M718" s="19">
        <v>367</v>
      </c>
      <c r="N718" s="19"/>
      <c r="O718" s="19"/>
      <c r="P718" s="107">
        <v>4290</v>
      </c>
      <c r="Q718" s="19">
        <v>26</v>
      </c>
    </row>
    <row r="719" spans="3:17" x14ac:dyDescent="0.3">
      <c r="C719" s="19" t="s">
        <v>474</v>
      </c>
      <c r="D719" s="19"/>
      <c r="E719" s="19">
        <v>0</v>
      </c>
      <c r="F719" s="19">
        <v>0</v>
      </c>
      <c r="G719" s="296" t="s">
        <v>40</v>
      </c>
      <c r="H719" s="296">
        <v>-1</v>
      </c>
      <c r="I719" s="19"/>
      <c r="J719" s="19"/>
      <c r="K719" s="296">
        <v>-120</v>
      </c>
      <c r="L719" s="296">
        <v>-129</v>
      </c>
      <c r="M719" s="296">
        <v>-368</v>
      </c>
      <c r="N719" s="19"/>
      <c r="O719" s="19"/>
      <c r="P719" s="296">
        <v>-3771</v>
      </c>
      <c r="Q719" s="296">
        <v>-209</v>
      </c>
    </row>
    <row r="720" spans="3:17" x14ac:dyDescent="0.3">
      <c r="C720" s="19" t="s">
        <v>475</v>
      </c>
      <c r="D720" s="19"/>
      <c r="E720" s="296">
        <v>-48</v>
      </c>
      <c r="F720" s="19">
        <v>127</v>
      </c>
      <c r="G720" s="296">
        <v>-80</v>
      </c>
      <c r="H720" s="296">
        <v>-57</v>
      </c>
      <c r="I720" s="19"/>
      <c r="J720" s="19"/>
      <c r="K720" s="296">
        <v>-170</v>
      </c>
      <c r="L720" s="296">
        <v>-49</v>
      </c>
      <c r="M720" s="296" t="s">
        <v>40</v>
      </c>
      <c r="N720" s="19"/>
      <c r="O720" s="19"/>
      <c r="P720" s="296">
        <v>-516</v>
      </c>
      <c r="Q720" s="19">
        <v>182</v>
      </c>
    </row>
    <row r="721" spans="3:17" x14ac:dyDescent="0.3">
      <c r="C721" s="22" t="s">
        <v>476</v>
      </c>
      <c r="D721" s="19"/>
      <c r="E721" s="19">
        <v>145</v>
      </c>
      <c r="F721" s="296">
        <v>-121</v>
      </c>
      <c r="G721" s="19">
        <v>117</v>
      </c>
      <c r="H721" s="19">
        <v>285</v>
      </c>
      <c r="I721" s="19"/>
      <c r="J721" s="19"/>
      <c r="K721" s="296">
        <v>-181</v>
      </c>
      <c r="L721" s="296">
        <v>-62</v>
      </c>
      <c r="M721" s="296">
        <v>-1</v>
      </c>
      <c r="N721" s="19"/>
      <c r="O721" s="19"/>
      <c r="P721" s="19">
        <v>3</v>
      </c>
      <c r="Q721" s="296">
        <v>-1</v>
      </c>
    </row>
    <row r="722" spans="3:17" x14ac:dyDescent="0.3">
      <c r="C722" s="19"/>
      <c r="D722" s="19"/>
      <c r="E722" s="19"/>
      <c r="F722" s="19"/>
      <c r="G722" s="19"/>
      <c r="H722" s="19"/>
      <c r="I722" s="19"/>
      <c r="J722" s="19"/>
      <c r="K722" s="19"/>
      <c r="L722" s="19"/>
      <c r="M722" s="19"/>
      <c r="N722" s="19"/>
      <c r="O722" s="19"/>
      <c r="P722" s="19"/>
      <c r="Q722" s="19"/>
    </row>
    <row r="724" spans="3:17" ht="33.75" customHeight="1" x14ac:dyDescent="0.3">
      <c r="C724" s="28" t="s">
        <v>477</v>
      </c>
    </row>
    <row r="726" spans="3:17" ht="14.5" x14ac:dyDescent="0.35">
      <c r="C726" s="1065" t="s">
        <v>587</v>
      </c>
      <c r="D726" s="1065"/>
      <c r="E726" s="1065"/>
      <c r="F726" s="1065"/>
      <c r="G726" s="1065"/>
      <c r="H726" s="1065"/>
      <c r="I726" s="1065"/>
    </row>
    <row r="727" spans="3:17" x14ac:dyDescent="0.3">
      <c r="C727" s="1" t="s">
        <v>49</v>
      </c>
      <c r="D727" s="1" t="s">
        <v>50</v>
      </c>
      <c r="E727" s="1">
        <v>2016</v>
      </c>
      <c r="F727" s="1">
        <v>2017</v>
      </c>
      <c r="G727" s="1">
        <v>2018</v>
      </c>
      <c r="H727" s="1">
        <v>2019</v>
      </c>
      <c r="I727" s="22">
        <v>2020</v>
      </c>
    </row>
    <row r="728" spans="3:17" x14ac:dyDescent="0.3">
      <c r="C728" s="19" t="s">
        <v>269</v>
      </c>
      <c r="D728" s="19"/>
      <c r="E728" s="19"/>
      <c r="F728" s="19"/>
      <c r="G728" s="19"/>
      <c r="H728" s="19"/>
      <c r="I728" s="19"/>
    </row>
    <row r="729" spans="3:17" x14ac:dyDescent="0.3">
      <c r="C729" s="19" t="s">
        <v>478</v>
      </c>
      <c r="D729" s="19" t="s">
        <v>480</v>
      </c>
      <c r="E729" s="19"/>
      <c r="F729" s="19"/>
      <c r="G729" s="19"/>
      <c r="H729" s="19"/>
      <c r="I729" s="19"/>
    </row>
    <row r="730" spans="3:17" x14ac:dyDescent="0.3">
      <c r="C730" s="296" t="s">
        <v>483</v>
      </c>
      <c r="D730" s="19"/>
      <c r="E730" s="19">
        <v>22152</v>
      </c>
      <c r="F730" s="107">
        <v>27353</v>
      </c>
      <c r="G730" s="107">
        <v>29267</v>
      </c>
      <c r="H730" s="107">
        <v>31188</v>
      </c>
      <c r="I730" s="107">
        <v>52947</v>
      </c>
    </row>
    <row r="731" spans="3:17" x14ac:dyDescent="0.3">
      <c r="C731" s="296" t="s">
        <v>482</v>
      </c>
      <c r="D731" s="19"/>
      <c r="E731" s="19">
        <v>3682</v>
      </c>
      <c r="F731" s="107">
        <v>2666</v>
      </c>
      <c r="G731" s="107">
        <v>2487</v>
      </c>
      <c r="H731" s="107">
        <v>4522</v>
      </c>
      <c r="I731" s="107">
        <v>5734</v>
      </c>
    </row>
    <row r="732" spans="3:17" x14ac:dyDescent="0.3">
      <c r="C732" s="19" t="s">
        <v>479</v>
      </c>
      <c r="D732" s="19" t="s">
        <v>481</v>
      </c>
      <c r="E732" s="19">
        <v>4976</v>
      </c>
      <c r="F732" s="107">
        <v>4983</v>
      </c>
      <c r="G732" s="107">
        <v>7989</v>
      </c>
      <c r="H732" s="107">
        <v>11484</v>
      </c>
      <c r="I732" s="107">
        <v>3499</v>
      </c>
    </row>
    <row r="733" spans="3:17" x14ac:dyDescent="0.3">
      <c r="C733" s="19" t="s">
        <v>484</v>
      </c>
      <c r="D733" s="19"/>
      <c r="E733" s="19"/>
      <c r="F733" s="19"/>
      <c r="G733" s="19"/>
      <c r="H733" s="19"/>
      <c r="I733" s="107"/>
    </row>
    <row r="734" spans="3:17" x14ac:dyDescent="0.3">
      <c r="C734" s="296" t="s">
        <v>486</v>
      </c>
      <c r="D734" s="19"/>
      <c r="E734" s="19">
        <v>313</v>
      </c>
      <c r="F734" s="296" t="s">
        <v>40</v>
      </c>
      <c r="G734" s="19"/>
      <c r="H734" s="19"/>
      <c r="I734" s="107"/>
    </row>
    <row r="735" spans="3:17" x14ac:dyDescent="0.3">
      <c r="C735" s="291" t="s">
        <v>485</v>
      </c>
      <c r="D735" s="22"/>
      <c r="E735" s="293">
        <f>SUM(E730:E734)</f>
        <v>31123</v>
      </c>
      <c r="F735" s="293">
        <f t="shared" ref="F735:G735" si="40">SUM(F730:F734)</f>
        <v>35002</v>
      </c>
      <c r="G735" s="293">
        <f t="shared" si="40"/>
        <v>39743</v>
      </c>
      <c r="H735" s="293">
        <f>SUM(H730:H734)</f>
        <v>47194</v>
      </c>
      <c r="I735" s="293">
        <f t="shared" ref="I735" si="41">SUM(I730:I734)</f>
        <v>62180</v>
      </c>
    </row>
    <row r="736" spans="3:17" x14ac:dyDescent="0.3">
      <c r="C736" s="19"/>
      <c r="D736" s="19"/>
      <c r="E736" s="19"/>
      <c r="F736" s="19"/>
      <c r="G736" s="19"/>
      <c r="H736" s="19"/>
      <c r="I736" s="19"/>
    </row>
    <row r="737" spans="3:9" x14ac:dyDescent="0.3">
      <c r="C737" s="19" t="s">
        <v>941</v>
      </c>
      <c r="D737" s="19"/>
      <c r="E737" s="107">
        <v>7479</v>
      </c>
      <c r="F737" s="107">
        <v>7219</v>
      </c>
      <c r="G737" s="107">
        <v>12716</v>
      </c>
      <c r="H737" s="107">
        <v>13879</v>
      </c>
      <c r="I737" s="107">
        <v>35537</v>
      </c>
    </row>
    <row r="739" spans="3:9" ht="14.5" x14ac:dyDescent="0.35">
      <c r="C739" s="1080" t="s">
        <v>588</v>
      </c>
      <c r="D739" s="1080"/>
      <c r="E739" s="1080"/>
      <c r="F739" s="1080"/>
      <c r="G739" s="1080"/>
      <c r="H739" s="1080"/>
    </row>
    <row r="740" spans="3:9" x14ac:dyDescent="0.3">
      <c r="C740" s="1" t="s">
        <v>49</v>
      </c>
      <c r="D740" s="1" t="s">
        <v>50</v>
      </c>
      <c r="E740" s="1">
        <v>2016</v>
      </c>
      <c r="F740" s="1">
        <v>2017</v>
      </c>
      <c r="G740" s="1">
        <v>2018</v>
      </c>
      <c r="H740" s="1">
        <v>2019</v>
      </c>
      <c r="I740" s="54">
        <v>2020</v>
      </c>
    </row>
    <row r="741" spans="3:9" x14ac:dyDescent="0.3">
      <c r="C741" s="22" t="s">
        <v>269</v>
      </c>
      <c r="D741" s="19"/>
      <c r="E741" s="19"/>
      <c r="F741" s="19"/>
      <c r="G741" s="19"/>
      <c r="H741" s="19"/>
      <c r="I741" s="54"/>
    </row>
    <row r="742" spans="3:9" x14ac:dyDescent="0.3">
      <c r="C742" s="19" t="s">
        <v>270</v>
      </c>
      <c r="D742" s="19"/>
      <c r="E742" s="107">
        <v>1535</v>
      </c>
      <c r="F742" s="107">
        <v>1175</v>
      </c>
      <c r="G742" s="107">
        <v>1313</v>
      </c>
      <c r="H742" s="107">
        <v>1223</v>
      </c>
      <c r="I742" s="17">
        <v>1944</v>
      </c>
    </row>
    <row r="743" spans="3:9" x14ac:dyDescent="0.3">
      <c r="C743" s="19" t="s">
        <v>487</v>
      </c>
      <c r="D743" s="19"/>
      <c r="E743" s="19">
        <v>569</v>
      </c>
      <c r="F743" s="19">
        <v>475</v>
      </c>
      <c r="G743" s="19">
        <v>389</v>
      </c>
      <c r="H743" s="19">
        <v>290</v>
      </c>
      <c r="I743" s="17">
        <v>7431</v>
      </c>
    </row>
    <row r="744" spans="3:9" x14ac:dyDescent="0.3">
      <c r="C744" s="19"/>
      <c r="D744" s="19"/>
      <c r="E744" s="293">
        <f t="shared" ref="E744:I744" si="42">SUM(E742:E743)</f>
        <v>2104</v>
      </c>
      <c r="F744" s="293">
        <f t="shared" si="42"/>
        <v>1650</v>
      </c>
      <c r="G744" s="293">
        <f t="shared" si="42"/>
        <v>1702</v>
      </c>
      <c r="H744" s="293">
        <f t="shared" si="42"/>
        <v>1513</v>
      </c>
      <c r="I744" s="293">
        <f t="shared" si="42"/>
        <v>9375</v>
      </c>
    </row>
    <row r="746" spans="3:9" ht="14.5" x14ac:dyDescent="0.35">
      <c r="C746" s="1065" t="s">
        <v>589</v>
      </c>
      <c r="D746" s="1065"/>
      <c r="E746" s="1065"/>
      <c r="F746" s="1065"/>
      <c r="G746" s="1065"/>
      <c r="H746" s="1065"/>
      <c r="I746" s="1065"/>
    </row>
    <row r="747" spans="3:9" x14ac:dyDescent="0.3">
      <c r="C747" s="1" t="s">
        <v>49</v>
      </c>
      <c r="D747" s="1" t="s">
        <v>50</v>
      </c>
      <c r="E747" s="1">
        <v>2016</v>
      </c>
      <c r="F747" s="1">
        <v>2017</v>
      </c>
      <c r="G747" s="1">
        <v>2018</v>
      </c>
      <c r="H747" s="1">
        <v>2019</v>
      </c>
      <c r="I747" s="22">
        <v>2020</v>
      </c>
    </row>
    <row r="748" spans="3:9" x14ac:dyDescent="0.3">
      <c r="C748" s="22" t="s">
        <v>488</v>
      </c>
      <c r="D748" s="22"/>
      <c r="E748" s="22"/>
      <c r="F748" s="22"/>
      <c r="G748" s="22"/>
      <c r="H748" s="22"/>
      <c r="I748" s="19"/>
    </row>
    <row r="749" spans="3:9" x14ac:dyDescent="0.3">
      <c r="C749" s="296" t="s">
        <v>490</v>
      </c>
      <c r="D749" s="22"/>
      <c r="E749" s="19">
        <v>46</v>
      </c>
      <c r="F749" s="19">
        <v>107</v>
      </c>
      <c r="G749" s="19">
        <v>147</v>
      </c>
      <c r="H749" s="19">
        <v>218</v>
      </c>
      <c r="I749" s="19">
        <v>308</v>
      </c>
    </row>
    <row r="750" spans="3:9" x14ac:dyDescent="0.3">
      <c r="C750" s="296" t="s">
        <v>489</v>
      </c>
      <c r="D750" s="22"/>
      <c r="E750" s="19">
        <v>16</v>
      </c>
      <c r="F750" s="19">
        <v>14</v>
      </c>
      <c r="G750" s="19">
        <v>14</v>
      </c>
      <c r="H750" s="19">
        <v>13</v>
      </c>
      <c r="I750" s="19">
        <v>29</v>
      </c>
    </row>
    <row r="751" spans="3:9" x14ac:dyDescent="0.3">
      <c r="C751" s="22"/>
      <c r="D751" s="22"/>
      <c r="E751" s="19">
        <v>62</v>
      </c>
      <c r="F751" s="19">
        <v>121</v>
      </c>
      <c r="G751" s="19">
        <v>161</v>
      </c>
      <c r="H751" s="19">
        <v>231</v>
      </c>
      <c r="I751" s="19">
        <v>337</v>
      </c>
    </row>
    <row r="753" spans="3:9" ht="14.5" x14ac:dyDescent="0.35">
      <c r="C753" s="1068" t="s">
        <v>590</v>
      </c>
      <c r="D753" s="1068"/>
      <c r="E753" s="1068"/>
      <c r="F753" s="1068"/>
      <c r="G753" s="1068"/>
      <c r="H753" s="1068"/>
      <c r="I753" s="1068"/>
    </row>
    <row r="754" spans="3:9" x14ac:dyDescent="0.3">
      <c r="C754" s="1" t="s">
        <v>49</v>
      </c>
      <c r="D754" s="1" t="s">
        <v>50</v>
      </c>
      <c r="E754" s="1">
        <v>2016</v>
      </c>
      <c r="F754" s="1">
        <v>2017</v>
      </c>
      <c r="G754" s="1">
        <v>2018</v>
      </c>
      <c r="H754" s="1">
        <v>2019</v>
      </c>
      <c r="I754" s="22">
        <v>2020</v>
      </c>
    </row>
    <row r="755" spans="3:9" x14ac:dyDescent="0.3">
      <c r="C755" s="19" t="s">
        <v>491</v>
      </c>
      <c r="D755" s="19"/>
      <c r="E755" s="19"/>
      <c r="F755" s="19"/>
      <c r="G755" s="19"/>
      <c r="H755" s="19"/>
      <c r="I755" s="19"/>
    </row>
    <row r="756" spans="3:9" x14ac:dyDescent="0.3">
      <c r="C756" s="19" t="s">
        <v>492</v>
      </c>
      <c r="D756" s="19"/>
      <c r="E756" s="19"/>
      <c r="F756" s="19"/>
      <c r="G756" s="19"/>
      <c r="H756" s="19"/>
      <c r="I756" s="19"/>
    </row>
    <row r="757" spans="3:9" x14ac:dyDescent="0.3">
      <c r="C757" s="19" t="s">
        <v>493</v>
      </c>
      <c r="D757" s="19"/>
      <c r="E757" s="19">
        <v>0</v>
      </c>
      <c r="F757" s="19">
        <v>9</v>
      </c>
      <c r="G757" s="19">
        <v>10</v>
      </c>
      <c r="H757" s="19">
        <v>6</v>
      </c>
      <c r="I757" s="19">
        <v>50</v>
      </c>
    </row>
    <row r="758" spans="3:9" x14ac:dyDescent="0.3">
      <c r="C758" s="19" t="s">
        <v>494</v>
      </c>
      <c r="D758" s="19"/>
      <c r="E758" s="19">
        <v>35</v>
      </c>
      <c r="F758" s="19">
        <v>49</v>
      </c>
      <c r="G758" s="19">
        <v>62</v>
      </c>
      <c r="H758" s="19">
        <v>86</v>
      </c>
      <c r="I758" s="19">
        <v>106</v>
      </c>
    </row>
    <row r="759" spans="3:9" x14ac:dyDescent="0.3">
      <c r="C759" s="19" t="s">
        <v>495</v>
      </c>
      <c r="D759" s="19"/>
      <c r="E759" s="19">
        <v>12</v>
      </c>
      <c r="F759" s="19">
        <v>467</v>
      </c>
      <c r="G759" s="19">
        <v>511</v>
      </c>
      <c r="H759" s="19">
        <v>593</v>
      </c>
      <c r="I759" s="19">
        <v>341</v>
      </c>
    </row>
    <row r="760" spans="3:9" x14ac:dyDescent="0.3">
      <c r="C760" s="19" t="s">
        <v>496</v>
      </c>
      <c r="D760" s="19"/>
      <c r="E760" s="19">
        <v>75</v>
      </c>
      <c r="F760" s="19">
        <v>77</v>
      </c>
      <c r="G760" s="19">
        <v>74</v>
      </c>
      <c r="H760" s="19">
        <v>78</v>
      </c>
      <c r="I760" s="19">
        <v>55</v>
      </c>
    </row>
    <row r="761" spans="3:9" x14ac:dyDescent="0.3">
      <c r="C761" s="19" t="s">
        <v>497</v>
      </c>
      <c r="D761" s="19"/>
      <c r="E761" s="19">
        <v>2</v>
      </c>
      <c r="F761" s="19">
        <v>2</v>
      </c>
      <c r="G761" s="19">
        <v>2</v>
      </c>
      <c r="H761" s="19">
        <v>2</v>
      </c>
      <c r="I761" s="19">
        <v>1</v>
      </c>
    </row>
    <row r="762" spans="3:9" x14ac:dyDescent="0.3">
      <c r="C762" s="19" t="s">
        <v>498</v>
      </c>
      <c r="D762" s="19"/>
      <c r="E762" s="19">
        <v>391</v>
      </c>
      <c r="F762" s="19">
        <v>400</v>
      </c>
      <c r="G762" s="19">
        <v>400</v>
      </c>
      <c r="H762" s="19">
        <v>401</v>
      </c>
      <c r="I762" s="19">
        <v>282</v>
      </c>
    </row>
    <row r="763" spans="3:9" ht="28" x14ac:dyDescent="0.3">
      <c r="C763" s="308" t="s">
        <v>505</v>
      </c>
      <c r="D763" s="19"/>
      <c r="E763" s="19">
        <v>0</v>
      </c>
      <c r="F763" s="19"/>
      <c r="G763" s="296" t="s">
        <v>40</v>
      </c>
      <c r="H763" s="107">
        <v>4865</v>
      </c>
      <c r="I763" s="107">
        <v>3337</v>
      </c>
    </row>
    <row r="764" spans="3:9" ht="28" x14ac:dyDescent="0.3">
      <c r="C764" s="297" t="s">
        <v>506</v>
      </c>
      <c r="D764" s="19"/>
      <c r="E764" s="19">
        <v>39</v>
      </c>
      <c r="F764" s="19">
        <v>38</v>
      </c>
      <c r="G764" s="19">
        <v>32</v>
      </c>
      <c r="H764" s="19">
        <v>167</v>
      </c>
      <c r="I764" s="19">
        <v>284</v>
      </c>
    </row>
    <row r="765" spans="3:9" x14ac:dyDescent="0.3">
      <c r="C765" s="297" t="s">
        <v>874</v>
      </c>
      <c r="D765" s="19"/>
      <c r="E765" s="19"/>
      <c r="F765" s="19"/>
      <c r="G765" s="19"/>
      <c r="H765" s="19"/>
      <c r="I765" s="19">
        <v>213</v>
      </c>
    </row>
    <row r="766" spans="3:9" x14ac:dyDescent="0.3">
      <c r="C766" s="19" t="s">
        <v>499</v>
      </c>
      <c r="D766" s="19"/>
      <c r="E766" s="19">
        <v>65</v>
      </c>
      <c r="F766" s="19">
        <v>207</v>
      </c>
      <c r="G766" s="19">
        <v>192</v>
      </c>
      <c r="H766" s="19">
        <v>864</v>
      </c>
      <c r="I766" s="19">
        <v>963</v>
      </c>
    </row>
    <row r="767" spans="3:9" x14ac:dyDescent="0.3">
      <c r="C767" s="19" t="s">
        <v>116</v>
      </c>
      <c r="D767" s="19"/>
      <c r="E767" s="19">
        <v>3</v>
      </c>
      <c r="F767" s="19">
        <v>9</v>
      </c>
      <c r="G767" s="19">
        <v>1</v>
      </c>
      <c r="H767" s="19">
        <v>8</v>
      </c>
      <c r="I767" s="19">
        <v>8</v>
      </c>
    </row>
    <row r="768" spans="3:9" x14ac:dyDescent="0.3">
      <c r="C768" s="19"/>
      <c r="D768" s="19"/>
      <c r="E768" s="22">
        <f>SUM(E757:E767)</f>
        <v>622</v>
      </c>
      <c r="F768" s="22">
        <f t="shared" ref="F768:I768" si="43">SUM(F757:F767)</f>
        <v>1258</v>
      </c>
      <c r="G768" s="22">
        <f t="shared" si="43"/>
        <v>1284</v>
      </c>
      <c r="H768" s="22">
        <f t="shared" si="43"/>
        <v>7070</v>
      </c>
      <c r="I768" s="22">
        <f t="shared" si="43"/>
        <v>5640</v>
      </c>
    </row>
    <row r="769" spans="3:9" x14ac:dyDescent="0.3">
      <c r="C769" s="22" t="s">
        <v>500</v>
      </c>
      <c r="D769" s="19"/>
      <c r="E769" s="19"/>
      <c r="F769" s="19"/>
      <c r="G769" s="19"/>
      <c r="H769" s="19"/>
      <c r="I769" s="19"/>
    </row>
    <row r="770" spans="3:9" x14ac:dyDescent="0.3">
      <c r="C770" s="19" t="s">
        <v>492</v>
      </c>
      <c r="D770" s="19"/>
      <c r="E770" s="19"/>
      <c r="F770" s="19"/>
      <c r="G770" s="19"/>
      <c r="H770" s="19"/>
      <c r="I770" s="19"/>
    </row>
    <row r="771" spans="3:9" x14ac:dyDescent="0.3">
      <c r="C771" s="19" t="s">
        <v>501</v>
      </c>
      <c r="D771" s="19"/>
      <c r="E771" s="19">
        <v>41</v>
      </c>
      <c r="F771" s="19">
        <v>30</v>
      </c>
      <c r="G771" s="19">
        <v>20</v>
      </c>
      <c r="H771" s="19">
        <v>38</v>
      </c>
      <c r="I771" s="19">
        <v>95</v>
      </c>
    </row>
    <row r="772" spans="3:9" x14ac:dyDescent="0.3">
      <c r="C772" s="19" t="s">
        <v>493</v>
      </c>
      <c r="D772" s="19"/>
      <c r="E772" s="19">
        <v>166</v>
      </c>
      <c r="F772" s="19">
        <v>7</v>
      </c>
      <c r="G772" s="19">
        <v>21</v>
      </c>
      <c r="H772" s="19">
        <v>15</v>
      </c>
      <c r="I772" s="19">
        <v>4</v>
      </c>
    </row>
    <row r="773" spans="3:9" x14ac:dyDescent="0.3">
      <c r="C773" s="19" t="s">
        <v>502</v>
      </c>
      <c r="D773" s="19"/>
      <c r="E773" s="19">
        <v>0</v>
      </c>
      <c r="F773" s="19">
        <v>0</v>
      </c>
      <c r="G773" s="19">
        <v>34</v>
      </c>
      <c r="H773" s="19">
        <v>77</v>
      </c>
      <c r="I773" s="19">
        <v>0</v>
      </c>
    </row>
    <row r="774" spans="3:9" ht="28" x14ac:dyDescent="0.3">
      <c r="C774" s="297" t="s">
        <v>507</v>
      </c>
      <c r="D774" s="19"/>
      <c r="E774" s="19">
        <v>357</v>
      </c>
      <c r="F774" s="19">
        <v>491</v>
      </c>
      <c r="G774" s="19">
        <v>481</v>
      </c>
      <c r="H774" s="296" t="s">
        <v>40</v>
      </c>
      <c r="I774" s="19"/>
    </row>
    <row r="775" spans="3:9" ht="28" x14ac:dyDescent="0.3">
      <c r="C775" s="297" t="s">
        <v>508</v>
      </c>
      <c r="D775" s="19"/>
      <c r="E775" s="19">
        <v>1872</v>
      </c>
      <c r="F775" s="19">
        <v>2415</v>
      </c>
      <c r="G775" s="107">
        <v>2469</v>
      </c>
      <c r="H775" s="107">
        <v>3217</v>
      </c>
      <c r="I775" s="107">
        <v>2856</v>
      </c>
    </row>
    <row r="776" spans="3:9" x14ac:dyDescent="0.3">
      <c r="C776" s="19" t="s">
        <v>116</v>
      </c>
      <c r="D776" s="19"/>
      <c r="E776" s="19">
        <v>0</v>
      </c>
      <c r="F776" s="19">
        <v>5</v>
      </c>
      <c r="G776" s="19">
        <v>2</v>
      </c>
      <c r="H776" s="296" t="s">
        <v>40</v>
      </c>
      <c r="I776" s="19"/>
    </row>
    <row r="777" spans="3:9" x14ac:dyDescent="0.3">
      <c r="C777" s="19"/>
      <c r="D777" s="19"/>
      <c r="E777" s="19">
        <f>SUM(E771:E776)</f>
        <v>2436</v>
      </c>
      <c r="F777" s="19">
        <f t="shared" ref="F777:I777" si="44">SUM(F771:F776)</f>
        <v>2948</v>
      </c>
      <c r="G777" s="19">
        <f t="shared" si="44"/>
        <v>3027</v>
      </c>
      <c r="H777" s="19">
        <f t="shared" si="44"/>
        <v>3347</v>
      </c>
      <c r="I777" s="19">
        <f t="shared" si="44"/>
        <v>2955</v>
      </c>
    </row>
    <row r="778" spans="3:9" x14ac:dyDescent="0.3">
      <c r="C778" s="22" t="s">
        <v>503</v>
      </c>
      <c r="D778" s="22"/>
      <c r="E778" s="22">
        <f>E777-E768</f>
        <v>1814</v>
      </c>
      <c r="F778" s="22">
        <f t="shared" ref="F778:I778" si="45">F777-F768</f>
        <v>1690</v>
      </c>
      <c r="G778" s="22">
        <f t="shared" si="45"/>
        <v>1743</v>
      </c>
      <c r="H778" s="22">
        <f t="shared" si="45"/>
        <v>-3723</v>
      </c>
      <c r="I778" s="22">
        <f t="shared" si="45"/>
        <v>-2685</v>
      </c>
    </row>
    <row r="779" spans="3:9" x14ac:dyDescent="0.3">
      <c r="C779" s="19" t="s">
        <v>504</v>
      </c>
      <c r="D779" s="19"/>
      <c r="E779" s="19"/>
      <c r="F779" s="19"/>
      <c r="G779" s="19"/>
      <c r="H779" s="107"/>
      <c r="I779" s="19"/>
    </row>
    <row r="780" spans="3:9" x14ac:dyDescent="0.3">
      <c r="C780" s="296" t="s">
        <v>510</v>
      </c>
      <c r="D780" s="19"/>
      <c r="E780" s="19">
        <v>92</v>
      </c>
      <c r="F780" s="19">
        <v>1014</v>
      </c>
      <c r="G780" s="107">
        <v>691</v>
      </c>
      <c r="H780" s="107">
        <v>6374</v>
      </c>
      <c r="I780" s="107">
        <v>5640</v>
      </c>
    </row>
    <row r="781" spans="3:9" x14ac:dyDescent="0.3">
      <c r="C781" s="296" t="s">
        <v>509</v>
      </c>
      <c r="D781" s="19"/>
      <c r="E781" s="19">
        <v>1906</v>
      </c>
      <c r="F781" s="19">
        <v>2736</v>
      </c>
      <c r="G781" s="107">
        <v>2434</v>
      </c>
      <c r="H781" s="107">
        <v>2651</v>
      </c>
      <c r="I781" s="107">
        <v>2955</v>
      </c>
    </row>
    <row r="783" spans="3:9" ht="14.5" x14ac:dyDescent="0.35">
      <c r="C783" s="1068" t="s">
        <v>591</v>
      </c>
      <c r="D783" s="1068"/>
      <c r="E783" s="1068"/>
      <c r="F783" s="1068"/>
      <c r="G783" s="1068"/>
      <c r="H783" s="1068"/>
      <c r="I783" s="1068"/>
    </row>
    <row r="784" spans="3:9" x14ac:dyDescent="0.3">
      <c r="C784" s="1" t="s">
        <v>49</v>
      </c>
      <c r="D784" s="1" t="s">
        <v>50</v>
      </c>
      <c r="E784" s="1">
        <v>2016</v>
      </c>
      <c r="F784" s="1">
        <v>2017</v>
      </c>
      <c r="G784" s="1">
        <v>2018</v>
      </c>
      <c r="H784" s="1">
        <v>2019</v>
      </c>
      <c r="I784" s="22">
        <v>2020</v>
      </c>
    </row>
    <row r="785" spans="3:9" x14ac:dyDescent="0.3">
      <c r="C785" s="22" t="s">
        <v>511</v>
      </c>
      <c r="D785" s="19"/>
      <c r="E785" s="19"/>
      <c r="F785" s="19"/>
      <c r="G785" s="19"/>
      <c r="H785" s="19"/>
      <c r="I785" s="19"/>
    </row>
    <row r="786" spans="3:9" x14ac:dyDescent="0.3">
      <c r="C786" s="19" t="s">
        <v>512</v>
      </c>
      <c r="D786" s="19"/>
      <c r="E786" s="19"/>
      <c r="F786" s="19"/>
      <c r="G786" s="19"/>
      <c r="H786" s="19"/>
      <c r="I786" s="19"/>
    </row>
    <row r="787" spans="3:9" x14ac:dyDescent="0.3">
      <c r="C787" s="19" t="s">
        <v>513</v>
      </c>
      <c r="D787" s="19"/>
      <c r="E787" s="107">
        <v>9137</v>
      </c>
      <c r="F787" s="107">
        <v>8920</v>
      </c>
      <c r="G787" s="107">
        <v>12589</v>
      </c>
      <c r="H787" s="107">
        <v>17284</v>
      </c>
      <c r="I787" s="107">
        <v>11723</v>
      </c>
    </row>
    <row r="788" spans="3:9" x14ac:dyDescent="0.3">
      <c r="C788" s="19"/>
      <c r="D788" s="19"/>
      <c r="E788" s="107"/>
      <c r="F788" s="107"/>
      <c r="G788" s="107"/>
      <c r="H788" s="107"/>
      <c r="I788" s="107"/>
    </row>
    <row r="789" spans="3:9" x14ac:dyDescent="0.3">
      <c r="C789" s="19" t="s">
        <v>514</v>
      </c>
      <c r="D789" s="19"/>
      <c r="E789" s="107">
        <v>12104</v>
      </c>
      <c r="F789" s="107">
        <v>11628</v>
      </c>
      <c r="G789" s="107">
        <v>14252</v>
      </c>
      <c r="H789" s="107">
        <v>16866</v>
      </c>
      <c r="I789" s="107">
        <v>11498</v>
      </c>
    </row>
    <row r="790" spans="3:9" x14ac:dyDescent="0.3">
      <c r="C790" s="22" t="s">
        <v>515</v>
      </c>
      <c r="D790" s="19"/>
      <c r="E790" s="19"/>
      <c r="F790" s="19"/>
      <c r="G790" s="19"/>
      <c r="H790" s="19"/>
    </row>
    <row r="791" spans="3:9" x14ac:dyDescent="0.3">
      <c r="C791" s="19" t="s">
        <v>516</v>
      </c>
      <c r="D791" s="19"/>
      <c r="E791" s="296" t="s">
        <v>40</v>
      </c>
      <c r="F791" s="19">
        <v>860</v>
      </c>
      <c r="G791" s="107">
        <v>1745</v>
      </c>
      <c r="H791" s="19">
        <v>764</v>
      </c>
      <c r="I791" s="19">
        <v>764</v>
      </c>
    </row>
    <row r="792" spans="3:9" x14ac:dyDescent="0.3">
      <c r="C792" s="19" t="s">
        <v>517</v>
      </c>
      <c r="D792" s="19"/>
      <c r="E792" s="19"/>
      <c r="F792" s="296" t="s">
        <v>40</v>
      </c>
      <c r="G792" s="19">
        <v>749</v>
      </c>
      <c r="H792" s="296" t="s">
        <v>40</v>
      </c>
      <c r="I792" s="19">
        <v>104</v>
      </c>
    </row>
    <row r="793" spans="3:9" x14ac:dyDescent="0.3">
      <c r="C793" s="19"/>
      <c r="D793" s="19"/>
      <c r="E793" s="293">
        <f t="shared" ref="E793:I793" si="46">SUM(E787:E792)</f>
        <v>21241</v>
      </c>
      <c r="F793" s="293">
        <f t="shared" si="46"/>
        <v>21408</v>
      </c>
      <c r="G793" s="293">
        <f t="shared" si="46"/>
        <v>29335</v>
      </c>
      <c r="H793" s="293">
        <f t="shared" si="46"/>
        <v>34914</v>
      </c>
      <c r="I793" s="293">
        <f t="shared" si="46"/>
        <v>24089</v>
      </c>
    </row>
    <row r="794" spans="3:9" x14ac:dyDescent="0.3">
      <c r="C794" s="19" t="s">
        <v>518</v>
      </c>
      <c r="D794" s="19"/>
      <c r="E794" s="107">
        <v>16412</v>
      </c>
      <c r="F794" s="107">
        <v>16389</v>
      </c>
      <c r="G794" s="107">
        <v>14851</v>
      </c>
      <c r="H794" s="107">
        <v>20933</v>
      </c>
      <c r="I794" s="19">
        <v>16371</v>
      </c>
    </row>
    <row r="795" spans="3:9" x14ac:dyDescent="0.3">
      <c r="C795" s="19"/>
      <c r="D795" s="19"/>
      <c r="E795" s="107"/>
      <c r="F795" s="107"/>
      <c r="G795" s="107"/>
      <c r="H795" s="107"/>
      <c r="I795" s="19"/>
    </row>
    <row r="796" spans="3:9" x14ac:dyDescent="0.3">
      <c r="C796" s="327"/>
      <c r="D796" s="327"/>
      <c r="E796" s="328"/>
      <c r="F796" s="328"/>
      <c r="G796" s="328"/>
      <c r="H796" s="328"/>
    </row>
    <row r="797" spans="3:9" ht="14.5" x14ac:dyDescent="0.35">
      <c r="C797" s="1068" t="s">
        <v>592</v>
      </c>
      <c r="D797" s="1068"/>
      <c r="E797" s="1068"/>
      <c r="F797" s="1068"/>
      <c r="G797" s="1068"/>
      <c r="H797" s="1068"/>
      <c r="I797" s="1068"/>
    </row>
    <row r="798" spans="3:9" x14ac:dyDescent="0.3">
      <c r="C798" s="1" t="s">
        <v>49</v>
      </c>
      <c r="D798" s="1" t="s">
        <v>50</v>
      </c>
      <c r="E798" s="1">
        <v>2016</v>
      </c>
      <c r="F798" s="1">
        <v>2017</v>
      </c>
      <c r="G798" s="1">
        <v>2018</v>
      </c>
      <c r="H798" s="1">
        <v>2019</v>
      </c>
      <c r="I798" s="22">
        <v>2020</v>
      </c>
    </row>
    <row r="799" spans="3:9" x14ac:dyDescent="0.3">
      <c r="C799" s="22" t="s">
        <v>269</v>
      </c>
      <c r="D799" s="19"/>
      <c r="E799" s="107">
        <v>9126</v>
      </c>
      <c r="F799" s="107">
        <v>9230</v>
      </c>
      <c r="G799" s="107">
        <v>13542</v>
      </c>
      <c r="H799" s="107">
        <v>12530</v>
      </c>
      <c r="I799" s="107">
        <v>12249</v>
      </c>
    </row>
    <row r="800" spans="3:9" x14ac:dyDescent="0.3">
      <c r="C800" s="19" t="s">
        <v>423</v>
      </c>
      <c r="D800" s="19"/>
      <c r="E800" s="107">
        <v>9126</v>
      </c>
      <c r="F800" s="107">
        <v>9230</v>
      </c>
      <c r="G800" s="107">
        <v>13542</v>
      </c>
      <c r="H800" s="107">
        <v>12530</v>
      </c>
      <c r="I800" s="107">
        <v>12249</v>
      </c>
    </row>
    <row r="802" spans="3:9" ht="14.5" x14ac:dyDescent="0.35">
      <c r="C802" s="1068" t="s">
        <v>593</v>
      </c>
      <c r="D802" s="1068"/>
      <c r="E802" s="1068"/>
      <c r="F802" s="1068"/>
      <c r="G802" s="1068"/>
      <c r="H802" s="1068"/>
      <c r="I802" s="1068"/>
    </row>
    <row r="803" spans="3:9" x14ac:dyDescent="0.3">
      <c r="C803" s="329" t="s">
        <v>49</v>
      </c>
      <c r="D803" s="1" t="s">
        <v>50</v>
      </c>
      <c r="E803" s="1">
        <v>2016</v>
      </c>
      <c r="F803" s="1">
        <v>2017</v>
      </c>
      <c r="G803" s="1">
        <v>2018</v>
      </c>
      <c r="H803" s="1">
        <v>2019</v>
      </c>
      <c r="I803" s="22">
        <v>2020</v>
      </c>
    </row>
    <row r="804" spans="3:9" x14ac:dyDescent="0.3">
      <c r="C804" s="22" t="s">
        <v>269</v>
      </c>
      <c r="D804" s="19"/>
      <c r="E804" s="107"/>
      <c r="F804" s="107"/>
      <c r="G804" s="107"/>
      <c r="H804" s="107"/>
      <c r="I804" s="19"/>
    </row>
    <row r="805" spans="3:9" x14ac:dyDescent="0.3">
      <c r="C805" s="296" t="s">
        <v>519</v>
      </c>
      <c r="D805" s="19"/>
      <c r="E805" s="107">
        <v>1376</v>
      </c>
      <c r="F805" s="19">
        <v>984</v>
      </c>
      <c r="G805" s="107">
        <v>5077</v>
      </c>
      <c r="H805" s="107">
        <v>2761</v>
      </c>
      <c r="I805" s="107">
        <v>6446</v>
      </c>
    </row>
    <row r="806" spans="3:9" x14ac:dyDescent="0.3">
      <c r="C806" s="19" t="s">
        <v>520</v>
      </c>
      <c r="D806" s="19"/>
      <c r="E806" s="19">
        <v>259</v>
      </c>
      <c r="F806" s="19">
        <v>263</v>
      </c>
      <c r="G806" s="19">
        <v>353</v>
      </c>
      <c r="H806" s="19">
        <v>444</v>
      </c>
      <c r="I806" s="19">
        <v>528</v>
      </c>
    </row>
    <row r="807" spans="3:9" x14ac:dyDescent="0.3">
      <c r="C807" s="19" t="s">
        <v>521</v>
      </c>
      <c r="D807" s="19"/>
      <c r="E807" s="107">
        <v>343</v>
      </c>
      <c r="F807" s="19">
        <v>463</v>
      </c>
      <c r="G807" s="19">
        <v>271</v>
      </c>
      <c r="H807" s="107">
        <v>1015</v>
      </c>
      <c r="I807" s="107">
        <v>1706</v>
      </c>
    </row>
    <row r="808" spans="3:9" x14ac:dyDescent="0.3">
      <c r="C808" s="19" t="s">
        <v>522</v>
      </c>
      <c r="D808" s="19"/>
      <c r="E808" s="107">
        <v>2866</v>
      </c>
      <c r="F808" s="107">
        <v>3956</v>
      </c>
      <c r="G808" s="107">
        <v>4880</v>
      </c>
      <c r="H808" s="107">
        <v>6601</v>
      </c>
      <c r="I808" s="107">
        <v>7113</v>
      </c>
    </row>
    <row r="809" spans="3:9" ht="28" x14ac:dyDescent="0.3">
      <c r="C809" s="297" t="s">
        <v>526</v>
      </c>
      <c r="D809" s="19"/>
      <c r="E809" s="296" t="s">
        <v>40</v>
      </c>
      <c r="F809" s="19"/>
      <c r="G809" s="19"/>
      <c r="H809" s="19"/>
      <c r="I809" s="19"/>
    </row>
    <row r="810" spans="3:9" x14ac:dyDescent="0.3">
      <c r="C810" s="297" t="s">
        <v>875</v>
      </c>
      <c r="D810" s="19"/>
      <c r="E810" s="296"/>
      <c r="F810" s="19"/>
      <c r="G810" s="19"/>
      <c r="H810" s="19"/>
      <c r="I810" s="19">
        <v>2912</v>
      </c>
    </row>
    <row r="811" spans="3:9" x14ac:dyDescent="0.3">
      <c r="C811" s="19" t="s">
        <v>523</v>
      </c>
      <c r="D811" s="19"/>
      <c r="E811" s="19">
        <v>547</v>
      </c>
      <c r="F811" s="19">
        <v>731</v>
      </c>
      <c r="G811" s="107">
        <v>1396</v>
      </c>
      <c r="H811" s="107">
        <v>1674</v>
      </c>
      <c r="I811" s="107">
        <v>1605</v>
      </c>
    </row>
    <row r="812" spans="3:9" x14ac:dyDescent="0.3">
      <c r="C812" s="19" t="s">
        <v>524</v>
      </c>
      <c r="D812" s="19"/>
      <c r="E812" s="19">
        <v>7</v>
      </c>
      <c r="F812" s="296" t="s">
        <v>40</v>
      </c>
      <c r="G812" s="296" t="s">
        <v>40</v>
      </c>
      <c r="H812" s="19">
        <v>1</v>
      </c>
      <c r="I812" s="107">
        <v>3</v>
      </c>
    </row>
    <row r="813" spans="3:9" x14ac:dyDescent="0.3">
      <c r="C813" s="19" t="s">
        <v>525</v>
      </c>
      <c r="D813" s="19"/>
      <c r="E813" s="107">
        <v>387</v>
      </c>
      <c r="F813" s="19">
        <v>844</v>
      </c>
      <c r="G813" s="107">
        <v>3733</v>
      </c>
      <c r="H813" s="107">
        <v>1836</v>
      </c>
      <c r="I813" s="19">
        <v>840</v>
      </c>
    </row>
    <row r="814" spans="3:9" x14ac:dyDescent="0.3">
      <c r="C814" s="19"/>
      <c r="D814" s="19"/>
      <c r="E814" s="293">
        <f t="shared" ref="E814:I814" si="47">SUM(E805:E813)</f>
        <v>5785</v>
      </c>
      <c r="F814" s="293">
        <f t="shared" si="47"/>
        <v>7241</v>
      </c>
      <c r="G814" s="293">
        <f t="shared" si="47"/>
        <v>15710</v>
      </c>
      <c r="H814" s="293">
        <f t="shared" si="47"/>
        <v>14332</v>
      </c>
      <c r="I814" s="293">
        <f t="shared" si="47"/>
        <v>21153</v>
      </c>
    </row>
    <row r="815" spans="3:9" x14ac:dyDescent="0.3">
      <c r="C815" s="327"/>
      <c r="D815" s="327"/>
      <c r="E815" s="328"/>
      <c r="F815" s="328"/>
      <c r="G815" s="328"/>
      <c r="H815" s="328"/>
    </row>
    <row r="816" spans="3:9" ht="14.5" x14ac:dyDescent="0.35">
      <c r="C816" s="1068" t="s">
        <v>594</v>
      </c>
      <c r="D816" s="1068"/>
      <c r="E816" s="1068"/>
      <c r="F816" s="1068"/>
      <c r="G816" s="1068"/>
      <c r="H816" s="1068"/>
      <c r="I816" s="1068"/>
    </row>
    <row r="817" spans="3:9" x14ac:dyDescent="0.3">
      <c r="C817" s="329" t="s">
        <v>49</v>
      </c>
      <c r="D817" s="1" t="s">
        <v>50</v>
      </c>
      <c r="E817" s="1">
        <v>2016</v>
      </c>
      <c r="F817" s="1">
        <v>2017</v>
      </c>
      <c r="G817" s="1">
        <v>2018</v>
      </c>
      <c r="H817" s="1">
        <v>2019</v>
      </c>
      <c r="I817" s="22">
        <v>2020</v>
      </c>
    </row>
    <row r="818" spans="3:9" x14ac:dyDescent="0.3">
      <c r="C818" s="19" t="s">
        <v>527</v>
      </c>
      <c r="D818" s="19"/>
      <c r="E818" s="107">
        <v>19238</v>
      </c>
      <c r="F818" s="107">
        <v>21489</v>
      </c>
      <c r="G818" s="107">
        <v>17249</v>
      </c>
      <c r="H818" s="107">
        <v>1528</v>
      </c>
      <c r="I818" s="107">
        <v>2044</v>
      </c>
    </row>
    <row r="819" spans="3:9" x14ac:dyDescent="0.3">
      <c r="C819" s="19" t="s">
        <v>531</v>
      </c>
      <c r="D819" s="19"/>
      <c r="E819" s="107"/>
      <c r="F819" s="107"/>
      <c r="G819" s="296" t="s">
        <v>40</v>
      </c>
      <c r="H819" s="107">
        <v>104835</v>
      </c>
      <c r="I819" s="107">
        <v>84167</v>
      </c>
    </row>
    <row r="820" spans="3:9" x14ac:dyDescent="0.3">
      <c r="C820" s="19" t="s">
        <v>528</v>
      </c>
      <c r="D820" s="19"/>
      <c r="E820" s="19">
        <v>76</v>
      </c>
      <c r="F820" s="19">
        <v>100</v>
      </c>
      <c r="G820" s="19">
        <v>736</v>
      </c>
      <c r="H820" s="107">
        <v>1092</v>
      </c>
      <c r="I820" s="107">
        <v>1072</v>
      </c>
    </row>
    <row r="821" spans="3:9" x14ac:dyDescent="0.3">
      <c r="C821" s="19" t="s">
        <v>529</v>
      </c>
      <c r="D821" s="19"/>
      <c r="E821" s="19">
        <v>748</v>
      </c>
      <c r="F821" s="19">
        <v>581</v>
      </c>
      <c r="G821" s="107">
        <v>1330</v>
      </c>
      <c r="H821" s="107">
        <v>1167</v>
      </c>
      <c r="I821" s="19">
        <v>931</v>
      </c>
    </row>
    <row r="822" spans="3:9" x14ac:dyDescent="0.3">
      <c r="C822" s="19" t="s">
        <v>530</v>
      </c>
      <c r="D822" s="19"/>
      <c r="E822" s="107">
        <v>26430</v>
      </c>
      <c r="F822" s="107">
        <v>21245</v>
      </c>
      <c r="G822" s="107">
        <v>16424</v>
      </c>
      <c r="H822" s="107">
        <v>18779</v>
      </c>
      <c r="I822" s="107">
        <v>15709</v>
      </c>
    </row>
    <row r="823" spans="3:9" x14ac:dyDescent="0.3">
      <c r="C823" s="19"/>
      <c r="D823" s="19"/>
      <c r="E823" s="293">
        <f t="shared" ref="E823:I823" si="48">SUM(E818:E822)</f>
        <v>46492</v>
      </c>
      <c r="F823" s="293">
        <f t="shared" si="48"/>
        <v>43415</v>
      </c>
      <c r="G823" s="293">
        <f t="shared" si="48"/>
        <v>35739</v>
      </c>
      <c r="H823" s="293">
        <f t="shared" si="48"/>
        <v>127401</v>
      </c>
      <c r="I823" s="293">
        <f t="shared" si="48"/>
        <v>103923</v>
      </c>
    </row>
    <row r="825" spans="3:9" ht="14.5" x14ac:dyDescent="0.35">
      <c r="C825" s="1068" t="s">
        <v>595</v>
      </c>
      <c r="D825" s="1068"/>
      <c r="E825" s="1068"/>
      <c r="F825" s="1068"/>
      <c r="G825" s="1068"/>
      <c r="H825" s="1068"/>
      <c r="I825" s="1068"/>
    </row>
    <row r="826" spans="3:9" x14ac:dyDescent="0.3">
      <c r="C826" s="329" t="s">
        <v>49</v>
      </c>
      <c r="D826" s="1" t="s">
        <v>50</v>
      </c>
      <c r="E826" s="1">
        <v>2016</v>
      </c>
      <c r="F826" s="1">
        <v>2017</v>
      </c>
      <c r="G826" s="1">
        <v>2018</v>
      </c>
      <c r="H826" s="1">
        <v>2019</v>
      </c>
      <c r="I826" s="22">
        <v>2020</v>
      </c>
    </row>
    <row r="827" spans="3:9" x14ac:dyDescent="0.3">
      <c r="C827" s="22" t="s">
        <v>532</v>
      </c>
      <c r="D827" s="19"/>
      <c r="E827" s="19"/>
      <c r="F827" s="19"/>
      <c r="G827" s="19">
        <v>49</v>
      </c>
      <c r="H827" s="19">
        <v>59</v>
      </c>
      <c r="I827" s="19">
        <v>65</v>
      </c>
    </row>
    <row r="828" spans="3:9" x14ac:dyDescent="0.3">
      <c r="C828" s="19" t="s">
        <v>536</v>
      </c>
      <c r="D828" s="19"/>
      <c r="E828" s="19">
        <v>17</v>
      </c>
      <c r="F828" s="19"/>
      <c r="G828" s="19"/>
      <c r="H828" s="19"/>
      <c r="I828" s="19"/>
    </row>
    <row r="829" spans="3:9" x14ac:dyDescent="0.3">
      <c r="C829" s="19" t="s">
        <v>537</v>
      </c>
      <c r="D829" s="19"/>
      <c r="E829" s="19">
        <v>36</v>
      </c>
      <c r="F829" s="19">
        <v>48</v>
      </c>
      <c r="G829" s="19"/>
      <c r="H829" s="19"/>
      <c r="I829" s="19"/>
    </row>
    <row r="830" spans="3:9" x14ac:dyDescent="0.3">
      <c r="C830" s="22" t="s">
        <v>533</v>
      </c>
      <c r="D830" s="19"/>
      <c r="E830" s="19"/>
      <c r="F830" s="19"/>
      <c r="G830" s="19"/>
      <c r="H830" s="19"/>
      <c r="I830" s="19"/>
    </row>
    <row r="831" spans="3:9" x14ac:dyDescent="0.3">
      <c r="C831" s="19" t="s">
        <v>534</v>
      </c>
      <c r="D831" s="19"/>
      <c r="E831" s="107">
        <v>1296</v>
      </c>
      <c r="F831" s="107">
        <v>1919</v>
      </c>
      <c r="G831" s="107">
        <v>1272</v>
      </c>
      <c r="H831" s="107">
        <v>2376</v>
      </c>
      <c r="I831" s="107">
        <v>4657</v>
      </c>
    </row>
    <row r="832" spans="3:9" x14ac:dyDescent="0.3">
      <c r="C832" s="19" t="s">
        <v>596</v>
      </c>
      <c r="D832" s="19"/>
      <c r="E832" s="19">
        <v>11</v>
      </c>
      <c r="F832" s="19">
        <v>36</v>
      </c>
      <c r="G832" s="19">
        <v>36</v>
      </c>
      <c r="H832" s="19">
        <v>33</v>
      </c>
      <c r="I832" s="19">
        <v>33</v>
      </c>
    </row>
    <row r="833" spans="3:9" x14ac:dyDescent="0.3">
      <c r="C833" s="19"/>
      <c r="D833" s="19"/>
      <c r="E833" s="293">
        <f>SUM(E827:E832)</f>
        <v>1360</v>
      </c>
      <c r="F833" s="293">
        <f t="shared" ref="F833:I833" si="49">SUM(F827:F832)</f>
        <v>2003</v>
      </c>
      <c r="G833" s="293">
        <f t="shared" si="49"/>
        <v>1357</v>
      </c>
      <c r="H833" s="293">
        <f t="shared" si="49"/>
        <v>2468</v>
      </c>
      <c r="I833" s="293">
        <f t="shared" si="49"/>
        <v>4755</v>
      </c>
    </row>
    <row r="835" spans="3:9" x14ac:dyDescent="0.3">
      <c r="C835" s="1070" t="s">
        <v>612</v>
      </c>
      <c r="D835" s="1070"/>
      <c r="E835" s="1070"/>
      <c r="F835" s="1070"/>
      <c r="G835" s="1070"/>
      <c r="H835" s="1070"/>
      <c r="I835" s="1070"/>
    </row>
    <row r="836" spans="3:9" x14ac:dyDescent="0.3">
      <c r="C836" s="329" t="s">
        <v>49</v>
      </c>
      <c r="D836" s="1" t="s">
        <v>50</v>
      </c>
      <c r="E836" s="1">
        <v>2016</v>
      </c>
      <c r="F836" s="1">
        <v>2017</v>
      </c>
      <c r="G836" s="1">
        <v>2018</v>
      </c>
      <c r="H836" s="1">
        <v>2019</v>
      </c>
      <c r="I836" s="19">
        <v>2020</v>
      </c>
    </row>
    <row r="837" spans="3:9" x14ac:dyDescent="0.3">
      <c r="C837" s="22" t="s">
        <v>538</v>
      </c>
      <c r="D837" s="19"/>
      <c r="E837" s="19"/>
      <c r="F837" s="19"/>
      <c r="G837" s="19"/>
      <c r="H837" s="19"/>
      <c r="I837" s="19"/>
    </row>
    <row r="838" spans="3:9" x14ac:dyDescent="0.3">
      <c r="C838" s="22" t="s">
        <v>539</v>
      </c>
      <c r="D838" s="19"/>
      <c r="E838" s="19"/>
      <c r="F838" s="19"/>
      <c r="G838" s="19"/>
      <c r="H838" s="19"/>
      <c r="I838" s="19"/>
    </row>
    <row r="839" spans="3:9" x14ac:dyDescent="0.3">
      <c r="C839" s="19" t="s">
        <v>540</v>
      </c>
      <c r="D839" s="19"/>
      <c r="E839" s="19">
        <v>475</v>
      </c>
      <c r="F839" s="107">
        <v>1296</v>
      </c>
      <c r="G839" s="107">
        <v>1919</v>
      </c>
      <c r="H839" s="107">
        <v>1272</v>
      </c>
      <c r="I839" s="19"/>
    </row>
    <row r="840" spans="3:9" x14ac:dyDescent="0.3">
      <c r="C840" s="19" t="s">
        <v>541</v>
      </c>
      <c r="D840" s="19"/>
      <c r="E840" s="19">
        <v>220</v>
      </c>
      <c r="F840" s="19"/>
      <c r="G840" s="296" t="s">
        <v>40</v>
      </c>
      <c r="H840" s="19">
        <v>1</v>
      </c>
      <c r="I840" s="19"/>
    </row>
    <row r="841" spans="3:9" x14ac:dyDescent="0.3">
      <c r="C841" s="19" t="s">
        <v>542</v>
      </c>
      <c r="D841" s="19"/>
      <c r="E841" s="107">
        <v>1504</v>
      </c>
      <c r="F841" s="107">
        <v>1945</v>
      </c>
      <c r="G841" s="19">
        <v>743</v>
      </c>
      <c r="H841" s="107">
        <v>3883</v>
      </c>
      <c r="I841" s="19"/>
    </row>
    <row r="842" spans="3:9" x14ac:dyDescent="0.3">
      <c r="C842" s="19" t="s">
        <v>543</v>
      </c>
      <c r="D842" s="19"/>
      <c r="E842" s="19">
        <v>903</v>
      </c>
      <c r="F842" s="107">
        <v>1322</v>
      </c>
      <c r="G842" s="107">
        <v>1390</v>
      </c>
      <c r="H842" s="107">
        <v>2780</v>
      </c>
      <c r="I842" s="19"/>
    </row>
    <row r="843" spans="3:9" x14ac:dyDescent="0.3">
      <c r="C843" s="19" t="s">
        <v>544</v>
      </c>
      <c r="D843" s="19"/>
      <c r="E843" s="107">
        <v>1296</v>
      </c>
      <c r="F843" s="107">
        <v>1919</v>
      </c>
      <c r="G843" s="107">
        <v>1272</v>
      </c>
      <c r="H843" s="107">
        <v>2376</v>
      </c>
      <c r="I843" s="19"/>
    </row>
    <row r="844" spans="3:9" x14ac:dyDescent="0.3">
      <c r="C844" s="22" t="s">
        <v>535</v>
      </c>
      <c r="D844" s="19"/>
      <c r="E844" s="19"/>
      <c r="F844" s="19"/>
      <c r="G844" s="19"/>
      <c r="H844" s="19"/>
      <c r="I844" s="19"/>
    </row>
    <row r="845" spans="3:9" x14ac:dyDescent="0.3">
      <c r="C845" s="19" t="s">
        <v>540</v>
      </c>
      <c r="D845" s="19"/>
      <c r="E845" s="19"/>
      <c r="F845" s="19">
        <v>11</v>
      </c>
      <c r="G845" s="19">
        <v>36</v>
      </c>
      <c r="H845" s="19">
        <v>36</v>
      </c>
      <c r="I845" s="19"/>
    </row>
    <row r="846" spans="3:9" x14ac:dyDescent="0.3">
      <c r="C846" s="19" t="s">
        <v>542</v>
      </c>
      <c r="D846" s="19"/>
      <c r="E846" s="19"/>
      <c r="F846" s="19">
        <v>25</v>
      </c>
      <c r="G846" s="296" t="s">
        <v>40</v>
      </c>
      <c r="H846" s="296" t="s">
        <v>40</v>
      </c>
      <c r="I846" s="19"/>
    </row>
    <row r="847" spans="3:9" x14ac:dyDescent="0.3">
      <c r="C847" s="19" t="s">
        <v>543</v>
      </c>
      <c r="D847" s="19"/>
      <c r="E847" s="19"/>
      <c r="F847" s="296" t="s">
        <v>40</v>
      </c>
      <c r="G847" s="296" t="s">
        <v>40</v>
      </c>
      <c r="H847" s="19">
        <v>3</v>
      </c>
      <c r="I847" s="19"/>
    </row>
    <row r="848" spans="3:9" x14ac:dyDescent="0.3">
      <c r="C848" s="19" t="s">
        <v>544</v>
      </c>
      <c r="D848" s="19"/>
      <c r="E848" s="19"/>
      <c r="F848" s="19">
        <v>36</v>
      </c>
      <c r="G848" s="19">
        <v>36</v>
      </c>
      <c r="H848" s="19">
        <v>33</v>
      </c>
      <c r="I848" s="19"/>
    </row>
    <row r="849" spans="3:16" ht="14.5" x14ac:dyDescent="0.35">
      <c r="C849" s="19"/>
      <c r="D849" s="19"/>
      <c r="E849" s="19"/>
      <c r="F849" s="19"/>
      <c r="G849" s="19"/>
      <c r="H849" s="19"/>
      <c r="I849" s="19"/>
      <c r="J849"/>
      <c r="K849"/>
      <c r="L849"/>
      <c r="M849"/>
      <c r="N849"/>
      <c r="O849"/>
      <c r="P849"/>
    </row>
    <row r="850" spans="3:16" ht="14.5" x14ac:dyDescent="0.35">
      <c r="J850"/>
      <c r="K850"/>
      <c r="L850"/>
      <c r="M850"/>
      <c r="N850"/>
      <c r="O850"/>
      <c r="P850"/>
    </row>
    <row r="852" spans="3:16" ht="14.5" x14ac:dyDescent="0.35">
      <c r="C852"/>
      <c r="D852"/>
      <c r="E852"/>
      <c r="F852"/>
      <c r="G852"/>
    </row>
    <row r="853" spans="3:16" ht="14.5" x14ac:dyDescent="0.35">
      <c r="C853" s="1081" t="s">
        <v>731</v>
      </c>
      <c r="D853" s="1081"/>
      <c r="E853" s="1081"/>
      <c r="F853" s="1081"/>
      <c r="G853" s="1081"/>
      <c r="H853" s="1081"/>
      <c r="I853" s="1081"/>
    </row>
    <row r="854" spans="3:16" x14ac:dyDescent="0.3">
      <c r="C854" s="329" t="s">
        <v>49</v>
      </c>
      <c r="D854" s="1" t="s">
        <v>50</v>
      </c>
      <c r="E854" s="1">
        <v>2016</v>
      </c>
      <c r="F854" s="1">
        <v>2017</v>
      </c>
      <c r="G854" s="1">
        <v>2018</v>
      </c>
      <c r="H854" s="1">
        <v>2019</v>
      </c>
      <c r="I854" s="22">
        <v>2020</v>
      </c>
    </row>
    <row r="855" spans="3:16" ht="14.5" x14ac:dyDescent="0.35">
      <c r="C855" s="15" t="s">
        <v>728</v>
      </c>
      <c r="D855" s="309"/>
      <c r="F855" s="309"/>
      <c r="G855" s="309"/>
      <c r="H855" s="19"/>
      <c r="I855" s="19"/>
    </row>
    <row r="856" spans="3:16" ht="14.5" x14ac:dyDescent="0.35">
      <c r="C856" s="309" t="s">
        <v>318</v>
      </c>
      <c r="D856" s="309"/>
      <c r="E856" s="330">
        <v>3043</v>
      </c>
      <c r="F856" s="330">
        <v>3069</v>
      </c>
      <c r="G856" s="330">
        <v>3069</v>
      </c>
      <c r="H856" s="330">
        <v>3069</v>
      </c>
      <c r="I856" s="107">
        <v>3069</v>
      </c>
    </row>
    <row r="857" spans="3:16" ht="14.5" x14ac:dyDescent="0.35">
      <c r="C857" s="309" t="s">
        <v>729</v>
      </c>
      <c r="D857" s="309"/>
      <c r="E857" s="309">
        <v>26</v>
      </c>
      <c r="G857" s="19"/>
      <c r="H857" s="19"/>
      <c r="I857" s="107">
        <v>2098</v>
      </c>
    </row>
    <row r="858" spans="3:16" ht="14.5" x14ac:dyDescent="0.35">
      <c r="C858" s="15" t="s">
        <v>321</v>
      </c>
      <c r="D858" s="309"/>
      <c r="E858" s="331">
        <v>3069</v>
      </c>
      <c r="F858" s="331">
        <v>3069</v>
      </c>
      <c r="G858" s="331">
        <v>3069</v>
      </c>
      <c r="H858" s="331">
        <v>3069</v>
      </c>
      <c r="I858" s="293">
        <f>SUM(I856:I857)</f>
        <v>5167</v>
      </c>
    </row>
    <row r="859" spans="3:16" ht="14.5" x14ac:dyDescent="0.35">
      <c r="C859" s="19"/>
      <c r="D859" s="309"/>
      <c r="E859" s="309"/>
      <c r="F859" s="309"/>
      <c r="G859" s="309"/>
      <c r="H859" s="19"/>
      <c r="I859" s="19"/>
    </row>
    <row r="861" spans="3:16" x14ac:dyDescent="0.3">
      <c r="C861" s="287"/>
      <c r="E861" s="287"/>
      <c r="F861" s="287"/>
      <c r="G861" s="287"/>
      <c r="H861" s="287"/>
    </row>
    <row r="862" spans="3:16" x14ac:dyDescent="0.3">
      <c r="C862" s="354" t="s">
        <v>883</v>
      </c>
    </row>
    <row r="863" spans="3:16" ht="14.5" thickBot="1" x14ac:dyDescent="0.35"/>
    <row r="864" spans="3:16" ht="14.5" thickBot="1" x14ac:dyDescent="0.35">
      <c r="C864" s="1054" t="s">
        <v>882</v>
      </c>
      <c r="D864" s="1056" t="s">
        <v>782</v>
      </c>
      <c r="E864" s="1057"/>
      <c r="F864" s="1057"/>
      <c r="G864" s="1057"/>
      <c r="H864" s="1057"/>
      <c r="I864" s="1058" t="s">
        <v>783</v>
      </c>
      <c r="J864" s="1058"/>
      <c r="K864" s="1058"/>
      <c r="L864" s="1058"/>
      <c r="M864" s="1059"/>
      <c r="N864" s="1060" t="s">
        <v>784</v>
      </c>
      <c r="O864" s="1061"/>
    </row>
    <row r="865" spans="3:24" ht="14.5" thickBot="1" x14ac:dyDescent="0.35">
      <c r="C865" s="1055"/>
      <c r="D865" s="332" t="s">
        <v>785</v>
      </c>
      <c r="E865" s="225" t="s">
        <v>786</v>
      </c>
      <c r="F865" s="225" t="s">
        <v>879</v>
      </c>
      <c r="G865" s="225" t="s">
        <v>787</v>
      </c>
      <c r="H865" s="352" t="s">
        <v>785</v>
      </c>
      <c r="I865" s="352" t="s">
        <v>785</v>
      </c>
      <c r="J865" s="225" t="s">
        <v>786</v>
      </c>
      <c r="K865" s="225" t="s">
        <v>880</v>
      </c>
      <c r="L865" s="225" t="s">
        <v>787</v>
      </c>
      <c r="M865" s="352" t="s">
        <v>785</v>
      </c>
      <c r="N865" s="352" t="s">
        <v>785</v>
      </c>
      <c r="O865" s="333" t="s">
        <v>785</v>
      </c>
    </row>
    <row r="866" spans="3:24" ht="14.5" x14ac:dyDescent="0.35">
      <c r="C866" s="334"/>
      <c r="D866"/>
      <c r="E866"/>
      <c r="F866"/>
      <c r="G866"/>
      <c r="H866"/>
      <c r="I866"/>
      <c r="J866"/>
      <c r="L866"/>
      <c r="M866" s="335"/>
      <c r="O866" s="215"/>
    </row>
    <row r="867" spans="3:24" ht="15" thickBot="1" x14ac:dyDescent="0.4">
      <c r="C867" s="336" t="s">
        <v>877</v>
      </c>
      <c r="D867"/>
      <c r="E867"/>
      <c r="F867"/>
      <c r="G867"/>
      <c r="H867"/>
      <c r="I867"/>
      <c r="J867"/>
      <c r="L867"/>
      <c r="M867" s="335"/>
      <c r="O867" s="215"/>
    </row>
    <row r="868" spans="3:24" ht="15" thickBot="1" x14ac:dyDescent="0.4">
      <c r="C868" s="355"/>
      <c r="D868" s="356">
        <v>42095</v>
      </c>
      <c r="E868" s="225" t="s">
        <v>786</v>
      </c>
      <c r="F868" s="225" t="s">
        <v>880</v>
      </c>
      <c r="G868" s="225" t="s">
        <v>787</v>
      </c>
      <c r="H868" s="357">
        <v>42460</v>
      </c>
      <c r="I868" s="357">
        <v>42095</v>
      </c>
      <c r="J868" s="225" t="s">
        <v>786</v>
      </c>
      <c r="K868" s="225" t="s">
        <v>880</v>
      </c>
      <c r="L868" s="225" t="s">
        <v>787</v>
      </c>
      <c r="M868" s="358">
        <v>42460</v>
      </c>
      <c r="N868" s="358">
        <v>42460</v>
      </c>
      <c r="O868" s="359">
        <v>42095</v>
      </c>
      <c r="P868"/>
      <c r="Q868"/>
      <c r="R868"/>
      <c r="S868"/>
      <c r="T868"/>
      <c r="U868"/>
      <c r="V868"/>
      <c r="W868"/>
      <c r="X868"/>
    </row>
    <row r="869" spans="3:24" ht="27.5" customHeight="1" x14ac:dyDescent="0.35">
      <c r="C869" s="18" t="s">
        <v>788</v>
      </c>
      <c r="D869" s="348">
        <v>24</v>
      </c>
      <c r="E869" s="342">
        <v>0</v>
      </c>
      <c r="F869" s="342">
        <v>0</v>
      </c>
      <c r="G869" s="342">
        <v>0</v>
      </c>
      <c r="H869" s="348">
        <f t="shared" ref="H869:H871" si="50">SUM(D869,E869,F869,-G869)</f>
        <v>24</v>
      </c>
      <c r="I869" s="342">
        <v>0</v>
      </c>
      <c r="J869" s="17">
        <v>1</v>
      </c>
      <c r="K869" s="342">
        <v>0</v>
      </c>
      <c r="L869" s="342">
        <v>0</v>
      </c>
      <c r="M869" s="342">
        <f>SUM(I869,J869,K869,-L869)</f>
        <v>1</v>
      </c>
      <c r="N869" s="342">
        <f t="shared" ref="N869:N871" si="51">H869-M869</f>
        <v>23</v>
      </c>
      <c r="O869" s="360">
        <f t="shared" ref="O869:O871" si="52">D869-I869</f>
        <v>24</v>
      </c>
      <c r="P869"/>
      <c r="Q869"/>
      <c r="R869"/>
      <c r="S869"/>
      <c r="T869"/>
      <c r="U869"/>
      <c r="V869"/>
      <c r="W869"/>
      <c r="X869"/>
    </row>
    <row r="870" spans="3:24" ht="14.5" x14ac:dyDescent="0.35">
      <c r="C870" s="18" t="s">
        <v>790</v>
      </c>
      <c r="D870" s="344">
        <v>311</v>
      </c>
      <c r="E870" s="20">
        <v>7</v>
      </c>
      <c r="F870" s="20">
        <v>327</v>
      </c>
      <c r="G870" s="20">
        <v>0</v>
      </c>
      <c r="H870" s="353">
        <f t="shared" si="50"/>
        <v>645</v>
      </c>
      <c r="I870" s="20">
        <v>0</v>
      </c>
      <c r="J870" s="20">
        <v>43</v>
      </c>
      <c r="K870" s="20">
        <v>45</v>
      </c>
      <c r="L870" s="20">
        <v>0</v>
      </c>
      <c r="M870" s="20">
        <f t="shared" ref="M870:M871" si="53">SUM(I870,J870,K870,-L870)</f>
        <v>88</v>
      </c>
      <c r="N870" s="342">
        <f t="shared" si="51"/>
        <v>557</v>
      </c>
      <c r="O870" s="350">
        <f t="shared" si="52"/>
        <v>311</v>
      </c>
      <c r="P870"/>
      <c r="Q870"/>
      <c r="R870"/>
      <c r="S870"/>
      <c r="T870"/>
      <c r="U870"/>
      <c r="V870"/>
      <c r="W870"/>
      <c r="X870"/>
    </row>
    <row r="871" spans="3:24" ht="14.5" x14ac:dyDescent="0.35">
      <c r="C871" s="18" t="s">
        <v>794</v>
      </c>
      <c r="D871" s="344">
        <v>919</v>
      </c>
      <c r="E871" s="20">
        <v>73</v>
      </c>
      <c r="F871" s="20">
        <v>296</v>
      </c>
      <c r="G871" s="20">
        <v>0</v>
      </c>
      <c r="H871" s="353">
        <f t="shared" si="50"/>
        <v>1288</v>
      </c>
      <c r="I871" s="20">
        <v>0</v>
      </c>
      <c r="J871" s="20">
        <v>171</v>
      </c>
      <c r="K871" s="20">
        <v>54</v>
      </c>
      <c r="L871" s="20">
        <v>0</v>
      </c>
      <c r="M871" s="20">
        <f t="shared" si="53"/>
        <v>225</v>
      </c>
      <c r="N871" s="342">
        <f t="shared" si="51"/>
        <v>1063</v>
      </c>
      <c r="O871" s="350">
        <f t="shared" si="52"/>
        <v>919</v>
      </c>
      <c r="P871"/>
      <c r="Q871"/>
      <c r="R871"/>
      <c r="S871"/>
      <c r="T871"/>
      <c r="U871"/>
      <c r="V871"/>
      <c r="W871"/>
      <c r="X871"/>
    </row>
    <row r="872" spans="3:24" ht="14.5" x14ac:dyDescent="0.35">
      <c r="C872" s="343" t="s">
        <v>195</v>
      </c>
      <c r="D872" s="344">
        <f>SUM(D869:D871)</f>
        <v>1254</v>
      </c>
      <c r="E872" s="344">
        <f t="shared" ref="E872:O872" si="54">SUM(E869:E871)</f>
        <v>80</v>
      </c>
      <c r="F872" s="344">
        <f t="shared" si="54"/>
        <v>623</v>
      </c>
      <c r="G872" s="344">
        <f t="shared" si="54"/>
        <v>0</v>
      </c>
      <c r="H872" s="344">
        <f t="shared" si="54"/>
        <v>1957</v>
      </c>
      <c r="I872" s="344">
        <f t="shared" si="54"/>
        <v>0</v>
      </c>
      <c r="J872" s="344">
        <f t="shared" si="54"/>
        <v>215</v>
      </c>
      <c r="K872" s="344">
        <f t="shared" si="54"/>
        <v>99</v>
      </c>
      <c r="L872" s="344">
        <f t="shared" si="54"/>
        <v>0</v>
      </c>
      <c r="M872" s="344">
        <f t="shared" si="54"/>
        <v>314</v>
      </c>
      <c r="N872" s="344">
        <f t="shared" si="54"/>
        <v>1643</v>
      </c>
      <c r="O872" s="344">
        <f t="shared" si="54"/>
        <v>1254</v>
      </c>
      <c r="P872"/>
      <c r="Q872"/>
      <c r="R872"/>
      <c r="S872"/>
      <c r="T872"/>
      <c r="U872"/>
      <c r="V872"/>
      <c r="W872"/>
      <c r="X872"/>
    </row>
    <row r="873" spans="3:24" ht="15" thickBot="1" x14ac:dyDescent="0.4">
      <c r="C873" s="345"/>
      <c r="D873" s="346"/>
      <c r="E873" s="346"/>
      <c r="F873" s="346"/>
      <c r="G873" s="346"/>
      <c r="H873" s="346"/>
      <c r="I873" s="346"/>
      <c r="J873" s="346"/>
      <c r="K873" s="346"/>
      <c r="L873" s="346"/>
      <c r="M873" s="346"/>
      <c r="N873" s="346"/>
      <c r="O873" s="347"/>
      <c r="P873"/>
      <c r="Q873"/>
      <c r="R873"/>
      <c r="S873"/>
      <c r="T873"/>
      <c r="U873"/>
      <c r="V873"/>
      <c r="W873"/>
      <c r="X873"/>
    </row>
    <row r="874" spans="3:24" ht="14.5" x14ac:dyDescent="0.35">
      <c r="P874"/>
      <c r="Q874"/>
      <c r="R874"/>
      <c r="S874"/>
      <c r="T874"/>
      <c r="U874"/>
      <c r="V874"/>
      <c r="W874"/>
      <c r="X874"/>
    </row>
    <row r="875" spans="3:24" ht="15" thickBot="1" x14ac:dyDescent="0.4">
      <c r="P875"/>
      <c r="Q875"/>
      <c r="R875"/>
      <c r="S875"/>
      <c r="T875"/>
      <c r="U875"/>
      <c r="V875"/>
      <c r="W875"/>
      <c r="X875"/>
    </row>
    <row r="876" spans="3:24" ht="15" thickBot="1" x14ac:dyDescent="0.4">
      <c r="C876" s="1054" t="s">
        <v>882</v>
      </c>
      <c r="D876" s="1056" t="s">
        <v>782</v>
      </c>
      <c r="E876" s="1057"/>
      <c r="F876" s="1057"/>
      <c r="G876" s="1057"/>
      <c r="H876" s="1057"/>
      <c r="I876" s="1058" t="s">
        <v>783</v>
      </c>
      <c r="J876" s="1058"/>
      <c r="K876" s="1058"/>
      <c r="L876" s="1058"/>
      <c r="M876" s="1059"/>
      <c r="N876" s="1060" t="s">
        <v>784</v>
      </c>
      <c r="O876" s="1061"/>
      <c r="P876"/>
      <c r="Q876"/>
      <c r="R876"/>
      <c r="S876"/>
      <c r="T876"/>
      <c r="U876"/>
      <c r="V876"/>
      <c r="W876"/>
      <c r="X876"/>
    </row>
    <row r="877" spans="3:24" ht="15" thickBot="1" x14ac:dyDescent="0.4">
      <c r="C877" s="1055"/>
      <c r="D877" s="332" t="s">
        <v>785</v>
      </c>
      <c r="E877" s="225" t="s">
        <v>786</v>
      </c>
      <c r="F877" s="225" t="s">
        <v>879</v>
      </c>
      <c r="G877" s="225" t="s">
        <v>787</v>
      </c>
      <c r="H877" s="352" t="s">
        <v>785</v>
      </c>
      <c r="I877" s="352" t="s">
        <v>785</v>
      </c>
      <c r="J877" s="225" t="s">
        <v>786</v>
      </c>
      <c r="K877" s="225" t="s">
        <v>880</v>
      </c>
      <c r="L877" s="225" t="s">
        <v>787</v>
      </c>
      <c r="M877" s="352" t="s">
        <v>785</v>
      </c>
      <c r="N877" s="352" t="s">
        <v>785</v>
      </c>
      <c r="O877" s="333" t="s">
        <v>785</v>
      </c>
      <c r="P877"/>
      <c r="Q877"/>
      <c r="R877"/>
      <c r="S877"/>
      <c r="T877"/>
      <c r="U877"/>
      <c r="V877"/>
      <c r="W877"/>
      <c r="X877"/>
    </row>
    <row r="878" spans="3:24" ht="14.5" x14ac:dyDescent="0.35">
      <c r="C878" s="334"/>
      <c r="D878"/>
      <c r="E878"/>
      <c r="F878"/>
      <c r="G878"/>
      <c r="H878"/>
      <c r="I878"/>
      <c r="J878"/>
      <c r="L878"/>
      <c r="M878" s="335"/>
      <c r="O878" s="215"/>
      <c r="P878"/>
      <c r="Q878"/>
      <c r="R878"/>
      <c r="S878"/>
      <c r="T878"/>
      <c r="U878"/>
      <c r="V878"/>
      <c r="W878"/>
      <c r="X878"/>
    </row>
    <row r="879" spans="3:24" ht="15" thickBot="1" x14ac:dyDescent="0.4">
      <c r="C879" s="336" t="s">
        <v>795</v>
      </c>
      <c r="D879"/>
      <c r="E879"/>
      <c r="F879"/>
      <c r="G879"/>
      <c r="H879"/>
      <c r="I879"/>
      <c r="J879"/>
      <c r="L879"/>
      <c r="M879" s="335"/>
      <c r="O879" s="215"/>
      <c r="P879"/>
      <c r="Q879"/>
      <c r="R879"/>
      <c r="S879"/>
      <c r="T879"/>
      <c r="U879"/>
      <c r="V879"/>
      <c r="W879"/>
      <c r="X879"/>
    </row>
    <row r="880" spans="3:24" ht="15" thickBot="1" x14ac:dyDescent="0.4">
      <c r="C880" s="355"/>
      <c r="D880" s="356">
        <v>42461</v>
      </c>
      <c r="E880" s="361" t="s">
        <v>786</v>
      </c>
      <c r="F880" s="362" t="s">
        <v>880</v>
      </c>
      <c r="G880" s="224" t="s">
        <v>787</v>
      </c>
      <c r="H880" s="357">
        <v>42825</v>
      </c>
      <c r="I880" s="357">
        <v>42461</v>
      </c>
      <c r="J880" s="225" t="s">
        <v>786</v>
      </c>
      <c r="K880" s="225" t="s">
        <v>880</v>
      </c>
      <c r="L880" s="225" t="s">
        <v>787</v>
      </c>
      <c r="M880" s="358">
        <v>42825</v>
      </c>
      <c r="N880" s="358">
        <v>42825</v>
      </c>
      <c r="O880" s="359">
        <v>42461</v>
      </c>
      <c r="P880"/>
      <c r="Q880"/>
      <c r="R880"/>
      <c r="S880"/>
      <c r="T880"/>
      <c r="U880"/>
      <c r="V880"/>
      <c r="W880"/>
      <c r="X880"/>
    </row>
    <row r="881" spans="3:24" ht="14.5" x14ac:dyDescent="0.35">
      <c r="C881" s="18" t="s">
        <v>788</v>
      </c>
      <c r="D881" s="348">
        <v>24</v>
      </c>
      <c r="E881" s="363">
        <v>0</v>
      </c>
      <c r="F881" s="64">
        <v>0</v>
      </c>
      <c r="G881" s="364">
        <v>0</v>
      </c>
      <c r="H881" s="348">
        <f t="shared" ref="H881:H883" si="55">SUM(D881,E881,F881,-G881)</f>
        <v>24</v>
      </c>
      <c r="I881" s="342">
        <v>1</v>
      </c>
      <c r="J881" s="17">
        <v>1</v>
      </c>
      <c r="K881" s="342">
        <v>0</v>
      </c>
      <c r="L881" s="342">
        <v>0</v>
      </c>
      <c r="M881" s="342">
        <v>2</v>
      </c>
      <c r="N881" s="342">
        <f t="shared" ref="N881:N883" si="56">SUM(H881,-M881)</f>
        <v>22</v>
      </c>
      <c r="O881" s="360">
        <f>SUM(D881,-I881)</f>
        <v>23</v>
      </c>
      <c r="P881"/>
      <c r="Q881"/>
      <c r="R881"/>
      <c r="S881"/>
      <c r="T881"/>
      <c r="U881"/>
      <c r="V881"/>
      <c r="W881"/>
      <c r="X881"/>
    </row>
    <row r="882" spans="3:24" ht="14.5" x14ac:dyDescent="0.35">
      <c r="C882" s="18" t="s">
        <v>790</v>
      </c>
      <c r="D882" s="344">
        <v>645</v>
      </c>
      <c r="E882" s="365">
        <v>84</v>
      </c>
      <c r="F882" s="64">
        <v>0</v>
      </c>
      <c r="G882" s="366">
        <v>0</v>
      </c>
      <c r="H882" s="353">
        <f t="shared" si="55"/>
        <v>729</v>
      </c>
      <c r="I882" s="20">
        <v>88</v>
      </c>
      <c r="J882" s="20">
        <v>80</v>
      </c>
      <c r="K882" s="20">
        <v>0</v>
      </c>
      <c r="L882" s="20">
        <v>0</v>
      </c>
      <c r="M882" s="20">
        <v>168</v>
      </c>
      <c r="N882" s="342">
        <f t="shared" si="56"/>
        <v>561</v>
      </c>
      <c r="O882" s="360">
        <f t="shared" ref="O882:O884" si="57">SUM(D882,-I882)</f>
        <v>557</v>
      </c>
      <c r="P882"/>
      <c r="Q882"/>
      <c r="R882"/>
      <c r="S882"/>
      <c r="T882"/>
      <c r="U882"/>
      <c r="V882"/>
      <c r="W882"/>
      <c r="X882"/>
    </row>
    <row r="883" spans="3:24" ht="14.5" x14ac:dyDescent="0.35">
      <c r="C883" s="18" t="s">
        <v>794</v>
      </c>
      <c r="D883" s="344">
        <v>1288</v>
      </c>
      <c r="E883" s="365">
        <v>342</v>
      </c>
      <c r="F883" s="64">
        <v>0</v>
      </c>
      <c r="G883" s="366">
        <v>0</v>
      </c>
      <c r="H883" s="353">
        <f t="shared" si="55"/>
        <v>1630</v>
      </c>
      <c r="I883" s="20">
        <v>225</v>
      </c>
      <c r="J883" s="20">
        <v>221</v>
      </c>
      <c r="K883" s="20">
        <v>0</v>
      </c>
      <c r="L883" s="20">
        <v>0</v>
      </c>
      <c r="M883" s="20">
        <v>446</v>
      </c>
      <c r="N883" s="342">
        <f t="shared" si="56"/>
        <v>1184</v>
      </c>
      <c r="O883" s="360">
        <f t="shared" si="57"/>
        <v>1063</v>
      </c>
      <c r="P883"/>
      <c r="Q883"/>
      <c r="R883"/>
      <c r="S883"/>
      <c r="T883"/>
      <c r="U883"/>
      <c r="V883"/>
      <c r="W883"/>
      <c r="X883"/>
    </row>
    <row r="884" spans="3:24" ht="14.5" x14ac:dyDescent="0.35">
      <c r="C884" s="343" t="s">
        <v>195</v>
      </c>
      <c r="D884" s="344">
        <f>SUM(D881:D883)</f>
        <v>1957</v>
      </c>
      <c r="E884" s="367">
        <f t="shared" ref="E884" si="58">SUM(E881:E883)</f>
        <v>426</v>
      </c>
      <c r="F884" s="64">
        <f t="shared" ref="F884:N884" si="59">SUM(F881:F883)</f>
        <v>0</v>
      </c>
      <c r="G884" s="368">
        <f t="shared" si="59"/>
        <v>0</v>
      </c>
      <c r="H884" s="344">
        <f t="shared" si="59"/>
        <v>2383</v>
      </c>
      <c r="I884" s="344">
        <f t="shared" si="59"/>
        <v>314</v>
      </c>
      <c r="J884" s="344">
        <f t="shared" si="59"/>
        <v>302</v>
      </c>
      <c r="K884" s="344">
        <f t="shared" si="59"/>
        <v>0</v>
      </c>
      <c r="L884" s="344">
        <f t="shared" si="59"/>
        <v>0</v>
      </c>
      <c r="M884" s="344">
        <f t="shared" si="59"/>
        <v>616</v>
      </c>
      <c r="N884" s="344">
        <f t="shared" si="59"/>
        <v>1767</v>
      </c>
      <c r="O884" s="360">
        <f t="shared" si="57"/>
        <v>1643</v>
      </c>
      <c r="P884"/>
      <c r="Q884"/>
      <c r="R884"/>
      <c r="S884"/>
      <c r="T884"/>
      <c r="U884"/>
      <c r="V884"/>
      <c r="W884"/>
      <c r="X884"/>
    </row>
    <row r="885" spans="3:24" ht="15" thickBot="1" x14ac:dyDescent="0.4">
      <c r="C885" s="345"/>
      <c r="D885" s="346"/>
      <c r="E885" s="369"/>
      <c r="F885" s="370"/>
      <c r="G885" s="371"/>
      <c r="H885" s="346"/>
      <c r="I885" s="346"/>
      <c r="J885" s="346"/>
      <c r="K885" s="346"/>
      <c r="L885" s="346"/>
      <c r="M885" s="346"/>
      <c r="N885" s="346"/>
      <c r="O885" s="347"/>
      <c r="P885"/>
      <c r="Q885"/>
      <c r="R885"/>
      <c r="S885"/>
      <c r="T885"/>
      <c r="U885"/>
      <c r="V885"/>
      <c r="W885"/>
      <c r="X885"/>
    </row>
    <row r="886" spans="3:24" ht="14.5" x14ac:dyDescent="0.35">
      <c r="P886"/>
      <c r="Q886"/>
      <c r="R886"/>
      <c r="S886"/>
      <c r="T886"/>
      <c r="U886"/>
      <c r="V886"/>
      <c r="W886"/>
      <c r="X886"/>
    </row>
    <row r="887" spans="3:24" ht="15" thickBot="1" x14ac:dyDescent="0.4">
      <c r="P887"/>
      <c r="Q887"/>
      <c r="R887"/>
      <c r="S887"/>
      <c r="T887"/>
      <c r="U887"/>
      <c r="V887"/>
      <c r="W887"/>
      <c r="X887"/>
    </row>
    <row r="888" spans="3:24" ht="15" thickBot="1" x14ac:dyDescent="0.4">
      <c r="C888" s="1054" t="s">
        <v>882</v>
      </c>
      <c r="D888" s="1056" t="s">
        <v>782</v>
      </c>
      <c r="E888" s="1057"/>
      <c r="F888" s="1057"/>
      <c r="G888" s="1057"/>
      <c r="H888" s="1057"/>
      <c r="I888" s="1058" t="s">
        <v>783</v>
      </c>
      <c r="J888" s="1058"/>
      <c r="K888" s="1058"/>
      <c r="L888" s="1058"/>
      <c r="M888" s="1059"/>
      <c r="N888" s="1060" t="s">
        <v>784</v>
      </c>
      <c r="O888" s="1061"/>
      <c r="P888"/>
      <c r="Q888"/>
      <c r="R888"/>
      <c r="S888"/>
      <c r="T888"/>
      <c r="U888"/>
      <c r="V888"/>
      <c r="W888"/>
      <c r="X888"/>
    </row>
    <row r="889" spans="3:24" ht="15" thickBot="1" x14ac:dyDescent="0.4">
      <c r="C889" s="1055"/>
      <c r="D889" s="332" t="s">
        <v>785</v>
      </c>
      <c r="E889" s="225" t="s">
        <v>786</v>
      </c>
      <c r="F889" s="225" t="s">
        <v>879</v>
      </c>
      <c r="G889" s="225" t="s">
        <v>787</v>
      </c>
      <c r="H889" s="352" t="s">
        <v>785</v>
      </c>
      <c r="I889" s="352" t="s">
        <v>785</v>
      </c>
      <c r="J889" s="225" t="s">
        <v>786</v>
      </c>
      <c r="K889" s="225" t="s">
        <v>880</v>
      </c>
      <c r="L889" s="225" t="s">
        <v>787</v>
      </c>
      <c r="M889" s="352" t="s">
        <v>785</v>
      </c>
      <c r="N889" s="352" t="s">
        <v>785</v>
      </c>
      <c r="O889" s="333" t="s">
        <v>785</v>
      </c>
      <c r="P889"/>
      <c r="Q889"/>
      <c r="R889"/>
      <c r="S889"/>
      <c r="T889"/>
      <c r="U889"/>
      <c r="V889"/>
      <c r="W889"/>
      <c r="X889"/>
    </row>
    <row r="890" spans="3:24" ht="14.5" x14ac:dyDescent="0.35">
      <c r="C890" s="334"/>
      <c r="D890"/>
      <c r="E890"/>
      <c r="F890"/>
      <c r="G890"/>
      <c r="H890"/>
      <c r="I890"/>
      <c r="J890"/>
      <c r="L890"/>
      <c r="M890" s="335"/>
      <c r="O890" s="215"/>
      <c r="P890"/>
      <c r="Q890"/>
      <c r="R890"/>
      <c r="S890"/>
      <c r="T890"/>
      <c r="U890"/>
      <c r="V890"/>
      <c r="W890"/>
      <c r="X890"/>
    </row>
    <row r="891" spans="3:24" ht="15" thickBot="1" x14ac:dyDescent="0.4">
      <c r="C891" s="336" t="s">
        <v>884</v>
      </c>
      <c r="D891"/>
      <c r="E891"/>
      <c r="F891"/>
      <c r="G891"/>
      <c r="H891"/>
      <c r="I891"/>
      <c r="J891"/>
      <c r="L891"/>
      <c r="M891" s="335"/>
      <c r="O891" s="215"/>
      <c r="P891"/>
      <c r="Q891"/>
      <c r="R891"/>
      <c r="S891"/>
      <c r="T891"/>
      <c r="U891"/>
      <c r="V891"/>
      <c r="W891"/>
      <c r="X891"/>
    </row>
    <row r="892" spans="3:24" ht="15" thickBot="1" x14ac:dyDescent="0.4">
      <c r="C892" s="355"/>
      <c r="D892" s="356">
        <v>42826</v>
      </c>
      <c r="E892" s="225" t="s">
        <v>786</v>
      </c>
      <c r="F892" s="225" t="s">
        <v>880</v>
      </c>
      <c r="G892" s="225" t="s">
        <v>787</v>
      </c>
      <c r="H892" s="357">
        <v>43190</v>
      </c>
      <c r="I892" s="357">
        <v>42826</v>
      </c>
      <c r="J892" s="225" t="s">
        <v>786</v>
      </c>
      <c r="K892" s="225" t="s">
        <v>880</v>
      </c>
      <c r="L892" s="225" t="s">
        <v>787</v>
      </c>
      <c r="M892" s="358">
        <v>43190</v>
      </c>
      <c r="N892" s="358">
        <v>43190</v>
      </c>
      <c r="O892" s="359">
        <v>42826</v>
      </c>
      <c r="P892"/>
      <c r="Q892"/>
      <c r="R892"/>
      <c r="S892"/>
      <c r="T892"/>
      <c r="U892"/>
      <c r="V892"/>
      <c r="W892"/>
      <c r="X892"/>
    </row>
    <row r="893" spans="3:24" ht="14.5" x14ac:dyDescent="0.35">
      <c r="C893" s="18" t="s">
        <v>788</v>
      </c>
      <c r="D893" s="348">
        <v>24</v>
      </c>
      <c r="E893" s="342">
        <v>0</v>
      </c>
      <c r="F893" s="342">
        <v>0</v>
      </c>
      <c r="G893" s="342">
        <v>0</v>
      </c>
      <c r="H893" s="348">
        <f>SUM(D893,E893,F893,-G893)</f>
        <v>24</v>
      </c>
      <c r="I893" s="342">
        <v>2</v>
      </c>
      <c r="J893" s="17">
        <v>2</v>
      </c>
      <c r="K893" s="342">
        <v>0</v>
      </c>
      <c r="L893" s="342">
        <v>0</v>
      </c>
      <c r="M893" s="342">
        <f>SUM(I893,J893,K893,-L893)</f>
        <v>4</v>
      </c>
      <c r="N893" s="342">
        <f>SUM(H893,-M893)</f>
        <v>20</v>
      </c>
      <c r="O893" s="360">
        <f t="shared" ref="O893:O895" si="60">D893-I893</f>
        <v>22</v>
      </c>
      <c r="P893"/>
      <c r="Q893"/>
      <c r="R893"/>
      <c r="S893"/>
      <c r="T893"/>
      <c r="U893"/>
      <c r="V893"/>
      <c r="W893"/>
      <c r="X893"/>
    </row>
    <row r="894" spans="3:24" ht="14.5" x14ac:dyDescent="0.35">
      <c r="C894" s="18" t="s">
        <v>790</v>
      </c>
      <c r="D894" s="344">
        <v>729</v>
      </c>
      <c r="E894" s="20">
        <v>3</v>
      </c>
      <c r="F894" s="20">
        <v>0</v>
      </c>
      <c r="G894" s="20">
        <v>0</v>
      </c>
      <c r="H894" s="348">
        <f t="shared" ref="H894:H895" si="61">SUM(D894,E894,F894,-G894)</f>
        <v>732</v>
      </c>
      <c r="I894" s="20">
        <v>168</v>
      </c>
      <c r="J894" s="20">
        <v>71</v>
      </c>
      <c r="K894" s="20">
        <v>0</v>
      </c>
      <c r="L894" s="20">
        <v>0</v>
      </c>
      <c r="M894" s="342">
        <f t="shared" ref="M894:M895" si="62">SUM(I894,J894,K894,-L894)</f>
        <v>239</v>
      </c>
      <c r="N894" s="342">
        <f t="shared" ref="N894:N895" si="63">SUM(H894,-M894)</f>
        <v>493</v>
      </c>
      <c r="O894" s="350">
        <f t="shared" si="60"/>
        <v>561</v>
      </c>
      <c r="P894"/>
      <c r="Q894"/>
      <c r="R894"/>
      <c r="S894"/>
      <c r="T894"/>
      <c r="U894"/>
      <c r="V894"/>
      <c r="W894"/>
      <c r="X894"/>
    </row>
    <row r="895" spans="3:24" ht="14.5" x14ac:dyDescent="0.35">
      <c r="C895" s="18" t="s">
        <v>794</v>
      </c>
      <c r="D895" s="344">
        <v>1630</v>
      </c>
      <c r="E895" s="20">
        <v>35</v>
      </c>
      <c r="F895" s="20">
        <v>0</v>
      </c>
      <c r="G895" s="20">
        <v>0</v>
      </c>
      <c r="H895" s="348">
        <f t="shared" si="61"/>
        <v>1665</v>
      </c>
      <c r="I895" s="20">
        <v>446</v>
      </c>
      <c r="J895" s="20">
        <v>199</v>
      </c>
      <c r="K895" s="20">
        <v>0</v>
      </c>
      <c r="L895" s="20">
        <v>0</v>
      </c>
      <c r="M895" s="342">
        <f t="shared" si="62"/>
        <v>645</v>
      </c>
      <c r="N895" s="342">
        <f t="shared" si="63"/>
        <v>1020</v>
      </c>
      <c r="O895" s="350">
        <f t="shared" si="60"/>
        <v>1184</v>
      </c>
      <c r="P895"/>
      <c r="Q895"/>
      <c r="R895"/>
      <c r="S895"/>
      <c r="T895"/>
      <c r="U895"/>
      <c r="V895"/>
      <c r="W895"/>
      <c r="X895"/>
    </row>
    <row r="896" spans="3:24" ht="14.5" x14ac:dyDescent="0.35">
      <c r="C896" s="343" t="s">
        <v>195</v>
      </c>
      <c r="D896" s="344">
        <f t="shared" ref="D896:O896" si="64">SUM(D893:D895)</f>
        <v>2383</v>
      </c>
      <c r="E896" s="344">
        <f t="shared" si="64"/>
        <v>38</v>
      </c>
      <c r="F896" s="344">
        <f t="shared" si="64"/>
        <v>0</v>
      </c>
      <c r="G896" s="344">
        <f t="shared" si="64"/>
        <v>0</v>
      </c>
      <c r="H896" s="344">
        <f t="shared" si="64"/>
        <v>2421</v>
      </c>
      <c r="I896" s="344">
        <f t="shared" si="64"/>
        <v>616</v>
      </c>
      <c r="J896" s="344">
        <f t="shared" si="64"/>
        <v>272</v>
      </c>
      <c r="K896" s="344">
        <f t="shared" si="64"/>
        <v>0</v>
      </c>
      <c r="L896" s="344">
        <f t="shared" si="64"/>
        <v>0</v>
      </c>
      <c r="M896" s="344">
        <f t="shared" si="64"/>
        <v>888</v>
      </c>
      <c r="N896" s="344">
        <f t="shared" si="64"/>
        <v>1533</v>
      </c>
      <c r="O896" s="353">
        <f t="shared" si="64"/>
        <v>1767</v>
      </c>
      <c r="P896"/>
      <c r="Q896"/>
      <c r="R896"/>
      <c r="S896"/>
      <c r="T896"/>
      <c r="U896"/>
      <c r="V896"/>
      <c r="W896"/>
      <c r="X896"/>
    </row>
    <row r="897" spans="3:24" ht="15" thickBot="1" x14ac:dyDescent="0.4">
      <c r="C897" s="345"/>
      <c r="D897" s="346"/>
      <c r="E897" s="346"/>
      <c r="F897" s="346"/>
      <c r="G897" s="346"/>
      <c r="H897" s="346"/>
      <c r="I897" s="346"/>
      <c r="J897" s="346"/>
      <c r="K897" s="346"/>
      <c r="L897" s="346"/>
      <c r="M897" s="346"/>
      <c r="N897" s="346"/>
      <c r="O897" s="347"/>
      <c r="P897"/>
      <c r="Q897"/>
      <c r="R897"/>
      <c r="S897"/>
      <c r="T897"/>
      <c r="U897"/>
      <c r="V897"/>
      <c r="W897"/>
      <c r="X897"/>
    </row>
    <row r="898" spans="3:24" ht="14.5" x14ac:dyDescent="0.35">
      <c r="P898"/>
      <c r="Q898"/>
      <c r="R898"/>
      <c r="S898"/>
      <c r="T898"/>
      <c r="U898"/>
      <c r="V898"/>
      <c r="W898"/>
      <c r="X898"/>
    </row>
    <row r="899" spans="3:24" ht="14.5" thickBot="1" x14ac:dyDescent="0.35"/>
    <row r="900" spans="3:24" ht="14.5" thickBot="1" x14ac:dyDescent="0.35">
      <c r="C900" s="1054" t="s">
        <v>882</v>
      </c>
      <c r="D900" s="1056" t="s">
        <v>782</v>
      </c>
      <c r="E900" s="1057"/>
      <c r="F900" s="1057"/>
      <c r="G900" s="1057"/>
      <c r="H900" s="1057"/>
      <c r="I900" s="1058" t="s">
        <v>783</v>
      </c>
      <c r="J900" s="1058"/>
      <c r="K900" s="1058"/>
      <c r="L900" s="1058"/>
      <c r="M900" s="1059"/>
      <c r="N900" s="1060" t="s">
        <v>784</v>
      </c>
      <c r="O900" s="1061"/>
    </row>
    <row r="901" spans="3:24" ht="14.5" thickBot="1" x14ac:dyDescent="0.35">
      <c r="C901" s="1055"/>
      <c r="D901" s="332" t="s">
        <v>785</v>
      </c>
      <c r="E901" s="225" t="s">
        <v>786</v>
      </c>
      <c r="F901" s="225" t="s">
        <v>879</v>
      </c>
      <c r="G901" s="225" t="s">
        <v>787</v>
      </c>
      <c r="H901" s="352" t="s">
        <v>785</v>
      </c>
      <c r="I901" s="352" t="s">
        <v>785</v>
      </c>
      <c r="J901" s="225" t="s">
        <v>786</v>
      </c>
      <c r="K901" s="225" t="s">
        <v>880</v>
      </c>
      <c r="L901" s="225" t="s">
        <v>787</v>
      </c>
      <c r="M901" s="352" t="s">
        <v>785</v>
      </c>
      <c r="N901" s="352" t="s">
        <v>785</v>
      </c>
      <c r="O901" s="333" t="s">
        <v>785</v>
      </c>
    </row>
    <row r="902" spans="3:24" ht="14.5" x14ac:dyDescent="0.35">
      <c r="C902" s="334"/>
      <c r="D902"/>
      <c r="E902"/>
      <c r="F902"/>
      <c r="G902"/>
      <c r="H902"/>
      <c r="I902"/>
      <c r="J902"/>
      <c r="L902"/>
      <c r="M902" s="335"/>
      <c r="O902" s="215"/>
    </row>
    <row r="903" spans="3:24" ht="15" thickBot="1" x14ac:dyDescent="0.4">
      <c r="C903" s="336" t="s">
        <v>878</v>
      </c>
      <c r="D903"/>
      <c r="E903"/>
      <c r="F903"/>
      <c r="G903"/>
      <c r="H903"/>
      <c r="I903"/>
      <c r="J903"/>
      <c r="L903"/>
      <c r="M903" s="335"/>
      <c r="O903" s="215"/>
    </row>
    <row r="904" spans="3:24" ht="15" thickBot="1" x14ac:dyDescent="0.4">
      <c r="C904" s="355"/>
      <c r="D904" s="356">
        <v>43191</v>
      </c>
      <c r="E904" s="225" t="s">
        <v>786</v>
      </c>
      <c r="F904" s="225" t="s">
        <v>880</v>
      </c>
      <c r="G904" s="225" t="s">
        <v>787</v>
      </c>
      <c r="H904" s="357">
        <v>43555</v>
      </c>
      <c r="I904" s="357">
        <v>43191</v>
      </c>
      <c r="J904" s="225" t="s">
        <v>786</v>
      </c>
      <c r="K904" s="225" t="s">
        <v>880</v>
      </c>
      <c r="L904" s="225" t="s">
        <v>787</v>
      </c>
      <c r="M904" s="358">
        <v>43555</v>
      </c>
      <c r="N904" s="358">
        <v>43555</v>
      </c>
      <c r="O904" s="359">
        <v>43191</v>
      </c>
    </row>
    <row r="905" spans="3:24" x14ac:dyDescent="0.3">
      <c r="C905" s="18" t="s">
        <v>788</v>
      </c>
      <c r="D905" s="348">
        <v>24</v>
      </c>
      <c r="E905" s="342">
        <v>0</v>
      </c>
      <c r="F905" s="342">
        <v>0</v>
      </c>
      <c r="G905" s="342">
        <v>0</v>
      </c>
      <c r="H905" s="348">
        <f t="shared" ref="H905:H907" si="65">SUM(D905,E905,F905,-G905)</f>
        <v>24</v>
      </c>
      <c r="I905" s="342">
        <v>4</v>
      </c>
      <c r="J905" s="17">
        <v>1</v>
      </c>
      <c r="K905" s="342">
        <v>0</v>
      </c>
      <c r="L905" s="342">
        <v>0</v>
      </c>
      <c r="M905" s="342">
        <f>SUM(I905,J905,K905,-L905)</f>
        <v>5</v>
      </c>
      <c r="N905" s="342">
        <f>H905-M905</f>
        <v>19</v>
      </c>
      <c r="O905" s="360">
        <f>D905-I905</f>
        <v>20</v>
      </c>
    </row>
    <row r="906" spans="3:24" x14ac:dyDescent="0.3">
      <c r="C906" s="18" t="s">
        <v>790</v>
      </c>
      <c r="D906" s="344">
        <v>732</v>
      </c>
      <c r="E906" s="20">
        <v>0</v>
      </c>
      <c r="F906" s="20">
        <v>0</v>
      </c>
      <c r="G906" s="20">
        <v>0</v>
      </c>
      <c r="H906" s="353">
        <f t="shared" si="65"/>
        <v>732</v>
      </c>
      <c r="I906" s="20">
        <v>239</v>
      </c>
      <c r="J906" s="20">
        <v>63</v>
      </c>
      <c r="K906" s="20">
        <v>0</v>
      </c>
      <c r="L906" s="20">
        <v>0</v>
      </c>
      <c r="M906" s="342">
        <f t="shared" ref="M906:M907" si="66">SUM(I906,J906,K906,-L906)</f>
        <v>302</v>
      </c>
      <c r="N906" s="342">
        <f t="shared" ref="N906:N907" si="67">H906-M906</f>
        <v>430</v>
      </c>
      <c r="O906" s="360">
        <f t="shared" ref="O906:O907" si="68">D906-I906</f>
        <v>493</v>
      </c>
    </row>
    <row r="907" spans="3:24" x14ac:dyDescent="0.3">
      <c r="C907" s="18" t="s">
        <v>794</v>
      </c>
      <c r="D907" s="344">
        <v>1665</v>
      </c>
      <c r="E907" s="20">
        <v>0</v>
      </c>
      <c r="F907" s="20">
        <v>0</v>
      </c>
      <c r="G907" s="20">
        <v>0</v>
      </c>
      <c r="H907" s="353">
        <f t="shared" si="65"/>
        <v>1665</v>
      </c>
      <c r="I907" s="20">
        <v>645</v>
      </c>
      <c r="J907" s="20">
        <v>177</v>
      </c>
      <c r="K907" s="20">
        <v>0</v>
      </c>
      <c r="L907" s="20">
        <v>0</v>
      </c>
      <c r="M907" s="342">
        <f t="shared" si="66"/>
        <v>822</v>
      </c>
      <c r="N907" s="342">
        <f t="shared" si="67"/>
        <v>843</v>
      </c>
      <c r="O907" s="360">
        <f t="shared" si="68"/>
        <v>1020</v>
      </c>
    </row>
    <row r="908" spans="3:24" x14ac:dyDescent="0.3">
      <c r="C908" s="343" t="s">
        <v>195</v>
      </c>
      <c r="D908" s="344">
        <f>SUM(D905:D907)</f>
        <v>2421</v>
      </c>
      <c r="E908" s="344">
        <f t="shared" ref="E908:H908" si="69">SUM(E905:E907)</f>
        <v>0</v>
      </c>
      <c r="F908" s="344">
        <f t="shared" si="69"/>
        <v>0</v>
      </c>
      <c r="G908" s="344">
        <f t="shared" si="69"/>
        <v>0</v>
      </c>
      <c r="H908" s="344">
        <f t="shared" si="69"/>
        <v>2421</v>
      </c>
      <c r="I908" s="344">
        <f>SUM(I905:I907)</f>
        <v>888</v>
      </c>
      <c r="J908" s="344">
        <f t="shared" ref="J908:O908" si="70">SUM(J905:J907)</f>
        <v>241</v>
      </c>
      <c r="K908" s="344">
        <f t="shared" si="70"/>
        <v>0</v>
      </c>
      <c r="L908" s="344">
        <f t="shared" si="70"/>
        <v>0</v>
      </c>
      <c r="M908" s="344">
        <f t="shared" si="70"/>
        <v>1129</v>
      </c>
      <c r="N908" s="344">
        <f t="shared" si="70"/>
        <v>1292</v>
      </c>
      <c r="O908" s="344">
        <f t="shared" si="70"/>
        <v>1533</v>
      </c>
    </row>
    <row r="909" spans="3:24" ht="14.5" thickBot="1" x14ac:dyDescent="0.35">
      <c r="C909" s="345"/>
      <c r="D909" s="346"/>
      <c r="E909" s="346"/>
      <c r="F909" s="346"/>
      <c r="G909" s="346"/>
      <c r="H909" s="346"/>
      <c r="I909" s="346"/>
      <c r="J909" s="346"/>
      <c r="K909" s="346"/>
      <c r="L909" s="346"/>
      <c r="M909" s="346"/>
      <c r="N909" s="346"/>
      <c r="O909" s="347"/>
    </row>
    <row r="911" spans="3:24" ht="14.5" thickBot="1" x14ac:dyDescent="0.35"/>
    <row r="912" spans="3:24" ht="14.5" thickBot="1" x14ac:dyDescent="0.35">
      <c r="C912" s="1054" t="s">
        <v>882</v>
      </c>
      <c r="D912" s="1056" t="s">
        <v>782</v>
      </c>
      <c r="E912" s="1057"/>
      <c r="F912" s="1057"/>
      <c r="G912" s="1057"/>
      <c r="H912" s="1057"/>
      <c r="I912" s="1058" t="s">
        <v>783</v>
      </c>
      <c r="J912" s="1058"/>
      <c r="K912" s="1058"/>
      <c r="L912" s="1058"/>
      <c r="M912" s="1059"/>
      <c r="N912" s="1060" t="s">
        <v>784</v>
      </c>
      <c r="O912" s="1061"/>
    </row>
    <row r="913" spans="3:15" ht="14.5" thickBot="1" x14ac:dyDescent="0.35">
      <c r="C913" s="1055"/>
      <c r="D913" s="332" t="s">
        <v>785</v>
      </c>
      <c r="E913" s="225" t="s">
        <v>786</v>
      </c>
      <c r="F913" s="225" t="s">
        <v>879</v>
      </c>
      <c r="G913" s="225" t="s">
        <v>787</v>
      </c>
      <c r="H913" s="352" t="s">
        <v>785</v>
      </c>
      <c r="I913" s="352" t="s">
        <v>785</v>
      </c>
      <c r="J913" s="225" t="s">
        <v>786</v>
      </c>
      <c r="K913" s="225" t="s">
        <v>880</v>
      </c>
      <c r="L913" s="225" t="s">
        <v>787</v>
      </c>
      <c r="M913" s="352" t="s">
        <v>785</v>
      </c>
      <c r="N913" s="352" t="s">
        <v>785</v>
      </c>
      <c r="O913" s="333" t="s">
        <v>785</v>
      </c>
    </row>
    <row r="914" spans="3:15" ht="14.5" x14ac:dyDescent="0.35">
      <c r="C914" s="334"/>
      <c r="D914"/>
      <c r="E914"/>
      <c r="F914"/>
      <c r="G914"/>
      <c r="H914"/>
      <c r="I914"/>
      <c r="J914"/>
      <c r="L914"/>
      <c r="M914" s="335"/>
      <c r="O914" s="215"/>
    </row>
    <row r="915" spans="3:15" ht="15" thickBot="1" x14ac:dyDescent="0.4">
      <c r="C915" s="336" t="s">
        <v>881</v>
      </c>
      <c r="D915"/>
      <c r="E915"/>
      <c r="F915"/>
      <c r="G915"/>
      <c r="H915"/>
      <c r="I915"/>
      <c r="J915"/>
      <c r="L915"/>
      <c r="M915" s="335"/>
      <c r="O915" s="215"/>
    </row>
    <row r="916" spans="3:15" ht="15" thickBot="1" x14ac:dyDescent="0.4">
      <c r="C916" s="355"/>
      <c r="D916" s="356">
        <v>43556</v>
      </c>
      <c r="E916" s="225" t="s">
        <v>786</v>
      </c>
      <c r="F916" s="225" t="s">
        <v>880</v>
      </c>
      <c r="G916" s="225" t="s">
        <v>787</v>
      </c>
      <c r="H916" s="357">
        <v>43921</v>
      </c>
      <c r="I916" s="357">
        <v>43556</v>
      </c>
      <c r="J916" s="225" t="s">
        <v>786</v>
      </c>
      <c r="K916" s="225" t="s">
        <v>880</v>
      </c>
      <c r="L916" s="225" t="s">
        <v>787</v>
      </c>
      <c r="M916" s="358">
        <v>43921</v>
      </c>
      <c r="N916" s="358">
        <v>43921</v>
      </c>
      <c r="O916" s="359">
        <v>43556</v>
      </c>
    </row>
    <row r="917" spans="3:15" x14ac:dyDescent="0.3">
      <c r="C917" s="18" t="s">
        <v>788</v>
      </c>
      <c r="D917" s="348">
        <v>24</v>
      </c>
      <c r="E917" s="342">
        <v>0</v>
      </c>
      <c r="F917" s="342">
        <v>0</v>
      </c>
      <c r="G917" s="342">
        <v>14</v>
      </c>
      <c r="H917" s="348">
        <f>SUM(D917,E917,F917,-G917)</f>
        <v>10</v>
      </c>
      <c r="I917" s="342">
        <v>5</v>
      </c>
      <c r="J917" s="17">
        <v>0</v>
      </c>
      <c r="K917" s="342">
        <v>0</v>
      </c>
      <c r="L917" s="342">
        <v>1</v>
      </c>
      <c r="M917" s="342">
        <f>SUM(I917,J917,K917,-L917)</f>
        <v>4</v>
      </c>
      <c r="N917" s="342">
        <f>H917-M917</f>
        <v>6</v>
      </c>
      <c r="O917" s="360">
        <f t="shared" ref="O917:O919" si="71">D917-I917</f>
        <v>19</v>
      </c>
    </row>
    <row r="918" spans="3:15" x14ac:dyDescent="0.3">
      <c r="C918" s="18" t="s">
        <v>790</v>
      </c>
      <c r="D918" s="344">
        <v>732</v>
      </c>
      <c r="E918" s="20">
        <v>0</v>
      </c>
      <c r="F918" s="20">
        <v>0</v>
      </c>
      <c r="G918" s="20">
        <v>1</v>
      </c>
      <c r="H918" s="348">
        <f t="shared" ref="H918:H919" si="72">SUM(D918,E918,F918,-G918)</f>
        <v>731</v>
      </c>
      <c r="I918" s="20">
        <v>302</v>
      </c>
      <c r="J918" s="20">
        <v>54</v>
      </c>
      <c r="K918" s="20">
        <v>0</v>
      </c>
      <c r="L918" s="20">
        <v>0</v>
      </c>
      <c r="M918" s="342">
        <f t="shared" ref="M918:M919" si="73">SUM(I918,J918,K918,-L918)</f>
        <v>356</v>
      </c>
      <c r="N918" s="342">
        <f t="shared" ref="N918:N919" si="74">H918-M918</f>
        <v>375</v>
      </c>
      <c r="O918" s="350">
        <f t="shared" si="71"/>
        <v>430</v>
      </c>
    </row>
    <row r="919" spans="3:15" x14ac:dyDescent="0.3">
      <c r="C919" s="18" t="s">
        <v>794</v>
      </c>
      <c r="D919" s="344">
        <v>1665</v>
      </c>
      <c r="E919" s="20">
        <v>30</v>
      </c>
      <c r="F919" s="20">
        <v>0</v>
      </c>
      <c r="G919" s="20">
        <v>37</v>
      </c>
      <c r="H919" s="348">
        <f t="shared" si="72"/>
        <v>1658</v>
      </c>
      <c r="I919" s="20">
        <v>822</v>
      </c>
      <c r="J919" s="20">
        <v>164</v>
      </c>
      <c r="K919" s="20">
        <v>0</v>
      </c>
      <c r="L919" s="20">
        <v>18</v>
      </c>
      <c r="M919" s="342">
        <f t="shared" si="73"/>
        <v>968</v>
      </c>
      <c r="N919" s="342">
        <f t="shared" si="74"/>
        <v>690</v>
      </c>
      <c r="O919" s="350">
        <f t="shared" si="71"/>
        <v>843</v>
      </c>
    </row>
    <row r="920" spans="3:15" x14ac:dyDescent="0.3">
      <c r="C920" s="343" t="s">
        <v>195</v>
      </c>
      <c r="D920" s="344">
        <f>SUM(D917:D919)</f>
        <v>2421</v>
      </c>
      <c r="E920" s="344">
        <f t="shared" ref="E920:O920" si="75">SUM(E917:E919)</f>
        <v>30</v>
      </c>
      <c r="F920" s="344">
        <f t="shared" si="75"/>
        <v>0</v>
      </c>
      <c r="G920" s="344">
        <f t="shared" si="75"/>
        <v>52</v>
      </c>
      <c r="H920" s="344">
        <f t="shared" si="75"/>
        <v>2399</v>
      </c>
      <c r="I920" s="344">
        <f t="shared" si="75"/>
        <v>1129</v>
      </c>
      <c r="J920" s="344">
        <f t="shared" si="75"/>
        <v>218</v>
      </c>
      <c r="K920" s="344">
        <f t="shared" si="75"/>
        <v>0</v>
      </c>
      <c r="L920" s="344">
        <f t="shared" si="75"/>
        <v>19</v>
      </c>
      <c r="M920" s="344">
        <f t="shared" si="75"/>
        <v>1328</v>
      </c>
      <c r="N920" s="344">
        <f t="shared" si="75"/>
        <v>1071</v>
      </c>
      <c r="O920" s="344">
        <f t="shared" si="75"/>
        <v>1292</v>
      </c>
    </row>
    <row r="921" spans="3:15" ht="14.5" thickBot="1" x14ac:dyDescent="0.35">
      <c r="C921" s="345"/>
      <c r="D921" s="346"/>
      <c r="E921" s="346"/>
      <c r="F921" s="346"/>
      <c r="G921" s="346"/>
      <c r="H921" s="346"/>
      <c r="I921" s="346"/>
      <c r="J921" s="346"/>
      <c r="K921" s="346"/>
      <c r="L921" s="346"/>
      <c r="M921" s="346"/>
      <c r="N921" s="346"/>
      <c r="O921" s="347"/>
    </row>
    <row r="924" spans="3:15" ht="15" thickBot="1" x14ac:dyDescent="0.4">
      <c r="C924" s="372" t="s">
        <v>885</v>
      </c>
    </row>
    <row r="925" spans="3:15" ht="14.5" thickBot="1" x14ac:dyDescent="0.35">
      <c r="C925" s="1054" t="s">
        <v>882</v>
      </c>
      <c r="D925" s="1056" t="s">
        <v>782</v>
      </c>
      <c r="E925" s="1057"/>
      <c r="F925" s="1057"/>
      <c r="G925" s="1057"/>
      <c r="H925" s="1057"/>
      <c r="I925" s="1058" t="s">
        <v>783</v>
      </c>
      <c r="J925" s="1058"/>
      <c r="K925" s="1058"/>
      <c r="L925" s="1058"/>
      <c r="M925" s="1059"/>
      <c r="N925" s="1060" t="s">
        <v>784</v>
      </c>
      <c r="O925" s="1061"/>
    </row>
    <row r="926" spans="3:15" ht="14.5" thickBot="1" x14ac:dyDescent="0.35">
      <c r="C926" s="1055"/>
      <c r="D926" s="332" t="s">
        <v>785</v>
      </c>
      <c r="E926" s="225" t="s">
        <v>786</v>
      </c>
      <c r="F926" s="225" t="s">
        <v>879</v>
      </c>
      <c r="G926" s="225" t="s">
        <v>787</v>
      </c>
      <c r="H926" s="352" t="s">
        <v>785</v>
      </c>
      <c r="I926" s="352" t="s">
        <v>785</v>
      </c>
      <c r="J926" s="225" t="s">
        <v>786</v>
      </c>
      <c r="K926" s="225" t="s">
        <v>880</v>
      </c>
      <c r="L926" s="225" t="s">
        <v>787</v>
      </c>
      <c r="M926" s="352" t="s">
        <v>785</v>
      </c>
      <c r="N926" s="352" t="s">
        <v>785</v>
      </c>
      <c r="O926" s="333" t="s">
        <v>785</v>
      </c>
    </row>
    <row r="927" spans="3:15" ht="14.5" x14ac:dyDescent="0.35">
      <c r="C927" s="334"/>
      <c r="D927"/>
      <c r="E927"/>
      <c r="F927"/>
      <c r="G927"/>
      <c r="H927"/>
      <c r="I927"/>
      <c r="J927"/>
      <c r="L927"/>
      <c r="M927" s="335"/>
      <c r="O927" s="215"/>
    </row>
    <row r="928" spans="3:15" ht="15" thickBot="1" x14ac:dyDescent="0.4">
      <c r="C928" s="336" t="s">
        <v>877</v>
      </c>
      <c r="D928"/>
      <c r="E928"/>
      <c r="F928"/>
      <c r="G928"/>
      <c r="H928"/>
      <c r="I928"/>
      <c r="J928"/>
      <c r="L928"/>
      <c r="M928" s="335"/>
      <c r="O928" s="215"/>
    </row>
    <row r="929" spans="3:16" ht="15" thickBot="1" x14ac:dyDescent="0.4">
      <c r="C929" s="373"/>
      <c r="D929" s="356">
        <v>42095</v>
      </c>
      <c r="E929" s="225" t="s">
        <v>786</v>
      </c>
      <c r="F929" s="225" t="s">
        <v>880</v>
      </c>
      <c r="G929" s="225" t="s">
        <v>787</v>
      </c>
      <c r="H929" s="357">
        <v>42460</v>
      </c>
      <c r="I929" s="357">
        <v>42095</v>
      </c>
      <c r="J929" s="225" t="s">
        <v>786</v>
      </c>
      <c r="K929" s="225" t="s">
        <v>880</v>
      </c>
      <c r="L929" s="225" t="s">
        <v>787</v>
      </c>
      <c r="M929" s="358">
        <v>42460</v>
      </c>
      <c r="N929" s="358">
        <v>42460</v>
      </c>
      <c r="O929" s="359">
        <v>42095</v>
      </c>
    </row>
    <row r="930" spans="3:16" ht="15" thickBot="1" x14ac:dyDescent="0.4">
      <c r="C930" s="374" t="s">
        <v>886</v>
      </c>
      <c r="D930" s="375">
        <v>1712</v>
      </c>
      <c r="E930" s="376">
        <v>0</v>
      </c>
      <c r="F930" s="376">
        <v>440</v>
      </c>
      <c r="G930" s="376">
        <v>0</v>
      </c>
      <c r="H930" s="377">
        <f t="shared" ref="H930:H933" si="76">SUM(D930,E930,F930,-G930)</f>
        <v>2152</v>
      </c>
      <c r="I930" s="378">
        <v>0</v>
      </c>
      <c r="J930" s="376">
        <v>0</v>
      </c>
      <c r="K930" s="376">
        <v>0</v>
      </c>
      <c r="L930" s="376">
        <v>0</v>
      </c>
      <c r="M930" s="379">
        <f>SUM(I930,J930,K930,-L930)</f>
        <v>0</v>
      </c>
      <c r="N930" s="379">
        <f t="shared" ref="N930:N933" si="77">SUM(H930,-M930)</f>
        <v>2152</v>
      </c>
      <c r="O930" s="380">
        <f t="shared" ref="O930:O933" si="78">SUM(D930,-I930)</f>
        <v>1712</v>
      </c>
    </row>
    <row r="931" spans="3:16" ht="14.5" thickBot="1" x14ac:dyDescent="0.35">
      <c r="C931" s="20" t="s">
        <v>788</v>
      </c>
      <c r="D931" s="344">
        <v>10937</v>
      </c>
      <c r="E931" s="20">
        <v>2347</v>
      </c>
      <c r="F931" s="20">
        <v>13204</v>
      </c>
      <c r="G931" s="22">
        <v>0</v>
      </c>
      <c r="H931" s="381">
        <f t="shared" si="76"/>
        <v>26488</v>
      </c>
      <c r="I931" s="20">
        <v>0</v>
      </c>
      <c r="J931" s="19">
        <v>617</v>
      </c>
      <c r="K931" s="20">
        <v>197</v>
      </c>
      <c r="L931" s="20">
        <v>0</v>
      </c>
      <c r="M931" s="379">
        <f t="shared" ref="M931:M933" si="79">SUM(I931,J931,K931,-L931)</f>
        <v>814</v>
      </c>
      <c r="N931" s="382">
        <f t="shared" si="77"/>
        <v>25674</v>
      </c>
      <c r="O931" s="351">
        <f t="shared" si="78"/>
        <v>10937</v>
      </c>
    </row>
    <row r="932" spans="3:16" ht="14.5" thickBot="1" x14ac:dyDescent="0.35">
      <c r="C932" s="341" t="s">
        <v>790</v>
      </c>
      <c r="D932" s="348">
        <v>0</v>
      </c>
      <c r="E932" s="342">
        <v>0</v>
      </c>
      <c r="F932" s="342">
        <v>0</v>
      </c>
      <c r="G932" s="383">
        <v>0</v>
      </c>
      <c r="H932" s="384">
        <f t="shared" si="76"/>
        <v>0</v>
      </c>
      <c r="I932" s="342">
        <v>0</v>
      </c>
      <c r="J932" s="342"/>
      <c r="K932" s="342"/>
      <c r="L932" s="342">
        <v>0</v>
      </c>
      <c r="M932" s="379">
        <f t="shared" si="79"/>
        <v>0</v>
      </c>
      <c r="N932" s="385">
        <f t="shared" si="77"/>
        <v>0</v>
      </c>
      <c r="O932" s="360">
        <f t="shared" si="78"/>
        <v>0</v>
      </c>
    </row>
    <row r="933" spans="3:16" ht="14.5" thickBot="1" x14ac:dyDescent="0.35">
      <c r="C933" s="18" t="s">
        <v>794</v>
      </c>
      <c r="D933" s="344">
        <v>0</v>
      </c>
      <c r="E933" s="20">
        <v>0</v>
      </c>
      <c r="F933" s="20">
        <v>0</v>
      </c>
      <c r="G933" s="225">
        <v>0</v>
      </c>
      <c r="H933" s="384">
        <f t="shared" si="76"/>
        <v>0</v>
      </c>
      <c r="I933" s="20">
        <v>0</v>
      </c>
      <c r="J933" s="20"/>
      <c r="K933" s="20"/>
      <c r="L933" s="20">
        <v>0</v>
      </c>
      <c r="M933" s="379">
        <f t="shared" si="79"/>
        <v>0</v>
      </c>
      <c r="N933" s="385">
        <f t="shared" si="77"/>
        <v>0</v>
      </c>
      <c r="O933" s="350">
        <f t="shared" si="78"/>
        <v>0</v>
      </c>
    </row>
    <row r="934" spans="3:16" x14ac:dyDescent="0.3">
      <c r="C934" s="343" t="s">
        <v>195</v>
      </c>
      <c r="D934" s="381">
        <f>SUM(D930:D933)</f>
        <v>12649</v>
      </c>
      <c r="E934" s="381">
        <f t="shared" ref="E934:O934" si="80">SUM(E930:E933)</f>
        <v>2347</v>
      </c>
      <c r="F934" s="381">
        <f t="shared" si="80"/>
        <v>13644</v>
      </c>
      <c r="G934" s="381">
        <f t="shared" si="80"/>
        <v>0</v>
      </c>
      <c r="H934" s="381">
        <f t="shared" si="80"/>
        <v>28640</v>
      </c>
      <c r="I934" s="381">
        <f t="shared" si="80"/>
        <v>0</v>
      </c>
      <c r="J934" s="381">
        <f t="shared" si="80"/>
        <v>617</v>
      </c>
      <c r="K934" s="381">
        <f t="shared" si="80"/>
        <v>197</v>
      </c>
      <c r="L934" s="381">
        <f t="shared" si="80"/>
        <v>0</v>
      </c>
      <c r="M934" s="381">
        <f t="shared" si="80"/>
        <v>814</v>
      </c>
      <c r="N934" s="381">
        <f t="shared" si="80"/>
        <v>27826</v>
      </c>
      <c r="O934" s="381">
        <f t="shared" si="80"/>
        <v>12649</v>
      </c>
      <c r="P934" s="17">
        <f>27826-N934</f>
        <v>0</v>
      </c>
    </row>
    <row r="935" spans="3:16" ht="14.5" thickBot="1" x14ac:dyDescent="0.35">
      <c r="C935" s="345"/>
      <c r="D935" s="346"/>
      <c r="E935" s="346"/>
      <c r="F935" s="346"/>
      <c r="G935" s="346"/>
      <c r="H935" s="346"/>
      <c r="I935" s="346"/>
      <c r="J935" s="346"/>
      <c r="K935" s="346"/>
      <c r="L935" s="346"/>
      <c r="M935" s="346"/>
      <c r="N935" s="346"/>
      <c r="O935" s="347"/>
    </row>
    <row r="936" spans="3:16" ht="14.5" thickBot="1" x14ac:dyDescent="0.35"/>
    <row r="937" spans="3:16" ht="14.5" thickBot="1" x14ac:dyDescent="0.35">
      <c r="C937" s="1054" t="s">
        <v>882</v>
      </c>
      <c r="D937" s="1056" t="s">
        <v>782</v>
      </c>
      <c r="E937" s="1057"/>
      <c r="F937" s="1057"/>
      <c r="G937" s="1057"/>
      <c r="H937" s="1057"/>
      <c r="I937" s="1058" t="s">
        <v>783</v>
      </c>
      <c r="J937" s="1058"/>
      <c r="K937" s="1058"/>
      <c r="L937" s="1058"/>
      <c r="M937" s="1059"/>
      <c r="N937" s="1060" t="s">
        <v>784</v>
      </c>
      <c r="O937" s="1061"/>
    </row>
    <row r="938" spans="3:16" ht="14.5" thickBot="1" x14ac:dyDescent="0.35">
      <c r="C938" s="1055"/>
      <c r="D938" s="332" t="s">
        <v>785</v>
      </c>
      <c r="E938" s="225" t="s">
        <v>786</v>
      </c>
      <c r="F938" s="225" t="s">
        <v>879</v>
      </c>
      <c r="G938" s="225" t="s">
        <v>787</v>
      </c>
      <c r="H938" s="352" t="s">
        <v>785</v>
      </c>
      <c r="I938" s="352" t="s">
        <v>785</v>
      </c>
      <c r="J938" s="225" t="s">
        <v>786</v>
      </c>
      <c r="K938" s="225" t="s">
        <v>880</v>
      </c>
      <c r="L938" s="225" t="s">
        <v>787</v>
      </c>
      <c r="M938" s="352" t="s">
        <v>785</v>
      </c>
      <c r="N938" s="352" t="s">
        <v>785</v>
      </c>
      <c r="O938" s="333" t="s">
        <v>785</v>
      </c>
    </row>
    <row r="939" spans="3:16" ht="14.5" x14ac:dyDescent="0.35">
      <c r="C939" s="334"/>
      <c r="D939"/>
      <c r="E939"/>
      <c r="F939"/>
      <c r="G939"/>
      <c r="H939"/>
      <c r="I939"/>
      <c r="J939"/>
      <c r="L939"/>
      <c r="M939" s="335"/>
      <c r="O939" s="215"/>
    </row>
    <row r="940" spans="3:16" ht="15" thickBot="1" x14ac:dyDescent="0.4">
      <c r="C940" s="336" t="s">
        <v>795</v>
      </c>
      <c r="D940"/>
      <c r="E940"/>
      <c r="F940"/>
      <c r="G940"/>
      <c r="H940"/>
      <c r="I940"/>
      <c r="J940"/>
      <c r="L940"/>
      <c r="M940" s="335"/>
      <c r="O940" s="215"/>
    </row>
    <row r="941" spans="3:16" ht="15" thickBot="1" x14ac:dyDescent="0.4">
      <c r="C941" s="373"/>
      <c r="D941" s="356">
        <v>42461</v>
      </c>
      <c r="E941" s="361" t="s">
        <v>786</v>
      </c>
      <c r="F941" s="362" t="s">
        <v>880</v>
      </c>
      <c r="G941" s="224" t="s">
        <v>787</v>
      </c>
      <c r="H941" s="357">
        <v>42825</v>
      </c>
      <c r="I941" s="357">
        <v>42461</v>
      </c>
      <c r="J941" s="225" t="s">
        <v>786</v>
      </c>
      <c r="K941" s="225" t="s">
        <v>880</v>
      </c>
      <c r="L941" s="225" t="s">
        <v>787</v>
      </c>
      <c r="M941" s="386">
        <v>42825</v>
      </c>
      <c r="N941" s="358">
        <v>42825</v>
      </c>
      <c r="O941" s="359">
        <v>42461</v>
      </c>
    </row>
    <row r="942" spans="3:16" ht="15" thickBot="1" x14ac:dyDescent="0.4">
      <c r="C942" s="374" t="s">
        <v>886</v>
      </c>
      <c r="D942" s="378">
        <v>2152</v>
      </c>
      <c r="E942" s="387">
        <v>212</v>
      </c>
      <c r="F942" s="387">
        <v>0</v>
      </c>
      <c r="G942" s="387">
        <v>0</v>
      </c>
      <c r="H942" s="377">
        <f t="shared" ref="H942:H945" si="81">SUM(D942,E942,F942,-G942)</f>
        <v>2364</v>
      </c>
      <c r="I942" s="378">
        <v>0</v>
      </c>
      <c r="J942" s="387">
        <v>0</v>
      </c>
      <c r="K942" s="387">
        <v>0</v>
      </c>
      <c r="L942" s="387">
        <v>0</v>
      </c>
      <c r="M942" s="388">
        <f>SUM(I942,J942,K942,-L942)</f>
        <v>0</v>
      </c>
      <c r="N942" s="378">
        <f>H942-M942</f>
        <v>2364</v>
      </c>
      <c r="O942" s="389">
        <f>D942-I942</f>
        <v>2152</v>
      </c>
    </row>
    <row r="943" spans="3:16" ht="14.5" thickBot="1" x14ac:dyDescent="0.35">
      <c r="C943" s="20" t="s">
        <v>788</v>
      </c>
      <c r="D943" s="344">
        <v>26488</v>
      </c>
      <c r="E943" s="20">
        <v>65</v>
      </c>
      <c r="F943" s="20">
        <v>0</v>
      </c>
      <c r="G943" s="22">
        <v>77</v>
      </c>
      <c r="H943" s="381">
        <f t="shared" si="81"/>
        <v>26476</v>
      </c>
      <c r="I943" s="20">
        <v>814</v>
      </c>
      <c r="J943" s="19">
        <v>996</v>
      </c>
      <c r="K943" s="20">
        <v>0</v>
      </c>
      <c r="L943" s="20">
        <v>0</v>
      </c>
      <c r="M943" s="388">
        <f t="shared" ref="M943:M945" si="82">SUM(I943,J943,K943,-L943)</f>
        <v>1810</v>
      </c>
      <c r="N943" s="378">
        <f t="shared" ref="N943:N945" si="83">H943-M943</f>
        <v>24666</v>
      </c>
      <c r="O943" s="389">
        <f t="shared" ref="O943:O945" si="84">D943-I943</f>
        <v>25674</v>
      </c>
    </row>
    <row r="944" spans="3:16" ht="14.5" thickBot="1" x14ac:dyDescent="0.35">
      <c r="C944" s="341" t="s">
        <v>790</v>
      </c>
      <c r="D944" s="348">
        <v>0</v>
      </c>
      <c r="E944" s="342">
        <v>0</v>
      </c>
      <c r="F944" s="342">
        <v>0</v>
      </c>
      <c r="G944" s="383">
        <v>0</v>
      </c>
      <c r="H944" s="384">
        <f t="shared" si="81"/>
        <v>0</v>
      </c>
      <c r="I944" s="342">
        <v>0</v>
      </c>
      <c r="J944" s="342">
        <v>0</v>
      </c>
      <c r="K944" s="342">
        <v>0</v>
      </c>
      <c r="L944" s="342">
        <v>0</v>
      </c>
      <c r="M944" s="388">
        <f t="shared" si="82"/>
        <v>0</v>
      </c>
      <c r="N944" s="378">
        <f t="shared" si="83"/>
        <v>0</v>
      </c>
      <c r="O944" s="389">
        <f t="shared" si="84"/>
        <v>0</v>
      </c>
    </row>
    <row r="945" spans="3:15" ht="14.5" thickBot="1" x14ac:dyDescent="0.35">
      <c r="C945" s="18" t="s">
        <v>794</v>
      </c>
      <c r="D945" s="344">
        <v>0</v>
      </c>
      <c r="E945" s="20">
        <v>0</v>
      </c>
      <c r="F945" s="20">
        <v>0</v>
      </c>
      <c r="G945" s="225">
        <v>0</v>
      </c>
      <c r="H945" s="384">
        <f t="shared" si="81"/>
        <v>0</v>
      </c>
      <c r="I945" s="20">
        <v>0</v>
      </c>
      <c r="J945" s="20">
        <v>0</v>
      </c>
      <c r="K945" s="20">
        <v>0</v>
      </c>
      <c r="L945" s="20">
        <v>0</v>
      </c>
      <c r="M945" s="388">
        <f t="shared" si="82"/>
        <v>0</v>
      </c>
      <c r="N945" s="378">
        <f t="shared" si="83"/>
        <v>0</v>
      </c>
      <c r="O945" s="389">
        <f t="shared" si="84"/>
        <v>0</v>
      </c>
    </row>
    <row r="946" spans="3:15" x14ac:dyDescent="0.3">
      <c r="C946" s="343" t="s">
        <v>195</v>
      </c>
      <c r="D946" s="381">
        <f t="shared" ref="D946:G946" si="85">SUM(D942:D945)</f>
        <v>28640</v>
      </c>
      <c r="E946" s="381">
        <f t="shared" si="85"/>
        <v>277</v>
      </c>
      <c r="F946" s="381">
        <f t="shared" si="85"/>
        <v>0</v>
      </c>
      <c r="G946" s="381">
        <f t="shared" si="85"/>
        <v>77</v>
      </c>
      <c r="H946" s="381">
        <f t="shared" ref="H946:O946" si="86">SUM(H942:H945)</f>
        <v>28840</v>
      </c>
      <c r="I946" s="381">
        <f t="shared" si="86"/>
        <v>814</v>
      </c>
      <c r="J946" s="381">
        <f t="shared" si="86"/>
        <v>996</v>
      </c>
      <c r="K946" s="381">
        <f t="shared" si="86"/>
        <v>0</v>
      </c>
      <c r="L946" s="344">
        <f t="shared" si="86"/>
        <v>0</v>
      </c>
      <c r="M946" s="344">
        <f t="shared" si="86"/>
        <v>1810</v>
      </c>
      <c r="N946" s="381">
        <f t="shared" si="86"/>
        <v>27030</v>
      </c>
      <c r="O946" s="381">
        <f t="shared" si="86"/>
        <v>27826</v>
      </c>
    </row>
    <row r="947" spans="3:15" ht="14.5" thickBot="1" x14ac:dyDescent="0.35">
      <c r="C947" s="345"/>
      <c r="D947" s="346"/>
      <c r="E947" s="346"/>
      <c r="F947" s="346"/>
      <c r="G947" s="346"/>
      <c r="H947" s="346"/>
      <c r="I947" s="346"/>
      <c r="J947" s="346"/>
      <c r="K947" s="346"/>
      <c r="L947" s="346"/>
      <c r="M947" s="346"/>
      <c r="N947" s="346"/>
      <c r="O947" s="347"/>
    </row>
    <row r="948" spans="3:15" ht="14.5" thickBot="1" x14ac:dyDescent="0.35"/>
    <row r="949" spans="3:15" ht="14.5" thickBot="1" x14ac:dyDescent="0.35">
      <c r="C949" s="1054" t="s">
        <v>882</v>
      </c>
      <c r="D949" s="1056" t="s">
        <v>782</v>
      </c>
      <c r="E949" s="1057"/>
      <c r="F949" s="1057"/>
      <c r="G949" s="1057"/>
      <c r="H949" s="1057"/>
      <c r="I949" s="1058" t="s">
        <v>783</v>
      </c>
      <c r="J949" s="1058"/>
      <c r="K949" s="1058"/>
      <c r="L949" s="1058"/>
      <c r="M949" s="1059"/>
      <c r="N949" s="1060" t="s">
        <v>784</v>
      </c>
      <c r="O949" s="1061"/>
    </row>
    <row r="950" spans="3:15" ht="14.5" thickBot="1" x14ac:dyDescent="0.35">
      <c r="C950" s="1055"/>
      <c r="D950" s="332" t="s">
        <v>785</v>
      </c>
      <c r="E950" s="225" t="s">
        <v>786</v>
      </c>
      <c r="F950" s="225" t="s">
        <v>879</v>
      </c>
      <c r="G950" s="225" t="s">
        <v>787</v>
      </c>
      <c r="H950" s="352" t="s">
        <v>785</v>
      </c>
      <c r="I950" s="352" t="s">
        <v>785</v>
      </c>
      <c r="J950" s="225" t="s">
        <v>786</v>
      </c>
      <c r="K950" s="225" t="s">
        <v>880</v>
      </c>
      <c r="L950" s="225" t="s">
        <v>787</v>
      </c>
      <c r="M950" s="352" t="s">
        <v>785</v>
      </c>
      <c r="N950" s="352" t="s">
        <v>785</v>
      </c>
      <c r="O950" s="333" t="s">
        <v>785</v>
      </c>
    </row>
    <row r="951" spans="3:15" ht="14.5" x14ac:dyDescent="0.35">
      <c r="C951" s="334"/>
      <c r="D951"/>
      <c r="E951"/>
      <c r="F951"/>
      <c r="G951"/>
      <c r="H951"/>
      <c r="I951"/>
      <c r="J951"/>
      <c r="L951"/>
      <c r="M951" s="335"/>
      <c r="O951" s="215"/>
    </row>
    <row r="952" spans="3:15" ht="15" thickBot="1" x14ac:dyDescent="0.4">
      <c r="C952" s="336" t="s">
        <v>884</v>
      </c>
      <c r="D952"/>
      <c r="E952"/>
      <c r="F952"/>
      <c r="G952"/>
      <c r="H952"/>
      <c r="I952"/>
      <c r="J952"/>
      <c r="L952"/>
      <c r="M952" s="335"/>
      <c r="O952" s="215"/>
    </row>
    <row r="953" spans="3:15" ht="15" thickBot="1" x14ac:dyDescent="0.4">
      <c r="C953" s="373"/>
      <c r="D953" s="356">
        <v>42826</v>
      </c>
      <c r="E953" s="225" t="s">
        <v>786</v>
      </c>
      <c r="F953" s="225" t="s">
        <v>880</v>
      </c>
      <c r="G953" s="225" t="s">
        <v>787</v>
      </c>
      <c r="H953" s="357">
        <v>43190</v>
      </c>
      <c r="I953" s="390">
        <v>42826</v>
      </c>
      <c r="J953" s="376" t="s">
        <v>786</v>
      </c>
      <c r="K953" s="376" t="s">
        <v>880</v>
      </c>
      <c r="L953" s="376" t="s">
        <v>787</v>
      </c>
      <c r="M953" s="386">
        <v>43190</v>
      </c>
      <c r="N953" s="358">
        <v>43190</v>
      </c>
      <c r="O953" s="359">
        <v>42826</v>
      </c>
    </row>
    <row r="954" spans="3:15" ht="15" thickBot="1" x14ac:dyDescent="0.4">
      <c r="C954" s="374" t="s">
        <v>886</v>
      </c>
      <c r="D954" s="378">
        <v>2364</v>
      </c>
      <c r="E954" s="387">
        <v>3765</v>
      </c>
      <c r="F954" s="387">
        <v>4054</v>
      </c>
      <c r="G954" s="387">
        <v>0</v>
      </c>
      <c r="H954" s="377">
        <f>SUM(D954,E954,F954,-G954)</f>
        <v>10183</v>
      </c>
      <c r="I954" s="19">
        <v>0</v>
      </c>
      <c r="J954" s="19">
        <v>0</v>
      </c>
      <c r="K954" s="19">
        <v>0</v>
      </c>
      <c r="L954" s="19">
        <v>0</v>
      </c>
      <c r="M954" s="19">
        <f>SUM(I954,J954,K954,-L954)</f>
        <v>0</v>
      </c>
      <c r="N954" s="378">
        <f t="shared" ref="N954:N957" si="87">SUM(H954,-M954)</f>
        <v>10183</v>
      </c>
      <c r="O954" s="389">
        <f t="shared" ref="O954:O957" si="88">SUM(D954,-I954)</f>
        <v>2364</v>
      </c>
    </row>
    <row r="955" spans="3:15" ht="14.5" thickBot="1" x14ac:dyDescent="0.35">
      <c r="C955" s="20" t="s">
        <v>788</v>
      </c>
      <c r="D955" s="344">
        <v>26476</v>
      </c>
      <c r="E955" s="20">
        <v>1401</v>
      </c>
      <c r="F955" s="20">
        <v>0</v>
      </c>
      <c r="G955" s="22">
        <v>164</v>
      </c>
      <c r="H955" s="377">
        <f t="shared" ref="H955:H957" si="89">SUM(D955,E955,F955,-G955)</f>
        <v>27713</v>
      </c>
      <c r="I955" s="391">
        <v>1810</v>
      </c>
      <c r="J955" s="392">
        <v>891</v>
      </c>
      <c r="K955" s="392">
        <v>0</v>
      </c>
      <c r="L955" s="392">
        <v>1</v>
      </c>
      <c r="M955" s="19">
        <f t="shared" ref="M955:M957" si="90">SUM(I955,J955,K955,-L955)</f>
        <v>2700</v>
      </c>
      <c r="N955" s="378">
        <f t="shared" si="87"/>
        <v>25013</v>
      </c>
      <c r="O955" s="389">
        <f t="shared" si="88"/>
        <v>24666</v>
      </c>
    </row>
    <row r="956" spans="3:15" ht="14.5" thickBot="1" x14ac:dyDescent="0.35">
      <c r="C956" s="341" t="s">
        <v>790</v>
      </c>
      <c r="D956" s="348">
        <v>0</v>
      </c>
      <c r="E956" s="342">
        <v>242</v>
      </c>
      <c r="F956" s="342">
        <v>0</v>
      </c>
      <c r="G956" s="383">
        <v>0</v>
      </c>
      <c r="H956" s="377">
        <f t="shared" si="89"/>
        <v>242</v>
      </c>
      <c r="I956" s="20">
        <v>0</v>
      </c>
      <c r="J956" s="19">
        <v>8</v>
      </c>
      <c r="K956" s="20">
        <v>0</v>
      </c>
      <c r="L956" s="20">
        <v>0</v>
      </c>
      <c r="M956" s="19">
        <f t="shared" si="90"/>
        <v>8</v>
      </c>
      <c r="N956" s="378">
        <f t="shared" si="87"/>
        <v>234</v>
      </c>
      <c r="O956" s="389">
        <f t="shared" si="88"/>
        <v>0</v>
      </c>
    </row>
    <row r="957" spans="3:15" ht="14.5" thickBot="1" x14ac:dyDescent="0.35">
      <c r="C957" s="18" t="s">
        <v>794</v>
      </c>
      <c r="D957" s="344">
        <v>0</v>
      </c>
      <c r="E957" s="20">
        <v>0</v>
      </c>
      <c r="F957" s="20">
        <v>0</v>
      </c>
      <c r="G957" s="225">
        <v>0</v>
      </c>
      <c r="H957" s="377">
        <f t="shared" si="89"/>
        <v>0</v>
      </c>
      <c r="I957" s="342">
        <v>0</v>
      </c>
      <c r="J957" s="342">
        <v>0</v>
      </c>
      <c r="K957" s="342">
        <v>0</v>
      </c>
      <c r="L957" s="342">
        <v>0</v>
      </c>
      <c r="M957" s="19">
        <f t="shared" si="90"/>
        <v>0</v>
      </c>
      <c r="N957" s="378">
        <f t="shared" si="87"/>
        <v>0</v>
      </c>
      <c r="O957" s="389">
        <f t="shared" si="88"/>
        <v>0</v>
      </c>
    </row>
    <row r="958" spans="3:15" x14ac:dyDescent="0.3">
      <c r="C958" s="343" t="s">
        <v>195</v>
      </c>
      <c r="D958" s="381">
        <f t="shared" ref="D958:O958" si="91">SUM(D954:D957)</f>
        <v>28840</v>
      </c>
      <c r="E958" s="381">
        <f t="shared" si="91"/>
        <v>5408</v>
      </c>
      <c r="F958" s="381">
        <f t="shared" si="91"/>
        <v>4054</v>
      </c>
      <c r="G958" s="381">
        <f t="shared" si="91"/>
        <v>164</v>
      </c>
      <c r="H958" s="381">
        <f t="shared" si="91"/>
        <v>38138</v>
      </c>
      <c r="I958" s="381">
        <f t="shared" si="91"/>
        <v>1810</v>
      </c>
      <c r="J958" s="381">
        <f t="shared" si="91"/>
        <v>899</v>
      </c>
      <c r="K958" s="381">
        <f t="shared" si="91"/>
        <v>0</v>
      </c>
      <c r="L958" s="381">
        <f t="shared" si="91"/>
        <v>1</v>
      </c>
      <c r="M958" s="381">
        <f t="shared" si="91"/>
        <v>2708</v>
      </c>
      <c r="N958" s="381">
        <f t="shared" si="91"/>
        <v>35430</v>
      </c>
      <c r="O958" s="381">
        <f t="shared" si="91"/>
        <v>27030</v>
      </c>
    </row>
    <row r="959" spans="3:15" ht="14.5" thickBot="1" x14ac:dyDescent="0.35">
      <c r="C959" s="345"/>
      <c r="D959" s="346"/>
      <c r="E959" s="346"/>
      <c r="F959" s="346"/>
      <c r="G959" s="346"/>
      <c r="H959" s="346"/>
      <c r="I959" s="346"/>
      <c r="J959" s="346"/>
      <c r="K959" s="346"/>
      <c r="L959" s="346"/>
      <c r="M959" s="346"/>
      <c r="N959" s="346"/>
      <c r="O959" s="347"/>
    </row>
    <row r="961" spans="3:17" ht="14.5" thickBot="1" x14ac:dyDescent="0.35"/>
    <row r="962" spans="3:17" ht="14.5" thickBot="1" x14ac:dyDescent="0.35">
      <c r="C962" s="1054" t="s">
        <v>882</v>
      </c>
      <c r="D962" s="1056" t="s">
        <v>782</v>
      </c>
      <c r="E962" s="1057"/>
      <c r="F962" s="1057"/>
      <c r="G962" s="1057"/>
      <c r="H962" s="1057"/>
      <c r="I962" s="1058" t="s">
        <v>783</v>
      </c>
      <c r="J962" s="1058"/>
      <c r="K962" s="1058"/>
      <c r="L962" s="1058"/>
      <c r="M962" s="1059"/>
      <c r="N962" s="1060" t="s">
        <v>784</v>
      </c>
      <c r="O962" s="1061"/>
    </row>
    <row r="963" spans="3:17" ht="14.5" thickBot="1" x14ac:dyDescent="0.35">
      <c r="C963" s="1055"/>
      <c r="D963" s="332" t="s">
        <v>785</v>
      </c>
      <c r="E963" s="225" t="s">
        <v>786</v>
      </c>
      <c r="F963" s="225" t="s">
        <v>879</v>
      </c>
      <c r="G963" s="225" t="s">
        <v>787</v>
      </c>
      <c r="H963" s="352" t="s">
        <v>785</v>
      </c>
      <c r="I963" s="352" t="s">
        <v>785</v>
      </c>
      <c r="J963" s="225" t="s">
        <v>786</v>
      </c>
      <c r="K963" s="225" t="s">
        <v>880</v>
      </c>
      <c r="L963" s="225" t="s">
        <v>787</v>
      </c>
      <c r="M963" s="352" t="s">
        <v>785</v>
      </c>
      <c r="N963" s="352" t="s">
        <v>785</v>
      </c>
      <c r="O963" s="333" t="s">
        <v>785</v>
      </c>
    </row>
    <row r="964" spans="3:17" ht="14.5" x14ac:dyDescent="0.35">
      <c r="C964" s="334"/>
      <c r="D964"/>
      <c r="E964"/>
      <c r="F964"/>
      <c r="G964"/>
      <c r="H964"/>
      <c r="I964"/>
      <c r="J964"/>
      <c r="L964"/>
      <c r="M964" s="335"/>
      <c r="O964" s="215"/>
    </row>
    <row r="965" spans="3:17" ht="15" thickBot="1" x14ac:dyDescent="0.4">
      <c r="C965" s="336" t="s">
        <v>878</v>
      </c>
      <c r="D965"/>
      <c r="E965"/>
      <c r="F965"/>
      <c r="G965"/>
      <c r="H965"/>
      <c r="I965"/>
      <c r="J965"/>
      <c r="L965"/>
      <c r="M965" s="335"/>
      <c r="O965" s="215"/>
    </row>
    <row r="966" spans="3:17" ht="15" thickBot="1" x14ac:dyDescent="0.4">
      <c r="C966" s="373"/>
      <c r="D966" s="356">
        <v>43191</v>
      </c>
      <c r="E966" s="225" t="s">
        <v>786</v>
      </c>
      <c r="F966" s="225" t="s">
        <v>880</v>
      </c>
      <c r="G966" s="225" t="s">
        <v>787</v>
      </c>
      <c r="H966" s="357">
        <v>43555</v>
      </c>
      <c r="I966" s="357">
        <v>43191</v>
      </c>
      <c r="J966" s="225" t="s">
        <v>786</v>
      </c>
      <c r="K966" s="225" t="s">
        <v>880</v>
      </c>
      <c r="L966" s="225" t="s">
        <v>787</v>
      </c>
      <c r="M966" s="358">
        <v>43555</v>
      </c>
      <c r="N966" s="358">
        <v>43555</v>
      </c>
      <c r="O966" s="359">
        <v>43191</v>
      </c>
    </row>
    <row r="967" spans="3:17" ht="15" thickBot="1" x14ac:dyDescent="0.4">
      <c r="C967" s="374" t="s">
        <v>886</v>
      </c>
      <c r="D967" s="378">
        <v>10183</v>
      </c>
      <c r="E967" s="387">
        <v>2508</v>
      </c>
      <c r="F967" s="387">
        <v>2650</v>
      </c>
      <c r="G967" s="387">
        <v>6566</v>
      </c>
      <c r="H967" s="377">
        <f t="shared" ref="H967:H971" si="92">SUM(D967,E967,F967,-G967)</f>
        <v>8775</v>
      </c>
      <c r="I967" s="19">
        <v>0</v>
      </c>
      <c r="J967" s="19">
        <v>0</v>
      </c>
      <c r="K967" s="19">
        <v>0</v>
      </c>
      <c r="L967" s="19">
        <v>0</v>
      </c>
      <c r="M967" s="19">
        <f t="shared" ref="M967:M971" si="93">SUM(I967,J967,K967,-L967)</f>
        <v>0</v>
      </c>
      <c r="N967" s="378">
        <f>H967-M967</f>
        <v>8775</v>
      </c>
      <c r="O967" s="389">
        <f>D967-I967</f>
        <v>10183</v>
      </c>
    </row>
    <row r="968" spans="3:17" ht="14.5" thickBot="1" x14ac:dyDescent="0.35">
      <c r="C968" s="20" t="s">
        <v>788</v>
      </c>
      <c r="D968" s="344">
        <v>27713</v>
      </c>
      <c r="E968" s="20">
        <v>6015</v>
      </c>
      <c r="F968" s="20">
        <v>4686</v>
      </c>
      <c r="G968" s="22">
        <v>126</v>
      </c>
      <c r="H968" s="377">
        <f t="shared" si="92"/>
        <v>38288</v>
      </c>
      <c r="I968" s="391">
        <v>2700</v>
      </c>
      <c r="J968" s="392">
        <v>1203</v>
      </c>
      <c r="K968" s="392">
        <v>399</v>
      </c>
      <c r="L968" s="392">
        <v>9</v>
      </c>
      <c r="M968" s="19">
        <f t="shared" si="93"/>
        <v>4293</v>
      </c>
      <c r="N968" s="378">
        <f t="shared" ref="N968:N971" si="94">H968-M968</f>
        <v>33995</v>
      </c>
      <c r="O968" s="389">
        <f t="shared" ref="O968:O971" si="95">D968-I968</f>
        <v>25013</v>
      </c>
    </row>
    <row r="969" spans="3:17" ht="14.5" thickBot="1" x14ac:dyDescent="0.35">
      <c r="C969" s="341" t="s">
        <v>790</v>
      </c>
      <c r="D969" s="348">
        <v>242</v>
      </c>
      <c r="E969" s="342">
        <v>707</v>
      </c>
      <c r="F969" s="342">
        <v>1130</v>
      </c>
      <c r="G969" s="383">
        <v>0</v>
      </c>
      <c r="H969" s="377">
        <f t="shared" si="92"/>
        <v>2079</v>
      </c>
      <c r="I969" s="20">
        <v>8</v>
      </c>
      <c r="J969" s="19">
        <v>222</v>
      </c>
      <c r="K969" s="20">
        <v>321</v>
      </c>
      <c r="L969" s="20">
        <v>0</v>
      </c>
      <c r="M969" s="19">
        <f t="shared" si="93"/>
        <v>551</v>
      </c>
      <c r="N969" s="378">
        <f t="shared" si="94"/>
        <v>1528</v>
      </c>
      <c r="O969" s="389">
        <f t="shared" si="95"/>
        <v>234</v>
      </c>
    </row>
    <row r="970" spans="3:17" ht="14.5" thickBot="1" x14ac:dyDescent="0.35">
      <c r="C970" s="18" t="s">
        <v>794</v>
      </c>
      <c r="D970" s="344">
        <v>0</v>
      </c>
      <c r="E970" s="20">
        <v>0</v>
      </c>
      <c r="F970" s="20">
        <v>0</v>
      </c>
      <c r="G970" s="225">
        <v>0</v>
      </c>
      <c r="H970" s="377">
        <f t="shared" si="92"/>
        <v>0</v>
      </c>
      <c r="I970" s="342">
        <v>0</v>
      </c>
      <c r="J970" s="342">
        <v>0</v>
      </c>
      <c r="K970" s="342">
        <v>0</v>
      </c>
      <c r="L970" s="342">
        <v>0</v>
      </c>
      <c r="M970" s="19">
        <f t="shared" si="93"/>
        <v>0</v>
      </c>
      <c r="N970" s="378">
        <f t="shared" si="94"/>
        <v>0</v>
      </c>
      <c r="O970" s="389">
        <f t="shared" si="95"/>
        <v>0</v>
      </c>
    </row>
    <row r="971" spans="3:17" x14ac:dyDescent="0.3">
      <c r="C971" s="18" t="s">
        <v>887</v>
      </c>
      <c r="D971" s="344">
        <v>0</v>
      </c>
      <c r="E971" s="20">
        <v>0</v>
      </c>
      <c r="F971" s="20">
        <v>0</v>
      </c>
      <c r="G971" s="393">
        <v>0</v>
      </c>
      <c r="H971" s="394">
        <f t="shared" si="92"/>
        <v>0</v>
      </c>
      <c r="I971" s="342">
        <v>0</v>
      </c>
      <c r="J971" s="342">
        <v>0</v>
      </c>
      <c r="K971" s="342"/>
      <c r="L971" s="342"/>
      <c r="M971" s="19">
        <f t="shared" si="93"/>
        <v>0</v>
      </c>
      <c r="N971" s="378">
        <f t="shared" si="94"/>
        <v>0</v>
      </c>
      <c r="O971" s="389">
        <f t="shared" si="95"/>
        <v>0</v>
      </c>
    </row>
    <row r="972" spans="3:17" x14ac:dyDescent="0.3">
      <c r="C972" s="343" t="s">
        <v>195</v>
      </c>
      <c r="D972" s="381">
        <f t="shared" ref="D972:H972" si="96">SUM(D967:D971)</f>
        <v>38138</v>
      </c>
      <c r="E972" s="381">
        <f t="shared" si="96"/>
        <v>9230</v>
      </c>
      <c r="F972" s="381">
        <f t="shared" si="96"/>
        <v>8466</v>
      </c>
      <c r="G972" s="381">
        <f t="shared" si="96"/>
        <v>6692</v>
      </c>
      <c r="H972" s="381">
        <f t="shared" si="96"/>
        <v>49142</v>
      </c>
      <c r="I972" s="381">
        <f t="shared" ref="I972" si="97">SUM(I967:I971)</f>
        <v>2708</v>
      </c>
      <c r="J972" s="381">
        <f t="shared" ref="J972" si="98">SUM(J967:J971)</f>
        <v>1425</v>
      </c>
      <c r="K972" s="381">
        <f>SUM(K967:K971)</f>
        <v>720</v>
      </c>
      <c r="L972" s="381">
        <f t="shared" ref="L972" si="99">SUM(L967:L971)</f>
        <v>9</v>
      </c>
      <c r="M972" s="381">
        <f t="shared" ref="M972" si="100">SUM(M967:M971)</f>
        <v>4844</v>
      </c>
      <c r="N972" s="381">
        <f t="shared" ref="N972" si="101">SUM(N967:N971)</f>
        <v>44298</v>
      </c>
      <c r="O972" s="381">
        <f t="shared" ref="O972" si="102">SUM(O967:O971)</f>
        <v>35430</v>
      </c>
    </row>
    <row r="973" spans="3:17" ht="14.5" thickBot="1" x14ac:dyDescent="0.35">
      <c r="C973" s="345"/>
      <c r="D973" s="346"/>
      <c r="E973" s="346"/>
      <c r="F973" s="346"/>
      <c r="G973" s="346"/>
      <c r="H973" s="346"/>
      <c r="I973" s="346"/>
      <c r="J973" s="346"/>
      <c r="K973" s="346"/>
      <c r="L973" s="346"/>
      <c r="M973" s="346"/>
      <c r="N973" s="346"/>
      <c r="O973" s="347"/>
    </row>
    <row r="975" spans="3:17" ht="14.5" thickBot="1" x14ac:dyDescent="0.35"/>
    <row r="976" spans="3:17" ht="14.5" thickBot="1" x14ac:dyDescent="0.35">
      <c r="C976" s="1054" t="s">
        <v>882</v>
      </c>
      <c r="D976" s="1062" t="s">
        <v>782</v>
      </c>
      <c r="E976" s="1063"/>
      <c r="F976" s="1063"/>
      <c r="G976" s="1063"/>
      <c r="H976" s="1063"/>
      <c r="I976" s="1063"/>
      <c r="J976" s="1064" t="s">
        <v>783</v>
      </c>
      <c r="K976" s="1064"/>
      <c r="L976" s="1064"/>
      <c r="M976" s="1064"/>
      <c r="N976" s="1064"/>
      <c r="O976" s="1064"/>
      <c r="P976" s="1060" t="s">
        <v>784</v>
      </c>
      <c r="Q976" s="1061"/>
    </row>
    <row r="977" spans="3:17" ht="14.5" thickBot="1" x14ac:dyDescent="0.35">
      <c r="C977" s="1055"/>
      <c r="D977" s="332" t="s">
        <v>785</v>
      </c>
      <c r="E977" s="225" t="s">
        <v>786</v>
      </c>
      <c r="F977" s="225" t="s">
        <v>879</v>
      </c>
      <c r="G977" s="225" t="s">
        <v>888</v>
      </c>
      <c r="H977" s="225" t="s">
        <v>787</v>
      </c>
      <c r="I977" s="352" t="s">
        <v>785</v>
      </c>
      <c r="J977" s="352" t="s">
        <v>785</v>
      </c>
      <c r="K977" s="225" t="s">
        <v>786</v>
      </c>
      <c r="L977" s="225" t="s">
        <v>880</v>
      </c>
      <c r="M977" s="225" t="s">
        <v>888</v>
      </c>
      <c r="N977" s="225" t="s">
        <v>787</v>
      </c>
      <c r="O977" s="352" t="s">
        <v>785</v>
      </c>
      <c r="P977" s="352" t="s">
        <v>785</v>
      </c>
      <c r="Q977" s="333" t="s">
        <v>785</v>
      </c>
    </row>
    <row r="978" spans="3:17" ht="14.5" x14ac:dyDescent="0.35">
      <c r="C978" s="334"/>
      <c r="D978"/>
      <c r="E978"/>
      <c r="F978"/>
      <c r="G978"/>
      <c r="H978"/>
      <c r="I978"/>
      <c r="J978"/>
      <c r="K978"/>
      <c r="M978"/>
      <c r="N978"/>
      <c r="O978" s="335"/>
      <c r="Q978" s="215"/>
    </row>
    <row r="979" spans="3:17" ht="15" thickBot="1" x14ac:dyDescent="0.4">
      <c r="C979" s="336" t="s">
        <v>881</v>
      </c>
      <c r="D979"/>
      <c r="E979"/>
      <c r="F979"/>
      <c r="G979"/>
      <c r="H979"/>
      <c r="I979"/>
      <c r="J979"/>
      <c r="K979"/>
      <c r="M979"/>
      <c r="N979"/>
      <c r="O979" s="335"/>
      <c r="Q979" s="215"/>
    </row>
    <row r="980" spans="3:17" ht="15" thickBot="1" x14ac:dyDescent="0.4">
      <c r="C980" s="373"/>
      <c r="D980" s="356">
        <v>43556</v>
      </c>
      <c r="E980" s="225" t="s">
        <v>786</v>
      </c>
      <c r="F980" s="225" t="s">
        <v>880</v>
      </c>
      <c r="G980" s="376" t="s">
        <v>888</v>
      </c>
      <c r="H980" s="376" t="s">
        <v>787</v>
      </c>
      <c r="I980" s="390">
        <v>43921</v>
      </c>
      <c r="J980" s="357">
        <v>43556</v>
      </c>
      <c r="K980" s="225" t="s">
        <v>786</v>
      </c>
      <c r="L980" s="225" t="s">
        <v>880</v>
      </c>
      <c r="M980" s="376" t="s">
        <v>888</v>
      </c>
      <c r="N980" s="225" t="s">
        <v>787</v>
      </c>
      <c r="O980" s="358">
        <v>43921</v>
      </c>
      <c r="P980" s="358">
        <v>43921</v>
      </c>
      <c r="Q980" s="359">
        <v>43556</v>
      </c>
    </row>
    <row r="981" spans="3:17" ht="15" thickBot="1" x14ac:dyDescent="0.4">
      <c r="C981" s="374" t="s">
        <v>886</v>
      </c>
      <c r="D981" s="378">
        <v>8775</v>
      </c>
      <c r="E981" s="387">
        <v>46</v>
      </c>
      <c r="F981" s="387">
        <v>2215</v>
      </c>
      <c r="G981" s="395">
        <v>0</v>
      </c>
      <c r="H981" s="395">
        <v>0</v>
      </c>
      <c r="I981" s="396">
        <f>SUM(D981,E981,F981,G981,-H981)</f>
        <v>11036</v>
      </c>
      <c r="J981" s="19">
        <v>0</v>
      </c>
      <c r="K981" s="19">
        <v>0</v>
      </c>
      <c r="L981" s="19">
        <v>0</v>
      </c>
      <c r="M981" s="19">
        <v>0</v>
      </c>
      <c r="N981" s="19">
        <v>0</v>
      </c>
      <c r="O981" s="19">
        <f>SUM(J981,K981,L981,M981,-N981)</f>
        <v>0</v>
      </c>
      <c r="P981" s="378">
        <f>I981-O981</f>
        <v>11036</v>
      </c>
      <c r="Q981" s="389">
        <f>D981-J981</f>
        <v>8775</v>
      </c>
    </row>
    <row r="982" spans="3:17" ht="14.5" thickBot="1" x14ac:dyDescent="0.35">
      <c r="C982" s="20" t="s">
        <v>788</v>
      </c>
      <c r="D982" s="344">
        <v>38288</v>
      </c>
      <c r="E982" s="20">
        <v>2602</v>
      </c>
      <c r="F982" s="20">
        <v>3131</v>
      </c>
      <c r="G982" s="20">
        <v>0</v>
      </c>
      <c r="H982" s="22">
        <v>0</v>
      </c>
      <c r="I982" s="396">
        <f t="shared" ref="I982:I985" si="103">SUM(D982,E982,F982,G982,-H982)</f>
        <v>44021</v>
      </c>
      <c r="J982" s="391">
        <v>4293</v>
      </c>
      <c r="K982" s="392">
        <v>1474</v>
      </c>
      <c r="L982" s="392">
        <v>466</v>
      </c>
      <c r="M982" s="392">
        <v>0</v>
      </c>
      <c r="N982" s="392">
        <v>0</v>
      </c>
      <c r="O982" s="19">
        <f t="shared" ref="O982:O985" si="104">SUM(J982,K982,L982,M982,-N982)</f>
        <v>6233</v>
      </c>
      <c r="P982" s="378">
        <f>I982-O982</f>
        <v>37788</v>
      </c>
      <c r="Q982" s="389">
        <f>D982-J982</f>
        <v>33995</v>
      </c>
    </row>
    <row r="983" spans="3:17" ht="14.5" thickBot="1" x14ac:dyDescent="0.35">
      <c r="C983" s="341" t="s">
        <v>790</v>
      </c>
      <c r="D983" s="348">
        <v>2079</v>
      </c>
      <c r="E983" s="342">
        <v>637</v>
      </c>
      <c r="F983" s="342">
        <v>1018</v>
      </c>
      <c r="G983" s="20">
        <v>0</v>
      </c>
      <c r="H983" s="22">
        <v>0</v>
      </c>
      <c r="I983" s="396">
        <f t="shared" si="103"/>
        <v>3734</v>
      </c>
      <c r="J983" s="20">
        <v>551</v>
      </c>
      <c r="K983" s="19">
        <v>444</v>
      </c>
      <c r="L983" s="20">
        <v>456</v>
      </c>
      <c r="M983" s="20">
        <v>0</v>
      </c>
      <c r="N983" s="20">
        <v>0</v>
      </c>
      <c r="O983" s="19">
        <f t="shared" si="104"/>
        <v>1451</v>
      </c>
      <c r="P983" s="378">
        <f>I983-O983</f>
        <v>2283</v>
      </c>
      <c r="Q983" s="389">
        <f>D983-J983</f>
        <v>1528</v>
      </c>
    </row>
    <row r="984" spans="3:17" ht="14.5" thickBot="1" x14ac:dyDescent="0.35">
      <c r="C984" s="18" t="s">
        <v>794</v>
      </c>
      <c r="D984" s="344">
        <v>0</v>
      </c>
      <c r="E984" s="20">
        <v>0</v>
      </c>
      <c r="F984" s="20"/>
      <c r="G984" s="20">
        <v>0</v>
      </c>
      <c r="H984" s="22">
        <v>0</v>
      </c>
      <c r="I984" s="396">
        <f t="shared" si="103"/>
        <v>0</v>
      </c>
      <c r="J984" s="342">
        <v>0</v>
      </c>
      <c r="K984" s="342">
        <v>0</v>
      </c>
      <c r="L984" s="342">
        <v>0</v>
      </c>
      <c r="M984" s="342">
        <v>0</v>
      </c>
      <c r="N984" s="342">
        <v>0</v>
      </c>
      <c r="O984" s="19">
        <f t="shared" si="104"/>
        <v>0</v>
      </c>
      <c r="P984" s="378">
        <f>I984-O984</f>
        <v>0</v>
      </c>
      <c r="Q984" s="389">
        <f>D984-J984</f>
        <v>0</v>
      </c>
    </row>
    <row r="985" spans="3:17" x14ac:dyDescent="0.3">
      <c r="C985" s="18" t="s">
        <v>887</v>
      </c>
      <c r="D985" s="344"/>
      <c r="E985" s="20">
        <v>2448</v>
      </c>
      <c r="F985" s="20"/>
      <c r="G985" s="20">
        <v>11179</v>
      </c>
      <c r="H985" s="22">
        <v>379</v>
      </c>
      <c r="I985" s="396">
        <f t="shared" si="103"/>
        <v>13248</v>
      </c>
      <c r="J985" s="342">
        <v>0</v>
      </c>
      <c r="K985" s="342">
        <v>2546</v>
      </c>
      <c r="L985" s="342">
        <v>0</v>
      </c>
      <c r="M985" s="342">
        <v>0</v>
      </c>
      <c r="N985" s="342">
        <v>46</v>
      </c>
      <c r="O985" s="19">
        <f t="shared" si="104"/>
        <v>2500</v>
      </c>
      <c r="P985" s="378">
        <f>I985-O985</f>
        <v>10748</v>
      </c>
      <c r="Q985" s="389">
        <f>D985-J985</f>
        <v>0</v>
      </c>
    </row>
    <row r="986" spans="3:17" x14ac:dyDescent="0.3">
      <c r="C986" s="343" t="s">
        <v>195</v>
      </c>
      <c r="D986" s="381">
        <f t="shared" ref="D986" si="105">SUM(D981:D985)</f>
        <v>49142</v>
      </c>
      <c r="E986" s="381">
        <f t="shared" ref="E986" si="106">SUM(E981:E985)</f>
        <v>5733</v>
      </c>
      <c r="F986" s="381">
        <f t="shared" ref="F986:G986" si="107">SUM(F981:F985)</f>
        <v>6364</v>
      </c>
      <c r="G986" s="381">
        <f t="shared" si="107"/>
        <v>11179</v>
      </c>
      <c r="H986" s="381">
        <f t="shared" ref="H986" si="108">SUM(H981:H985)</f>
        <v>379</v>
      </c>
      <c r="I986" s="381">
        <f t="shared" ref="I986" si="109">SUM(I981:I985)</f>
        <v>72039</v>
      </c>
      <c r="J986" s="381">
        <f t="shared" ref="J986" si="110">SUM(J981:J985)</f>
        <v>4844</v>
      </c>
      <c r="K986" s="381">
        <f>SUM(K981:K985)</f>
        <v>4464</v>
      </c>
      <c r="L986" s="381">
        <f>SUM(L981:L985)</f>
        <v>922</v>
      </c>
      <c r="M986" s="381"/>
      <c r="N986" s="381">
        <f t="shared" ref="N986" si="111">SUM(N981:N985)</f>
        <v>46</v>
      </c>
      <c r="O986" s="381">
        <f t="shared" ref="O986" si="112">SUM(O981:O985)</f>
        <v>10184</v>
      </c>
      <c r="P986" s="381">
        <f t="shared" ref="P986" si="113">SUM(P981:P985)</f>
        <v>61855</v>
      </c>
      <c r="Q986" s="381">
        <f t="shared" ref="Q986" si="114">SUM(Q981:Q985)</f>
        <v>44298</v>
      </c>
    </row>
    <row r="987" spans="3:17" ht="14.5" thickBot="1" x14ac:dyDescent="0.35">
      <c r="C987" s="345"/>
      <c r="D987" s="346"/>
      <c r="E987" s="346"/>
      <c r="F987" s="346"/>
      <c r="G987" s="20"/>
      <c r="H987" s="20"/>
      <c r="I987" s="20"/>
      <c r="J987" s="346"/>
      <c r="K987" s="346"/>
      <c r="L987" s="346"/>
      <c r="M987" s="346"/>
      <c r="N987" s="346"/>
      <c r="O987" s="346"/>
      <c r="P987" s="346"/>
      <c r="Q987" s="347"/>
    </row>
    <row r="989" spans="3:17" ht="15" thickBot="1" x14ac:dyDescent="0.4">
      <c r="C989" s="372" t="s">
        <v>889</v>
      </c>
    </row>
    <row r="990" spans="3:17" ht="14.5" thickBot="1" x14ac:dyDescent="0.35">
      <c r="C990" s="1054" t="s">
        <v>882</v>
      </c>
      <c r="D990" s="1056" t="s">
        <v>782</v>
      </c>
      <c r="E990" s="1057"/>
      <c r="F990" s="1057"/>
      <c r="G990" s="1057"/>
      <c r="H990" s="1057"/>
      <c r="I990" s="1058" t="s">
        <v>783</v>
      </c>
      <c r="J990" s="1058"/>
      <c r="K990" s="1058"/>
      <c r="L990" s="1058"/>
      <c r="M990" s="1059"/>
      <c r="N990" s="1060" t="s">
        <v>784</v>
      </c>
      <c r="O990" s="1061"/>
    </row>
    <row r="991" spans="3:17" ht="14.5" thickBot="1" x14ac:dyDescent="0.35">
      <c r="C991" s="1055"/>
      <c r="D991" s="332" t="s">
        <v>785</v>
      </c>
      <c r="E991" s="225" t="s">
        <v>786</v>
      </c>
      <c r="F991" s="225" t="s">
        <v>879</v>
      </c>
      <c r="G991" s="225" t="s">
        <v>787</v>
      </c>
      <c r="H991" s="352" t="s">
        <v>785</v>
      </c>
      <c r="I991" s="352" t="s">
        <v>785</v>
      </c>
      <c r="J991" s="225" t="s">
        <v>786</v>
      </c>
      <c r="K991" s="225" t="s">
        <v>880</v>
      </c>
      <c r="L991" s="225" t="s">
        <v>787</v>
      </c>
      <c r="M991" s="352" t="s">
        <v>785</v>
      </c>
      <c r="N991" s="352" t="s">
        <v>785</v>
      </c>
      <c r="O991" s="333" t="s">
        <v>785</v>
      </c>
    </row>
    <row r="992" spans="3:17" ht="14.5" x14ac:dyDescent="0.35">
      <c r="C992" s="334"/>
      <c r="D992"/>
      <c r="E992"/>
      <c r="F992"/>
      <c r="G992"/>
      <c r="H992"/>
      <c r="I992"/>
      <c r="J992"/>
      <c r="L992"/>
      <c r="M992" s="335"/>
      <c r="O992" s="215"/>
    </row>
    <row r="993" spans="3:15" ht="15" thickBot="1" x14ac:dyDescent="0.4">
      <c r="C993" s="336" t="s">
        <v>877</v>
      </c>
      <c r="D993"/>
      <c r="E993"/>
      <c r="F993"/>
      <c r="G993"/>
      <c r="H993"/>
      <c r="I993"/>
      <c r="J993"/>
      <c r="L993"/>
      <c r="M993" s="335"/>
      <c r="O993" s="215"/>
    </row>
    <row r="994" spans="3:15" ht="15" thickBot="1" x14ac:dyDescent="0.4">
      <c r="C994" s="373"/>
      <c r="D994" s="356">
        <v>42095</v>
      </c>
      <c r="E994" s="225" t="s">
        <v>786</v>
      </c>
      <c r="F994" s="225" t="s">
        <v>880</v>
      </c>
      <c r="G994" s="225" t="s">
        <v>787</v>
      </c>
      <c r="H994" s="357">
        <v>42460</v>
      </c>
      <c r="I994" s="357">
        <v>42095</v>
      </c>
      <c r="J994" s="225" t="s">
        <v>786</v>
      </c>
      <c r="K994" s="225" t="s">
        <v>880</v>
      </c>
      <c r="L994" s="225" t="s">
        <v>787</v>
      </c>
      <c r="M994" s="358">
        <v>42460</v>
      </c>
      <c r="N994" s="358">
        <v>42460</v>
      </c>
      <c r="O994" s="359">
        <v>42095</v>
      </c>
    </row>
    <row r="995" spans="3:15" ht="14.5" x14ac:dyDescent="0.35">
      <c r="C995" s="309" t="s">
        <v>890</v>
      </c>
      <c r="D995" s="388">
        <v>27</v>
      </c>
      <c r="E995" s="395">
        <v>36</v>
      </c>
      <c r="F995" s="395">
        <v>0</v>
      </c>
      <c r="G995" s="395">
        <v>0</v>
      </c>
      <c r="H995" s="396">
        <f>SUM(D995,E995,F995,-G995)</f>
        <v>63</v>
      </c>
      <c r="I995" s="19">
        <v>0</v>
      </c>
      <c r="J995" s="19">
        <v>21</v>
      </c>
      <c r="K995" s="19">
        <v>0</v>
      </c>
      <c r="L995" s="19">
        <v>0</v>
      </c>
      <c r="M995" s="19">
        <f>SUM(I995,J995,K995,-L995)</f>
        <v>21</v>
      </c>
      <c r="N995" s="388">
        <f t="shared" ref="N995" si="115">SUM(H995,-M995)</f>
        <v>42</v>
      </c>
      <c r="O995" s="388">
        <f t="shared" ref="O995" si="116">SUM(D995,-I995)</f>
        <v>27</v>
      </c>
    </row>
    <row r="996" spans="3:15" ht="15" thickBot="1" x14ac:dyDescent="0.4">
      <c r="C996"/>
      <c r="D996"/>
      <c r="E996"/>
      <c r="F996"/>
      <c r="G996"/>
      <c r="H996"/>
      <c r="I996"/>
      <c r="J996"/>
      <c r="K996"/>
      <c r="L996"/>
      <c r="M996"/>
      <c r="N996"/>
      <c r="O996"/>
    </row>
    <row r="997" spans="3:15" ht="14.5" thickBot="1" x14ac:dyDescent="0.35">
      <c r="C997" s="1054" t="s">
        <v>882</v>
      </c>
      <c r="D997" s="1056" t="s">
        <v>782</v>
      </c>
      <c r="E997" s="1057"/>
      <c r="F997" s="1057"/>
      <c r="G997" s="1057"/>
      <c r="H997" s="1057"/>
      <c r="I997" s="1058" t="s">
        <v>783</v>
      </c>
      <c r="J997" s="1058"/>
      <c r="K997" s="1058"/>
      <c r="L997" s="1058"/>
      <c r="M997" s="1059"/>
      <c r="N997" s="1060" t="s">
        <v>784</v>
      </c>
      <c r="O997" s="1061"/>
    </row>
    <row r="998" spans="3:15" ht="14.5" thickBot="1" x14ac:dyDescent="0.35">
      <c r="C998" s="1055"/>
      <c r="D998" s="332" t="s">
        <v>785</v>
      </c>
      <c r="E998" s="225" t="s">
        <v>786</v>
      </c>
      <c r="F998" s="225" t="s">
        <v>879</v>
      </c>
      <c r="G998" s="225" t="s">
        <v>787</v>
      </c>
      <c r="H998" s="352" t="s">
        <v>785</v>
      </c>
      <c r="I998" s="352" t="s">
        <v>785</v>
      </c>
      <c r="J998" s="225" t="s">
        <v>786</v>
      </c>
      <c r="K998" s="225" t="s">
        <v>880</v>
      </c>
      <c r="L998" s="225" t="s">
        <v>787</v>
      </c>
      <c r="M998" s="352" t="s">
        <v>785</v>
      </c>
      <c r="N998" s="352" t="s">
        <v>785</v>
      </c>
      <c r="O998" s="333" t="s">
        <v>785</v>
      </c>
    </row>
    <row r="999" spans="3:15" ht="14.5" x14ac:dyDescent="0.35">
      <c r="C999" s="334"/>
      <c r="D999"/>
      <c r="E999"/>
      <c r="F999"/>
      <c r="G999"/>
      <c r="H999"/>
      <c r="I999"/>
      <c r="J999"/>
      <c r="L999"/>
      <c r="M999" s="335"/>
      <c r="O999" s="215"/>
    </row>
    <row r="1000" spans="3:15" ht="15" thickBot="1" x14ac:dyDescent="0.4">
      <c r="C1000" s="336" t="s">
        <v>795</v>
      </c>
      <c r="D1000"/>
      <c r="E1000"/>
      <c r="F1000"/>
      <c r="G1000"/>
      <c r="H1000"/>
      <c r="I1000"/>
      <c r="J1000"/>
      <c r="L1000"/>
      <c r="M1000" s="335"/>
      <c r="O1000" s="215"/>
    </row>
    <row r="1001" spans="3:15" ht="15" thickBot="1" x14ac:dyDescent="0.4">
      <c r="C1001" s="373"/>
      <c r="D1001" s="356">
        <v>42461</v>
      </c>
      <c r="E1001" s="361" t="s">
        <v>786</v>
      </c>
      <c r="F1001" s="362" t="s">
        <v>880</v>
      </c>
      <c r="G1001" s="224" t="s">
        <v>787</v>
      </c>
      <c r="H1001" s="357">
        <v>42825</v>
      </c>
      <c r="I1001" s="357">
        <v>42461</v>
      </c>
      <c r="J1001" s="225" t="s">
        <v>786</v>
      </c>
      <c r="K1001" s="225" t="s">
        <v>880</v>
      </c>
      <c r="L1001" s="225" t="s">
        <v>787</v>
      </c>
      <c r="M1001" s="386">
        <v>42825</v>
      </c>
      <c r="N1001" s="358">
        <v>42825</v>
      </c>
      <c r="O1001" s="359">
        <v>42461</v>
      </c>
    </row>
    <row r="1002" spans="3:15" ht="14.5" x14ac:dyDescent="0.35">
      <c r="C1002" s="309" t="s">
        <v>890</v>
      </c>
      <c r="D1002" s="388">
        <v>63</v>
      </c>
      <c r="E1002" s="395">
        <v>28</v>
      </c>
      <c r="F1002" s="395">
        <v>0</v>
      </c>
      <c r="G1002" s="395">
        <v>0</v>
      </c>
      <c r="H1002" s="396">
        <f>SUM(D1002,E1002,F1002,-G1002)</f>
        <v>91</v>
      </c>
      <c r="I1002" s="19">
        <v>21</v>
      </c>
      <c r="J1002" s="19">
        <v>23</v>
      </c>
      <c r="K1002" s="19">
        <v>0</v>
      </c>
      <c r="L1002" s="19">
        <v>0</v>
      </c>
      <c r="M1002" s="19">
        <f>SUM(I1002,J1002,K1002,-L1002)</f>
        <v>44</v>
      </c>
      <c r="N1002" s="388">
        <f t="shared" ref="N1002" si="117">SUM(H1002,-M1002)</f>
        <v>47</v>
      </c>
      <c r="O1002" s="388">
        <f t="shared" ref="O1002" si="118">SUM(D1002,-I1002)</f>
        <v>42</v>
      </c>
    </row>
    <row r="1003" spans="3:15" ht="14.5" thickBot="1" x14ac:dyDescent="0.35"/>
    <row r="1004" spans="3:15" ht="14.5" thickBot="1" x14ac:dyDescent="0.35">
      <c r="C1004" s="1054" t="s">
        <v>882</v>
      </c>
      <c r="D1004" s="1056" t="s">
        <v>782</v>
      </c>
      <c r="E1004" s="1057"/>
      <c r="F1004" s="1057"/>
      <c r="G1004" s="1057"/>
      <c r="H1004" s="1057"/>
      <c r="I1004" s="1058" t="s">
        <v>783</v>
      </c>
      <c r="J1004" s="1058"/>
      <c r="K1004" s="1058"/>
      <c r="L1004" s="1058"/>
      <c r="M1004" s="1059"/>
      <c r="N1004" s="1060" t="s">
        <v>784</v>
      </c>
      <c r="O1004" s="1061"/>
    </row>
    <row r="1005" spans="3:15" ht="14.5" thickBot="1" x14ac:dyDescent="0.35">
      <c r="C1005" s="1055"/>
      <c r="D1005" s="332" t="s">
        <v>785</v>
      </c>
      <c r="E1005" s="225" t="s">
        <v>786</v>
      </c>
      <c r="F1005" s="225" t="s">
        <v>879</v>
      </c>
      <c r="G1005" s="225" t="s">
        <v>787</v>
      </c>
      <c r="H1005" s="352" t="s">
        <v>785</v>
      </c>
      <c r="I1005" s="352" t="s">
        <v>785</v>
      </c>
      <c r="J1005" s="225" t="s">
        <v>786</v>
      </c>
      <c r="K1005" s="225" t="s">
        <v>880</v>
      </c>
      <c r="L1005" s="225" t="s">
        <v>787</v>
      </c>
      <c r="M1005" s="352" t="s">
        <v>785</v>
      </c>
      <c r="N1005" s="352" t="s">
        <v>785</v>
      </c>
      <c r="O1005" s="333" t="s">
        <v>785</v>
      </c>
    </row>
    <row r="1006" spans="3:15" ht="14.5" x14ac:dyDescent="0.35">
      <c r="C1006" s="334"/>
      <c r="D1006"/>
      <c r="E1006"/>
      <c r="F1006"/>
      <c r="G1006"/>
      <c r="H1006"/>
      <c r="I1006"/>
      <c r="J1006"/>
      <c r="L1006"/>
      <c r="M1006" s="335"/>
      <c r="O1006" s="215"/>
    </row>
    <row r="1007" spans="3:15" ht="15" thickBot="1" x14ac:dyDescent="0.4">
      <c r="C1007" s="336" t="s">
        <v>884</v>
      </c>
      <c r="D1007"/>
      <c r="E1007"/>
      <c r="F1007"/>
      <c r="G1007"/>
      <c r="H1007"/>
      <c r="I1007"/>
      <c r="J1007"/>
      <c r="L1007"/>
      <c r="M1007" s="335"/>
      <c r="O1007" s="215"/>
    </row>
    <row r="1008" spans="3:15" ht="15" thickBot="1" x14ac:dyDescent="0.4">
      <c r="C1008" s="373"/>
      <c r="D1008" s="356">
        <v>42826</v>
      </c>
      <c r="E1008" s="225" t="s">
        <v>786</v>
      </c>
      <c r="F1008" s="225" t="s">
        <v>880</v>
      </c>
      <c r="G1008" s="225" t="s">
        <v>787</v>
      </c>
      <c r="H1008" s="357">
        <v>43190</v>
      </c>
      <c r="I1008" s="390">
        <v>42826</v>
      </c>
      <c r="J1008" s="376" t="s">
        <v>786</v>
      </c>
      <c r="K1008" s="376" t="s">
        <v>880</v>
      </c>
      <c r="L1008" s="376" t="s">
        <v>787</v>
      </c>
      <c r="M1008" s="386">
        <v>43190</v>
      </c>
      <c r="N1008" s="358">
        <v>43190</v>
      </c>
      <c r="O1008" s="359">
        <v>42826</v>
      </c>
    </row>
    <row r="1009" spans="3:17" ht="14.5" x14ac:dyDescent="0.35">
      <c r="C1009" s="309" t="s">
        <v>890</v>
      </c>
      <c r="D1009" s="388">
        <v>91</v>
      </c>
      <c r="E1009" s="395">
        <v>87</v>
      </c>
      <c r="F1009" s="395">
        <v>0</v>
      </c>
      <c r="G1009" s="395">
        <v>0</v>
      </c>
      <c r="H1009" s="396">
        <f>SUM(D1009,E1009,F1009,-G1009)</f>
        <v>178</v>
      </c>
      <c r="I1009" s="19">
        <v>44</v>
      </c>
      <c r="J1009" s="19">
        <v>31</v>
      </c>
      <c r="K1009" s="19">
        <v>0</v>
      </c>
      <c r="L1009" s="19">
        <v>0</v>
      </c>
      <c r="M1009" s="19">
        <f>SUM(I1009,J1009,K1009,-L1009)</f>
        <v>75</v>
      </c>
      <c r="N1009" s="388">
        <f t="shared" ref="N1009" si="119">SUM(H1009,-M1009)</f>
        <v>103</v>
      </c>
      <c r="O1009" s="388">
        <f t="shared" ref="O1009" si="120">SUM(D1009,-I1009)</f>
        <v>47</v>
      </c>
    </row>
    <row r="1010" spans="3:17" ht="14.5" thickBot="1" x14ac:dyDescent="0.35"/>
    <row r="1011" spans="3:17" ht="14.5" thickBot="1" x14ac:dyDescent="0.35">
      <c r="C1011" s="1054" t="s">
        <v>882</v>
      </c>
      <c r="D1011" s="1056" t="s">
        <v>782</v>
      </c>
      <c r="E1011" s="1057"/>
      <c r="F1011" s="1057"/>
      <c r="G1011" s="1057"/>
      <c r="H1011" s="1057"/>
      <c r="I1011" s="1058" t="s">
        <v>783</v>
      </c>
      <c r="J1011" s="1058"/>
      <c r="K1011" s="1058"/>
      <c r="L1011" s="1058"/>
      <c r="M1011" s="1059"/>
      <c r="N1011" s="1060" t="s">
        <v>784</v>
      </c>
      <c r="O1011" s="1061"/>
    </row>
    <row r="1012" spans="3:17" ht="14.5" thickBot="1" x14ac:dyDescent="0.35">
      <c r="C1012" s="1055"/>
      <c r="D1012" s="332" t="s">
        <v>785</v>
      </c>
      <c r="E1012" s="225" t="s">
        <v>786</v>
      </c>
      <c r="F1012" s="225" t="s">
        <v>879</v>
      </c>
      <c r="G1012" s="225" t="s">
        <v>787</v>
      </c>
      <c r="H1012" s="352" t="s">
        <v>785</v>
      </c>
      <c r="I1012" s="352" t="s">
        <v>785</v>
      </c>
      <c r="J1012" s="225" t="s">
        <v>786</v>
      </c>
      <c r="K1012" s="225" t="s">
        <v>880</v>
      </c>
      <c r="L1012" s="225" t="s">
        <v>787</v>
      </c>
      <c r="M1012" s="352" t="s">
        <v>785</v>
      </c>
      <c r="N1012" s="352" t="s">
        <v>785</v>
      </c>
      <c r="O1012" s="333" t="s">
        <v>785</v>
      </c>
    </row>
    <row r="1013" spans="3:17" ht="14.5" x14ac:dyDescent="0.35">
      <c r="C1013" s="334"/>
      <c r="D1013"/>
      <c r="E1013"/>
      <c r="F1013"/>
      <c r="G1013"/>
      <c r="H1013"/>
      <c r="I1013"/>
      <c r="J1013"/>
      <c r="L1013"/>
      <c r="M1013" s="335"/>
      <c r="O1013" s="215"/>
    </row>
    <row r="1014" spans="3:17" ht="15" thickBot="1" x14ac:dyDescent="0.4">
      <c r="C1014" s="336" t="s">
        <v>878</v>
      </c>
      <c r="D1014"/>
      <c r="E1014"/>
      <c r="F1014"/>
      <c r="G1014"/>
      <c r="H1014"/>
      <c r="I1014"/>
      <c r="J1014"/>
      <c r="L1014"/>
      <c r="M1014" s="335"/>
      <c r="O1014" s="215"/>
    </row>
    <row r="1015" spans="3:17" ht="15" thickBot="1" x14ac:dyDescent="0.4">
      <c r="C1015" s="373"/>
      <c r="D1015" s="356">
        <v>43191</v>
      </c>
      <c r="E1015" s="225" t="s">
        <v>786</v>
      </c>
      <c r="F1015" s="225" t="s">
        <v>880</v>
      </c>
      <c r="G1015" s="225" t="s">
        <v>787</v>
      </c>
      <c r="H1015" s="357">
        <v>43555</v>
      </c>
      <c r="I1015" s="357">
        <v>43191</v>
      </c>
      <c r="J1015" s="225" t="s">
        <v>786</v>
      </c>
      <c r="K1015" s="225" t="s">
        <v>880</v>
      </c>
      <c r="L1015" s="225" t="s">
        <v>787</v>
      </c>
      <c r="M1015" s="358">
        <v>43555</v>
      </c>
      <c r="N1015" s="358">
        <v>43555</v>
      </c>
      <c r="O1015" s="359">
        <v>43191</v>
      </c>
    </row>
    <row r="1016" spans="3:17" ht="14.5" x14ac:dyDescent="0.35">
      <c r="C1016" s="309" t="s">
        <v>890</v>
      </c>
      <c r="D1016" s="388">
        <v>178</v>
      </c>
      <c r="E1016" s="395">
        <v>55</v>
      </c>
      <c r="F1016" s="395">
        <v>3</v>
      </c>
      <c r="G1016" s="395">
        <v>3</v>
      </c>
      <c r="H1016" s="396">
        <f>SUM(D1016,E1016,F1016,-G1016)</f>
        <v>233</v>
      </c>
      <c r="I1016" s="19">
        <v>75</v>
      </c>
      <c r="J1016" s="19">
        <v>43</v>
      </c>
      <c r="K1016" s="19">
        <v>2</v>
      </c>
      <c r="L1016" s="19">
        <v>3</v>
      </c>
      <c r="M1016" s="19">
        <f>SUM(I1016,J1016,K1016,-L1016)</f>
        <v>117</v>
      </c>
      <c r="N1016" s="388">
        <f t="shared" ref="N1016" si="121">SUM(H1016,-M1016)</f>
        <v>116</v>
      </c>
      <c r="O1016" s="388">
        <f t="shared" ref="O1016" si="122">SUM(D1016,-I1016)</f>
        <v>103</v>
      </c>
    </row>
    <row r="1018" spans="3:17" ht="15" thickBot="1" x14ac:dyDescent="0.4">
      <c r="C1018"/>
      <c r="D1018"/>
      <c r="E1018"/>
      <c r="F1018"/>
      <c r="G1018"/>
      <c r="H1018"/>
      <c r="I1018"/>
      <c r="J1018"/>
      <c r="K1018"/>
      <c r="L1018"/>
      <c r="M1018"/>
      <c r="N1018"/>
      <c r="O1018"/>
      <c r="P1018"/>
      <c r="Q1018"/>
    </row>
    <row r="1019" spans="3:17" ht="15" thickBot="1" x14ac:dyDescent="0.4">
      <c r="C1019" s="1054" t="s">
        <v>882</v>
      </c>
      <c r="D1019" s="1056" t="s">
        <v>782</v>
      </c>
      <c r="E1019" s="1057"/>
      <c r="F1019" s="1057"/>
      <c r="G1019" s="1057"/>
      <c r="H1019" s="1057"/>
      <c r="I1019" s="1058" t="s">
        <v>783</v>
      </c>
      <c r="J1019" s="1058"/>
      <c r="K1019" s="1058"/>
      <c r="L1019" s="1058"/>
      <c r="M1019" s="1059"/>
      <c r="N1019" s="1060" t="s">
        <v>784</v>
      </c>
      <c r="O1019" s="1061"/>
      <c r="P1019"/>
      <c r="Q1019"/>
    </row>
    <row r="1020" spans="3:17" ht="15" thickBot="1" x14ac:dyDescent="0.4">
      <c r="C1020" s="1055"/>
      <c r="D1020" s="332" t="s">
        <v>785</v>
      </c>
      <c r="E1020" s="225" t="s">
        <v>786</v>
      </c>
      <c r="F1020" s="225" t="s">
        <v>879</v>
      </c>
      <c r="G1020" s="225" t="s">
        <v>787</v>
      </c>
      <c r="H1020" s="352" t="s">
        <v>785</v>
      </c>
      <c r="I1020" s="352" t="s">
        <v>785</v>
      </c>
      <c r="J1020" s="225" t="s">
        <v>786</v>
      </c>
      <c r="K1020" s="225" t="s">
        <v>880</v>
      </c>
      <c r="L1020" s="225" t="s">
        <v>787</v>
      </c>
      <c r="M1020" s="352" t="s">
        <v>785</v>
      </c>
      <c r="N1020" s="352" t="s">
        <v>785</v>
      </c>
      <c r="O1020" s="333" t="s">
        <v>785</v>
      </c>
      <c r="P1020"/>
      <c r="Q1020"/>
    </row>
    <row r="1021" spans="3:17" ht="14.5" x14ac:dyDescent="0.35">
      <c r="C1021" s="334"/>
      <c r="D1021"/>
      <c r="E1021"/>
      <c r="F1021"/>
      <c r="G1021"/>
      <c r="H1021"/>
      <c r="I1021"/>
      <c r="J1021"/>
      <c r="L1021"/>
      <c r="M1021" s="335"/>
      <c r="O1021" s="215"/>
      <c r="P1021"/>
      <c r="Q1021"/>
    </row>
    <row r="1022" spans="3:17" ht="15" thickBot="1" x14ac:dyDescent="0.4">
      <c r="C1022" s="336" t="s">
        <v>881</v>
      </c>
      <c r="D1022"/>
      <c r="E1022"/>
      <c r="F1022"/>
      <c r="G1022"/>
      <c r="H1022"/>
      <c r="I1022"/>
      <c r="J1022"/>
      <c r="L1022"/>
      <c r="M1022" s="335"/>
      <c r="O1022" s="215"/>
      <c r="P1022"/>
      <c r="Q1022"/>
    </row>
    <row r="1023" spans="3:17" ht="15" thickBot="1" x14ac:dyDescent="0.4">
      <c r="C1023" s="373"/>
      <c r="D1023" s="356">
        <v>43556</v>
      </c>
      <c r="E1023" s="225" t="s">
        <v>786</v>
      </c>
      <c r="F1023" s="225" t="s">
        <v>880</v>
      </c>
      <c r="G1023" s="225" t="s">
        <v>787</v>
      </c>
      <c r="H1023" s="357">
        <v>43921</v>
      </c>
      <c r="I1023" s="357">
        <v>43556</v>
      </c>
      <c r="J1023" s="225" t="s">
        <v>786</v>
      </c>
      <c r="K1023" s="225" t="s">
        <v>880</v>
      </c>
      <c r="L1023" s="225" t="s">
        <v>787</v>
      </c>
      <c r="M1023" s="358">
        <v>43921</v>
      </c>
      <c r="N1023" s="358">
        <v>43921</v>
      </c>
      <c r="O1023" s="359">
        <v>43556</v>
      </c>
      <c r="P1023"/>
      <c r="Q1023"/>
    </row>
    <row r="1024" spans="3:17" ht="14.5" x14ac:dyDescent="0.35">
      <c r="C1024" s="309" t="s">
        <v>890</v>
      </c>
      <c r="D1024" s="388">
        <v>233</v>
      </c>
      <c r="E1024" s="395">
        <v>16</v>
      </c>
      <c r="F1024" s="395">
        <v>0</v>
      </c>
      <c r="G1024" s="395">
        <v>0</v>
      </c>
      <c r="H1024" s="396">
        <f>SUM(D1024,E1024,F1024,-G1024)</f>
        <v>249</v>
      </c>
      <c r="I1024" s="19">
        <v>117</v>
      </c>
      <c r="J1024" s="19">
        <v>60</v>
      </c>
      <c r="K1024" s="19">
        <v>0</v>
      </c>
      <c r="L1024" s="19">
        <v>0</v>
      </c>
      <c r="M1024" s="19">
        <f>SUM(I1024,J1024,K1024,-L1024)</f>
        <v>177</v>
      </c>
      <c r="N1024" s="388">
        <f t="shared" ref="N1024" si="123">SUM(H1024,-M1024)</f>
        <v>72</v>
      </c>
      <c r="O1024" s="388">
        <f>SUM(D1024,-I1024)</f>
        <v>116</v>
      </c>
    </row>
    <row r="1028" spans="3:28" ht="15" thickBot="1" x14ac:dyDescent="0.4">
      <c r="C1028" s="795"/>
    </row>
    <row r="1029" spans="3:28" ht="15" thickBot="1" x14ac:dyDescent="0.4">
      <c r="C1029" s="808" t="s">
        <v>29</v>
      </c>
      <c r="D1029" s="809" t="s">
        <v>931</v>
      </c>
      <c r="E1029" s="809" t="s">
        <v>410</v>
      </c>
      <c r="F1029" s="804" t="s">
        <v>152</v>
      </c>
      <c r="G1029" s="804" t="s">
        <v>153</v>
      </c>
      <c r="H1029" s="805" t="s">
        <v>868</v>
      </c>
      <c r="I1029" s="803" t="s">
        <v>932</v>
      </c>
      <c r="J1029" s="804" t="s">
        <v>933</v>
      </c>
      <c r="K1029" s="804" t="s">
        <v>934</v>
      </c>
      <c r="L1029" s="805" t="s">
        <v>935</v>
      </c>
      <c r="M1029" s="805" t="s">
        <v>936</v>
      </c>
    </row>
    <row r="1030" spans="3:28" ht="14.5" x14ac:dyDescent="0.35">
      <c r="C1030" s="795" t="s">
        <v>971</v>
      </c>
      <c r="D1030" s="802"/>
      <c r="E1030" s="138"/>
      <c r="F1030" s="19"/>
      <c r="G1030" s="19"/>
      <c r="H1030" s="19"/>
    </row>
    <row r="1031" spans="3:28" ht="14.5" x14ac:dyDescent="0.35">
      <c r="C1031" s="806" t="s">
        <v>991</v>
      </c>
      <c r="D1031" s="810"/>
      <c r="E1031" s="138"/>
      <c r="F1031" s="19"/>
      <c r="G1031" s="19"/>
      <c r="H1031" s="19"/>
    </row>
    <row r="1032" spans="3:28" ht="14.5" x14ac:dyDescent="0.35">
      <c r="C1032" s="797" t="s">
        <v>972</v>
      </c>
      <c r="D1032" s="797"/>
      <c r="E1032" s="19"/>
      <c r="F1032" s="19"/>
      <c r="G1032" s="19"/>
      <c r="H1032" s="19"/>
    </row>
    <row r="1033" spans="3:28" ht="14.5" x14ac:dyDescent="0.35">
      <c r="C1033" s="798" t="s">
        <v>973</v>
      </c>
      <c r="D1033" s="798">
        <v>943</v>
      </c>
      <c r="E1033" s="19">
        <f>D1048</f>
        <v>943</v>
      </c>
      <c r="F1033" s="19">
        <f>E1048</f>
        <v>963</v>
      </c>
      <c r="G1033" s="19">
        <f>F1048</f>
        <v>1797</v>
      </c>
      <c r="H1033" s="19">
        <f>G1048</f>
        <v>3809</v>
      </c>
    </row>
    <row r="1034" spans="3:28" ht="14.5" x14ac:dyDescent="0.35">
      <c r="C1034" s="799" t="s">
        <v>974</v>
      </c>
      <c r="D1034" s="811">
        <v>0</v>
      </c>
      <c r="E1034" s="19">
        <v>20</v>
      </c>
      <c r="F1034" s="19">
        <v>834</v>
      </c>
      <c r="G1034" s="19">
        <v>2012</v>
      </c>
      <c r="H1034" s="19">
        <v>308</v>
      </c>
    </row>
    <row r="1035" spans="3:28" ht="15" thickBot="1" x14ac:dyDescent="0.4">
      <c r="C1035" s="798" t="s">
        <v>975</v>
      </c>
      <c r="D1035" s="812">
        <v>0</v>
      </c>
      <c r="E1035" s="19">
        <v>0</v>
      </c>
      <c r="F1035" s="19">
        <v>0</v>
      </c>
      <c r="G1035" s="19">
        <v>0</v>
      </c>
      <c r="H1035" s="19">
        <v>4</v>
      </c>
      <c r="P1035" s="337"/>
      <c r="Q1035" s="338">
        <v>42095</v>
      </c>
      <c r="R1035" s="22" t="s">
        <v>786</v>
      </c>
      <c r="S1035" s="22" t="s">
        <v>880</v>
      </c>
      <c r="T1035" s="22" t="s">
        <v>787</v>
      </c>
      <c r="U1035" s="338">
        <v>42460</v>
      </c>
      <c r="V1035" s="338">
        <v>42095</v>
      </c>
      <c r="W1035" s="22" t="s">
        <v>786</v>
      </c>
      <c r="X1035" s="22" t="s">
        <v>880</v>
      </c>
      <c r="Y1035" s="22" t="s">
        <v>787</v>
      </c>
      <c r="Z1035" s="339">
        <v>42460</v>
      </c>
      <c r="AA1035" s="339">
        <v>42460</v>
      </c>
      <c r="AB1035" s="340">
        <v>42095</v>
      </c>
    </row>
    <row r="1036" spans="3:28" ht="14.5" x14ac:dyDescent="0.35">
      <c r="C1036" s="798" t="s">
        <v>976</v>
      </c>
      <c r="D1036" s="812">
        <v>0</v>
      </c>
      <c r="E1036" s="19">
        <v>0</v>
      </c>
      <c r="F1036" s="19">
        <v>0</v>
      </c>
      <c r="G1036" s="19">
        <v>0</v>
      </c>
      <c r="H1036" s="19">
        <v>0</v>
      </c>
      <c r="P1036" s="341" t="s">
        <v>606</v>
      </c>
      <c r="Q1036" s="342">
        <v>943</v>
      </c>
      <c r="R1036" s="342">
        <v>0</v>
      </c>
      <c r="S1036" s="342">
        <v>0</v>
      </c>
      <c r="T1036" s="342">
        <v>0</v>
      </c>
      <c r="U1036" s="342">
        <f>SUM(Q1036:S1036,-T1036)</f>
        <v>943</v>
      </c>
      <c r="V1036" s="342">
        <v>0</v>
      </c>
      <c r="W1036" s="342">
        <v>0</v>
      </c>
      <c r="X1036" s="342">
        <v>0</v>
      </c>
      <c r="Y1036" s="342"/>
      <c r="Z1036" s="342">
        <f t="shared" ref="Z1036:Z1045" si="124">SUM(W1036:X1036,-Y1036)</f>
        <v>0</v>
      </c>
      <c r="AA1036" s="342">
        <f>SUM(U1036,-Z1036)</f>
        <v>943</v>
      </c>
      <c r="AB1036" s="342">
        <f>SUM(Q1036,-V1036)</f>
        <v>943</v>
      </c>
    </row>
    <row r="1037" spans="3:28" ht="14.5" x14ac:dyDescent="0.35">
      <c r="C1037" s="799"/>
      <c r="D1037" s="799"/>
      <c r="E1037" s="19"/>
      <c r="F1037" s="19"/>
      <c r="G1037" s="19"/>
      <c r="H1037" s="19"/>
      <c r="O1037" s="349">
        <v>943</v>
      </c>
      <c r="P1037" s="18" t="s">
        <v>788</v>
      </c>
      <c r="Q1037" s="20">
        <v>2164</v>
      </c>
      <c r="R1037" s="20">
        <v>164</v>
      </c>
      <c r="S1037" s="20">
        <v>0</v>
      </c>
      <c r="T1037" s="20">
        <v>0</v>
      </c>
      <c r="U1037" s="342">
        <f t="shared" ref="U1037:U1045" si="125">SUM(Q1037:S1037,-T1037)</f>
        <v>2328</v>
      </c>
      <c r="V1037" s="20">
        <v>0</v>
      </c>
      <c r="W1037" s="20">
        <v>111</v>
      </c>
      <c r="X1037" s="20">
        <v>0</v>
      </c>
      <c r="Y1037" s="20">
        <v>0</v>
      </c>
      <c r="Z1037" s="20">
        <f t="shared" si="124"/>
        <v>111</v>
      </c>
      <c r="AA1037" s="342">
        <f t="shared" ref="AA1037:AA1045" si="126">SUM(U1037,-Z1037)</f>
        <v>2217</v>
      </c>
      <c r="AB1037" s="342">
        <f t="shared" ref="AB1037:AB1045" si="127">SUM(Q1037,-V1037)</f>
        <v>2164</v>
      </c>
    </row>
    <row r="1038" spans="3:28" ht="14.5" x14ac:dyDescent="0.35">
      <c r="C1038" s="798" t="s">
        <v>977</v>
      </c>
      <c r="D1038" s="19">
        <f>D1033+D1034-D1035+D1036</f>
        <v>943</v>
      </c>
      <c r="E1038" s="19">
        <f>E1033+E1034-E1035+E1036</f>
        <v>963</v>
      </c>
      <c r="F1038" s="19">
        <f>F1033+F1034-F1035+F1036</f>
        <v>1797</v>
      </c>
      <c r="G1038" s="19">
        <f>G1033+G1034-G1035+G1036</f>
        <v>3809</v>
      </c>
      <c r="H1038" s="19">
        <f>H1033+H1034-H1035+H1036</f>
        <v>4113</v>
      </c>
      <c r="I1038" s="779">
        <f>$H$1038*'INCOME STATEMENT'!$L$3/'INCOME STATEMENT'!M3</f>
        <v>4008.6918316119736</v>
      </c>
      <c r="J1038" s="779">
        <f>$H$1038*'INCOME STATEMENT'!$L$3/'INCOME STATEMENT'!N3</f>
        <v>3858.3489681050655</v>
      </c>
      <c r="K1038" s="779">
        <f>$H$1038*'INCOME STATEMENT'!$L$3/'INCOME STATEMENT'!O3</f>
        <v>3852.1430679006148</v>
      </c>
      <c r="L1038" s="779">
        <f>$H$1038*'INCOME STATEMENT'!$L$3/'INCOME STATEMENT'!P3</f>
        <v>3842.6467455687643</v>
      </c>
      <c r="M1038" s="779">
        <f>$H$1038*'INCOME STATEMENT'!$L$3/'INCOME STATEMENT'!Q3</f>
        <v>3842.2398717491769</v>
      </c>
      <c r="O1038" s="350">
        <v>2217</v>
      </c>
      <c r="P1038" s="18" t="s">
        <v>789</v>
      </c>
      <c r="Q1038" s="20">
        <v>24</v>
      </c>
      <c r="R1038" s="20">
        <v>0</v>
      </c>
      <c r="S1038" s="20">
        <v>0</v>
      </c>
      <c r="T1038" s="20">
        <v>0</v>
      </c>
      <c r="U1038" s="342">
        <f t="shared" si="125"/>
        <v>24</v>
      </c>
      <c r="V1038" s="20">
        <v>0</v>
      </c>
      <c r="W1038" s="20">
        <v>1</v>
      </c>
      <c r="X1038" s="20">
        <v>0</v>
      </c>
      <c r="Y1038" s="20">
        <v>0</v>
      </c>
      <c r="Z1038" s="20">
        <f t="shared" si="124"/>
        <v>1</v>
      </c>
      <c r="AA1038" s="342">
        <f t="shared" si="126"/>
        <v>23</v>
      </c>
      <c r="AB1038" s="342">
        <f t="shared" si="127"/>
        <v>24</v>
      </c>
    </row>
    <row r="1039" spans="3:28" ht="14.5" x14ac:dyDescent="0.35">
      <c r="C1039" s="799"/>
      <c r="D1039" s="799"/>
      <c r="E1039" s="19"/>
      <c r="F1039" s="19"/>
      <c r="G1039" s="19"/>
      <c r="H1039" s="19"/>
      <c r="O1039" s="350">
        <v>23</v>
      </c>
      <c r="P1039" s="18" t="s">
        <v>790</v>
      </c>
      <c r="Q1039" s="20">
        <v>517</v>
      </c>
      <c r="R1039" s="20">
        <v>26</v>
      </c>
      <c r="S1039" s="20">
        <v>323</v>
      </c>
      <c r="T1039" s="20">
        <v>9</v>
      </c>
      <c r="U1039" s="342">
        <f t="shared" si="125"/>
        <v>857</v>
      </c>
      <c r="V1039" s="20">
        <v>0</v>
      </c>
      <c r="W1039" s="20">
        <v>85</v>
      </c>
      <c r="X1039" s="20">
        <v>32</v>
      </c>
      <c r="Y1039" s="20">
        <v>1</v>
      </c>
      <c r="Z1039" s="20">
        <f t="shared" si="124"/>
        <v>116</v>
      </c>
      <c r="AA1039" s="342">
        <f t="shared" si="126"/>
        <v>741</v>
      </c>
      <c r="AB1039" s="342">
        <f t="shared" si="127"/>
        <v>517</v>
      </c>
    </row>
    <row r="1040" spans="3:28" ht="14.5" x14ac:dyDescent="0.35">
      <c r="C1040" s="797" t="s">
        <v>944</v>
      </c>
      <c r="D1040" s="797"/>
      <c r="E1040" s="19"/>
      <c r="F1040" s="19"/>
      <c r="G1040" s="19"/>
      <c r="H1040" s="19"/>
      <c r="O1040" s="350">
        <v>741</v>
      </c>
      <c r="P1040" s="18" t="s">
        <v>597</v>
      </c>
      <c r="Q1040" s="20">
        <v>35</v>
      </c>
      <c r="R1040" s="20">
        <v>13</v>
      </c>
      <c r="S1040" s="20">
        <v>0</v>
      </c>
      <c r="T1040" s="20">
        <v>0</v>
      </c>
      <c r="U1040" s="342">
        <f t="shared" si="125"/>
        <v>48</v>
      </c>
      <c r="V1040" s="20">
        <v>0</v>
      </c>
      <c r="W1040" s="20">
        <v>5</v>
      </c>
      <c r="X1040" s="20">
        <v>0</v>
      </c>
      <c r="Y1040" s="20"/>
      <c r="Z1040" s="20">
        <f t="shared" si="124"/>
        <v>5</v>
      </c>
      <c r="AA1040" s="342">
        <f t="shared" si="126"/>
        <v>43</v>
      </c>
      <c r="AB1040" s="342">
        <f t="shared" si="127"/>
        <v>35</v>
      </c>
    </row>
    <row r="1041" spans="3:28" ht="14.5" x14ac:dyDescent="0.35">
      <c r="C1041" s="798" t="s">
        <v>978</v>
      </c>
      <c r="D1041" s="798">
        <v>0</v>
      </c>
      <c r="E1041" s="19">
        <v>0</v>
      </c>
      <c r="F1041" s="19">
        <v>0</v>
      </c>
      <c r="G1041" s="19">
        <v>0</v>
      </c>
      <c r="H1041" s="19">
        <v>0</v>
      </c>
      <c r="O1041" s="350">
        <v>43</v>
      </c>
      <c r="P1041" s="18" t="s">
        <v>791</v>
      </c>
      <c r="Q1041" s="20">
        <v>214</v>
      </c>
      <c r="R1041" s="20">
        <v>4</v>
      </c>
      <c r="S1041" s="20">
        <v>0</v>
      </c>
      <c r="T1041" s="20">
        <v>0</v>
      </c>
      <c r="U1041" s="342">
        <f t="shared" si="125"/>
        <v>218</v>
      </c>
      <c r="V1041" s="20">
        <v>0</v>
      </c>
      <c r="W1041" s="20">
        <v>30</v>
      </c>
      <c r="X1041" s="20">
        <v>0</v>
      </c>
      <c r="Y1041" s="20"/>
      <c r="Z1041" s="20">
        <f t="shared" si="124"/>
        <v>30</v>
      </c>
      <c r="AA1041" s="342">
        <f t="shared" si="126"/>
        <v>188</v>
      </c>
      <c r="AB1041" s="342">
        <f t="shared" si="127"/>
        <v>214</v>
      </c>
    </row>
    <row r="1042" spans="3:28" ht="14.5" x14ac:dyDescent="0.35">
      <c r="C1042" s="798"/>
      <c r="D1042" s="798"/>
      <c r="E1042" s="19"/>
      <c r="F1042" s="19"/>
      <c r="G1042" s="19"/>
      <c r="H1042" s="19"/>
      <c r="O1042" s="350">
        <v>188</v>
      </c>
      <c r="P1042" s="18" t="s">
        <v>792</v>
      </c>
      <c r="Q1042" s="20">
        <v>1021</v>
      </c>
      <c r="R1042" s="20">
        <v>41</v>
      </c>
      <c r="S1042" s="20">
        <v>0</v>
      </c>
      <c r="T1042" s="20">
        <v>8</v>
      </c>
      <c r="U1042" s="342">
        <f t="shared" si="125"/>
        <v>1054</v>
      </c>
      <c r="V1042" s="20">
        <v>0</v>
      </c>
      <c r="W1042" s="20">
        <v>171</v>
      </c>
      <c r="X1042" s="20">
        <v>1</v>
      </c>
      <c r="Y1042" s="20">
        <v>1</v>
      </c>
      <c r="Z1042" s="20">
        <f t="shared" si="124"/>
        <v>171</v>
      </c>
      <c r="AA1042" s="342">
        <f t="shared" si="126"/>
        <v>883</v>
      </c>
      <c r="AB1042" s="342">
        <f t="shared" si="127"/>
        <v>1021</v>
      </c>
    </row>
    <row r="1043" spans="3:28" ht="14.5" x14ac:dyDescent="0.35">
      <c r="C1043" s="799" t="s">
        <v>979</v>
      </c>
      <c r="D1043" s="811">
        <v>0</v>
      </c>
      <c r="E1043" s="19">
        <v>0</v>
      </c>
      <c r="F1043" s="19">
        <v>0</v>
      </c>
      <c r="G1043" s="19">
        <v>0</v>
      </c>
      <c r="H1043" s="19">
        <v>0</v>
      </c>
      <c r="O1043" s="350">
        <v>883</v>
      </c>
      <c r="P1043" s="18" t="s">
        <v>794</v>
      </c>
      <c r="Q1043" s="20">
        <v>810</v>
      </c>
      <c r="R1043" s="20">
        <v>95</v>
      </c>
      <c r="S1043" s="20">
        <v>296</v>
      </c>
      <c r="T1043" s="20">
        <v>1</v>
      </c>
      <c r="U1043" s="342">
        <f t="shared" si="125"/>
        <v>1200</v>
      </c>
      <c r="V1043" s="20">
        <v>0</v>
      </c>
      <c r="W1043" s="20">
        <v>169</v>
      </c>
      <c r="X1043" s="20">
        <v>39</v>
      </c>
      <c r="Y1043" s="20"/>
      <c r="Z1043" s="20">
        <f t="shared" si="124"/>
        <v>208</v>
      </c>
      <c r="AA1043" s="342">
        <f t="shared" si="126"/>
        <v>992</v>
      </c>
      <c r="AB1043" s="342">
        <f t="shared" si="127"/>
        <v>810</v>
      </c>
    </row>
    <row r="1044" spans="3:28" ht="14.5" x14ac:dyDescent="0.35">
      <c r="C1044" s="798" t="s">
        <v>975</v>
      </c>
      <c r="D1044" s="812">
        <v>0</v>
      </c>
      <c r="E1044" s="19">
        <v>0</v>
      </c>
      <c r="F1044" s="19">
        <v>0</v>
      </c>
      <c r="G1044" s="19">
        <v>0</v>
      </c>
      <c r="H1044" s="19">
        <v>0</v>
      </c>
      <c r="O1044" s="350">
        <v>992</v>
      </c>
      <c r="P1044" s="18" t="s">
        <v>598</v>
      </c>
      <c r="Q1044" s="20">
        <v>139</v>
      </c>
      <c r="R1044" s="20">
        <v>33</v>
      </c>
      <c r="S1044" s="20">
        <v>0</v>
      </c>
      <c r="T1044" s="20">
        <v>5</v>
      </c>
      <c r="U1044" s="342">
        <f t="shared" si="125"/>
        <v>167</v>
      </c>
      <c r="V1044" s="20">
        <v>0</v>
      </c>
      <c r="W1044" s="20">
        <v>38</v>
      </c>
      <c r="X1044" s="20">
        <v>0</v>
      </c>
      <c r="Y1044" s="20">
        <v>3</v>
      </c>
      <c r="Z1044" s="20">
        <f t="shared" si="124"/>
        <v>35</v>
      </c>
      <c r="AA1044" s="342">
        <f t="shared" si="126"/>
        <v>132</v>
      </c>
      <c r="AB1044" s="342">
        <f t="shared" si="127"/>
        <v>139</v>
      </c>
    </row>
    <row r="1045" spans="3:28" ht="14.5" x14ac:dyDescent="0.35">
      <c r="C1045" s="798"/>
      <c r="D1045" s="798"/>
      <c r="E1045" s="19"/>
      <c r="F1045" s="19"/>
      <c r="G1045" s="19"/>
      <c r="H1045" s="19"/>
      <c r="O1045" s="350">
        <v>132</v>
      </c>
      <c r="P1045" s="18" t="s">
        <v>793</v>
      </c>
      <c r="Q1045" s="20">
        <v>54</v>
      </c>
      <c r="R1045" s="20">
        <v>18</v>
      </c>
      <c r="S1045" s="20">
        <v>0</v>
      </c>
      <c r="T1045" s="20">
        <v>0</v>
      </c>
      <c r="U1045" s="342">
        <f t="shared" si="125"/>
        <v>72</v>
      </c>
      <c r="V1045" s="20">
        <v>0</v>
      </c>
      <c r="W1045" s="20">
        <v>26</v>
      </c>
      <c r="X1045" s="20">
        <v>0</v>
      </c>
      <c r="Y1045" s="20"/>
      <c r="Z1045" s="20">
        <f t="shared" si="124"/>
        <v>26</v>
      </c>
      <c r="AA1045" s="342">
        <f t="shared" si="126"/>
        <v>46</v>
      </c>
      <c r="AB1045" s="342">
        <f t="shared" si="127"/>
        <v>54</v>
      </c>
    </row>
    <row r="1046" spans="3:28" ht="14.5" x14ac:dyDescent="0.35">
      <c r="C1046" s="798" t="s">
        <v>980</v>
      </c>
      <c r="D1046" s="19">
        <f>SUM(D1041+D1043-D1044)</f>
        <v>0</v>
      </c>
      <c r="E1046" s="19">
        <f>SUM(E1041+E1043-E1044)</f>
        <v>0</v>
      </c>
      <c r="F1046" s="19">
        <v>0</v>
      </c>
      <c r="G1046" s="19">
        <v>0</v>
      </c>
      <c r="H1046" s="19">
        <v>0</v>
      </c>
      <c r="I1046" s="17">
        <v>0</v>
      </c>
      <c r="J1046" s="17">
        <v>0</v>
      </c>
      <c r="K1046" s="17">
        <v>0</v>
      </c>
      <c r="L1046" s="17">
        <v>0</v>
      </c>
      <c r="M1046" s="17">
        <v>0</v>
      </c>
      <c r="O1046" s="350">
        <v>46</v>
      </c>
      <c r="P1046" s="343" t="s">
        <v>195</v>
      </c>
      <c r="Q1046" s="344">
        <f t="shared" ref="Q1046:Z1046" si="128">SUM(Q1036:Q1045)</f>
        <v>5921</v>
      </c>
      <c r="R1046" s="344">
        <f t="shared" si="128"/>
        <v>394</v>
      </c>
      <c r="S1046" s="344">
        <f t="shared" si="128"/>
        <v>619</v>
      </c>
      <c r="T1046" s="344">
        <f t="shared" si="128"/>
        <v>23</v>
      </c>
      <c r="U1046" s="344">
        <f t="shared" si="128"/>
        <v>6911</v>
      </c>
      <c r="V1046" s="344">
        <f t="shared" si="128"/>
        <v>0</v>
      </c>
      <c r="W1046" s="344">
        <f t="shared" si="128"/>
        <v>636</v>
      </c>
      <c r="X1046" s="344">
        <f t="shared" si="128"/>
        <v>72</v>
      </c>
      <c r="Y1046" s="344">
        <f t="shared" si="128"/>
        <v>5</v>
      </c>
      <c r="Z1046" s="344">
        <f t="shared" si="128"/>
        <v>703</v>
      </c>
      <c r="AA1046" s="344">
        <f>SUM(AA1036:AA1045)</f>
        <v>6208</v>
      </c>
      <c r="AB1046" s="344">
        <f t="shared" ref="AB1046" si="129">SUM(AB1036:AB1045)</f>
        <v>5921</v>
      </c>
    </row>
    <row r="1047" spans="3:28" ht="15" thickBot="1" x14ac:dyDescent="0.4">
      <c r="C1047" s="799"/>
      <c r="D1047" s="799"/>
      <c r="E1047" s="19"/>
      <c r="F1047" s="19"/>
      <c r="G1047" s="19"/>
      <c r="H1047" s="19"/>
      <c r="O1047" s="344">
        <f>SUM(O1037:O1046)</f>
        <v>6208</v>
      </c>
      <c r="P1047" s="345"/>
      <c r="Q1047" s="346"/>
      <c r="R1047" s="346"/>
      <c r="S1047" s="346"/>
      <c r="T1047" s="346"/>
      <c r="U1047" s="346"/>
      <c r="V1047" s="346"/>
      <c r="W1047" s="346"/>
      <c r="X1047" s="346"/>
      <c r="Y1047" s="346"/>
      <c r="Z1047" s="346"/>
      <c r="AA1047" s="346"/>
      <c r="AB1047" s="347"/>
    </row>
    <row r="1048" spans="3:28" ht="14.5" x14ac:dyDescent="0.35">
      <c r="C1048" s="798" t="s">
        <v>981</v>
      </c>
      <c r="D1048" s="19">
        <f>D1038-D1046</f>
        <v>943</v>
      </c>
      <c r="E1048" s="19">
        <f>E1038-E1046</f>
        <v>963</v>
      </c>
      <c r="F1048" s="19">
        <f>F1038-F1046</f>
        <v>1797</v>
      </c>
      <c r="G1048" s="19">
        <f>G1038-G1046</f>
        <v>3809</v>
      </c>
      <c r="H1048" s="19">
        <f>H1038-H1046</f>
        <v>4113</v>
      </c>
      <c r="I1048" s="790">
        <f t="shared" ref="I1048:M1048" si="130">I1038-I1046</f>
        <v>4008.6918316119736</v>
      </c>
      <c r="J1048" s="790">
        <f t="shared" si="130"/>
        <v>3858.3489681050655</v>
      </c>
      <c r="K1048" s="790">
        <f t="shared" si="130"/>
        <v>3852.1430679006148</v>
      </c>
      <c r="L1048" s="790">
        <f t="shared" si="130"/>
        <v>3842.6467455687643</v>
      </c>
      <c r="M1048" s="790">
        <f t="shared" si="130"/>
        <v>3842.2398717491769</v>
      </c>
    </row>
    <row r="1049" spans="3:28" ht="14.5" x14ac:dyDescent="0.35">
      <c r="C1049" s="799"/>
      <c r="D1049" s="799"/>
      <c r="E1049" s="19"/>
      <c r="F1049" s="19"/>
      <c r="G1049" s="19"/>
      <c r="H1049" s="19"/>
    </row>
    <row r="1050" spans="3:28" ht="14.5" x14ac:dyDescent="0.35">
      <c r="C1050" s="806" t="s">
        <v>992</v>
      </c>
      <c r="D1050" s="806"/>
      <c r="E1050" s="19"/>
      <c r="F1050" s="19"/>
      <c r="G1050" s="19"/>
      <c r="H1050" s="19"/>
    </row>
    <row r="1051" spans="3:28" ht="14.5" x14ac:dyDescent="0.35">
      <c r="C1051" s="797" t="s">
        <v>972</v>
      </c>
      <c r="D1051" s="797"/>
      <c r="E1051" s="19"/>
      <c r="F1051" s="19"/>
      <c r="G1051" s="19"/>
      <c r="H1051" s="19"/>
    </row>
    <row r="1052" spans="3:28" ht="14.5" x14ac:dyDescent="0.35">
      <c r="C1052" s="798" t="s">
        <v>973</v>
      </c>
      <c r="D1052" s="812">
        <v>24</v>
      </c>
      <c r="E1052" s="19">
        <v>24</v>
      </c>
      <c r="F1052" s="19">
        <f>E1057</f>
        <v>24</v>
      </c>
      <c r="G1052" s="19">
        <f>F1057</f>
        <v>331</v>
      </c>
      <c r="H1052" s="19">
        <f>G1057</f>
        <v>331</v>
      </c>
    </row>
    <row r="1053" spans="3:28" ht="14.5" x14ac:dyDescent="0.35">
      <c r="C1053" s="799" t="s">
        <v>974</v>
      </c>
      <c r="D1053" s="811">
        <v>0</v>
      </c>
      <c r="E1053" s="19">
        <v>0</v>
      </c>
      <c r="F1053" s="19">
        <v>307</v>
      </c>
      <c r="G1053" s="19">
        <v>0</v>
      </c>
      <c r="H1053" s="19">
        <v>3</v>
      </c>
    </row>
    <row r="1054" spans="3:28" ht="14.5" x14ac:dyDescent="0.35">
      <c r="C1054" s="798" t="s">
        <v>975</v>
      </c>
      <c r="D1054" s="812">
        <v>0</v>
      </c>
      <c r="E1054" s="19">
        <v>0</v>
      </c>
      <c r="F1054" s="19">
        <v>0</v>
      </c>
      <c r="G1054" s="19">
        <v>0</v>
      </c>
      <c r="H1054" s="19">
        <v>14</v>
      </c>
    </row>
    <row r="1055" spans="3:28" ht="14.5" x14ac:dyDescent="0.35">
      <c r="C1055" s="798" t="s">
        <v>976</v>
      </c>
      <c r="D1055" s="812">
        <v>0</v>
      </c>
      <c r="E1055" s="19">
        <v>0</v>
      </c>
      <c r="F1055" s="19">
        <v>0</v>
      </c>
      <c r="G1055" s="19">
        <v>0</v>
      </c>
      <c r="H1055" s="19"/>
    </row>
    <row r="1056" spans="3:28" ht="14.5" x14ac:dyDescent="0.35">
      <c r="C1056" s="799"/>
      <c r="D1056" s="799"/>
      <c r="E1056" s="19"/>
      <c r="F1056" s="19"/>
      <c r="G1056" s="19"/>
      <c r="H1056" s="19"/>
    </row>
    <row r="1057" spans="3:16" ht="14.5" x14ac:dyDescent="0.35">
      <c r="C1057" s="798" t="s">
        <v>977</v>
      </c>
      <c r="D1057" s="19">
        <f>D1052+D1053-D1054+D1055</f>
        <v>24</v>
      </c>
      <c r="E1057" s="19">
        <f>E1052+E1053-E1054+E1055</f>
        <v>24</v>
      </c>
      <c r="F1057" s="19">
        <f t="shared" ref="F1057:H1057" si="131">F1052+F1053-F1054+F1055</f>
        <v>331</v>
      </c>
      <c r="G1057" s="19">
        <f t="shared" si="131"/>
        <v>331</v>
      </c>
      <c r="H1057" s="19">
        <f t="shared" si="131"/>
        <v>320</v>
      </c>
      <c r="I1057" s="779">
        <f>$H$1057*'INCOME STATEMENT'!$L$3/'INCOME STATEMENT'!M3</f>
        <v>311.88460639820846</v>
      </c>
      <c r="J1057" s="779">
        <f>$H$1057*'INCOME STATEMENT'!$L$3/'INCOME STATEMENT'!N3</f>
        <v>300.18761726078799</v>
      </c>
      <c r="K1057" s="779">
        <f>$H$1057*'INCOME STATEMENT'!$L$3/'INCOME STATEMENT'!O3</f>
        <v>299.70478524877137</v>
      </c>
      <c r="L1057" s="779">
        <f>$H$1057*'INCOME STATEMENT'!$L$3/'INCOME STATEMENT'!P3</f>
        <v>298.96595151519682</v>
      </c>
      <c r="M1057" s="779">
        <f>$H$1057*'INCOME STATEMENT'!$L$3/'INCOME STATEMENT'!Q3</f>
        <v>298.93429588128777</v>
      </c>
    </row>
    <row r="1058" spans="3:16" ht="14.5" x14ac:dyDescent="0.35">
      <c r="C1058" s="799"/>
      <c r="D1058" s="799"/>
      <c r="E1058" s="19"/>
      <c r="F1058" s="19"/>
      <c r="G1058" s="19"/>
      <c r="H1058" s="19"/>
    </row>
    <row r="1059" spans="3:16" ht="14.5" x14ac:dyDescent="0.35">
      <c r="C1059" s="797" t="s">
        <v>944</v>
      </c>
      <c r="D1059" s="813"/>
      <c r="E1059" s="19"/>
      <c r="F1059" s="19"/>
      <c r="G1059" s="19"/>
      <c r="H1059" s="19"/>
    </row>
    <row r="1060" spans="3:16" ht="14.5" x14ac:dyDescent="0.35">
      <c r="C1060" s="798" t="s">
        <v>978</v>
      </c>
      <c r="D1060" s="812">
        <v>0</v>
      </c>
      <c r="E1060" s="19">
        <f>D1065</f>
        <v>1</v>
      </c>
      <c r="F1060" s="19">
        <f>E1065</f>
        <v>2</v>
      </c>
      <c r="G1060" s="19">
        <f>F1065</f>
        <v>3</v>
      </c>
      <c r="H1060" s="19">
        <f>G1065</f>
        <v>14</v>
      </c>
    </row>
    <row r="1061" spans="3:16" ht="14.5" x14ac:dyDescent="0.35">
      <c r="C1061" s="799" t="s">
        <v>979</v>
      </c>
      <c r="D1061" s="811">
        <v>1</v>
      </c>
      <c r="E1061" s="19">
        <v>1</v>
      </c>
      <c r="F1061" s="19">
        <v>1</v>
      </c>
      <c r="G1061" s="19">
        <v>11</v>
      </c>
      <c r="H1061" s="19">
        <v>1</v>
      </c>
    </row>
    <row r="1062" spans="3:16" ht="14.5" x14ac:dyDescent="0.35">
      <c r="C1062" s="798" t="s">
        <v>975</v>
      </c>
      <c r="D1062" s="812">
        <v>0</v>
      </c>
      <c r="E1062" s="19">
        <v>0</v>
      </c>
      <c r="F1062" s="19"/>
      <c r="G1062" s="19"/>
      <c r="H1062" s="19">
        <v>1</v>
      </c>
    </row>
    <row r="1063" spans="3:16" ht="14.5" x14ac:dyDescent="0.35">
      <c r="C1063" s="798" t="s">
        <v>976</v>
      </c>
      <c r="D1063" s="812">
        <v>0</v>
      </c>
      <c r="E1063" s="19">
        <v>0</v>
      </c>
      <c r="F1063" s="19"/>
      <c r="G1063" s="19"/>
      <c r="H1063" s="19"/>
    </row>
    <row r="1064" spans="3:16" ht="14.5" x14ac:dyDescent="0.35">
      <c r="C1064" s="798"/>
      <c r="D1064" s="812"/>
      <c r="E1064" s="19"/>
      <c r="F1064" s="19"/>
      <c r="G1064" s="19"/>
      <c r="H1064" s="19"/>
    </row>
    <row r="1065" spans="3:16" ht="14.5" x14ac:dyDescent="0.35">
      <c r="C1065" s="798" t="s">
        <v>980</v>
      </c>
      <c r="D1065" s="19">
        <f>SUM(D1060+D1061-D1062-D1063)</f>
        <v>1</v>
      </c>
      <c r="E1065" s="19">
        <f>SUM(E1060+E1061-E1062-E1063)</f>
        <v>2</v>
      </c>
      <c r="F1065" s="19">
        <f t="shared" ref="F1065:H1065" si="132">SUM(F1060+F1061-F1062-F1063)</f>
        <v>3</v>
      </c>
      <c r="G1065" s="19">
        <f t="shared" si="132"/>
        <v>14</v>
      </c>
      <c r="H1065" s="19">
        <f t="shared" si="132"/>
        <v>14</v>
      </c>
      <c r="I1065" s="779">
        <f>$H$1065*'INCOME STATEMENT'!L3/'INCOME STATEMENT'!M3</f>
        <v>13.644951529921622</v>
      </c>
      <c r="J1065" s="779">
        <f>$H$1065*'INCOME STATEMENT'!M3/'INCOME STATEMENT'!N3</f>
        <v>13.47494090902709</v>
      </c>
      <c r="K1065" s="779">
        <f>$H$1065*'INCOME STATEMENT'!N3/'INCOME STATEMENT'!O3</f>
        <v>13.977481922039576</v>
      </c>
      <c r="L1065" s="779">
        <f>$H$1065*'INCOME STATEMENT'!O3/'INCOME STATEMENT'!P3</f>
        <v>13.965487130072153</v>
      </c>
      <c r="M1065" s="779">
        <f>$H$1065*'INCOME STATEMENT'!P3/'INCOME STATEMENT'!Q3</f>
        <v>13.998517627601135</v>
      </c>
      <c r="N1065"/>
      <c r="O1065"/>
      <c r="P1065"/>
    </row>
    <row r="1066" spans="3:16" ht="14.5" x14ac:dyDescent="0.35">
      <c r="C1066" s="799"/>
      <c r="D1066" s="811"/>
      <c r="E1066" s="19"/>
      <c r="F1066" s="19"/>
      <c r="G1066" s="19"/>
      <c r="H1066" s="19"/>
    </row>
    <row r="1067" spans="3:16" ht="14.5" x14ac:dyDescent="0.35">
      <c r="C1067" s="798" t="s">
        <v>982</v>
      </c>
      <c r="D1067" s="19">
        <f>D1057-D1065</f>
        <v>23</v>
      </c>
      <c r="E1067" s="19">
        <f>E1057-E1065</f>
        <v>22</v>
      </c>
      <c r="F1067" s="19">
        <f t="shared" ref="F1067:M1067" si="133">F1057-F1065</f>
        <v>328</v>
      </c>
      <c r="G1067" s="19">
        <f t="shared" si="133"/>
        <v>317</v>
      </c>
      <c r="H1067" s="790">
        <f t="shared" si="133"/>
        <v>306</v>
      </c>
      <c r="I1067" s="790">
        <f t="shared" si="133"/>
        <v>298.23965486828683</v>
      </c>
      <c r="J1067" s="790">
        <f t="shared" si="133"/>
        <v>286.71267635176088</v>
      </c>
      <c r="K1067" s="790">
        <f t="shared" si="133"/>
        <v>285.72730332673177</v>
      </c>
      <c r="L1067" s="790">
        <f t="shared" si="133"/>
        <v>285.00046438512464</v>
      </c>
      <c r="M1067" s="790">
        <f t="shared" si="133"/>
        <v>284.93577825368664</v>
      </c>
    </row>
    <row r="1068" spans="3:16" ht="14.5" x14ac:dyDescent="0.35">
      <c r="C1068" s="799"/>
      <c r="D1068" s="811"/>
      <c r="E1068" s="19"/>
      <c r="F1068" s="19"/>
      <c r="G1068" s="19"/>
      <c r="H1068" s="19"/>
    </row>
    <row r="1069" spans="3:16" ht="14.5" x14ac:dyDescent="0.35">
      <c r="C1069" s="806" t="s">
        <v>983</v>
      </c>
      <c r="D1069" s="814"/>
      <c r="E1069" s="19"/>
      <c r="F1069" s="19"/>
      <c r="G1069" s="19"/>
      <c r="H1069" s="19"/>
    </row>
    <row r="1070" spans="3:16" ht="14.5" x14ac:dyDescent="0.35">
      <c r="C1070" s="797" t="s">
        <v>972</v>
      </c>
      <c r="D1070" s="813"/>
      <c r="E1070" s="19"/>
      <c r="F1070" s="19"/>
      <c r="G1070" s="19"/>
      <c r="H1070" s="19"/>
    </row>
    <row r="1071" spans="3:16" ht="14.5" x14ac:dyDescent="0.35">
      <c r="C1071" s="798" t="s">
        <v>973</v>
      </c>
      <c r="D1071" s="812">
        <v>2164</v>
      </c>
      <c r="E1071" s="107">
        <f>D1077</f>
        <v>2328</v>
      </c>
      <c r="F1071" s="107">
        <f>E1077</f>
        <v>2332</v>
      </c>
      <c r="G1071" s="107">
        <f>F1077</f>
        <v>4815</v>
      </c>
      <c r="H1071" s="107">
        <f>G1077</f>
        <v>7108</v>
      </c>
    </row>
    <row r="1072" spans="3:16" ht="14.5" x14ac:dyDescent="0.35">
      <c r="C1072" s="799" t="s">
        <v>974</v>
      </c>
      <c r="D1072" s="811">
        <v>164</v>
      </c>
      <c r="E1072" s="19">
        <v>4</v>
      </c>
      <c r="F1072" s="19">
        <v>2483</v>
      </c>
      <c r="G1072" s="19">
        <v>2111</v>
      </c>
      <c r="H1072" s="19">
        <v>2494</v>
      </c>
    </row>
    <row r="1073" spans="3:14" ht="14.5" x14ac:dyDescent="0.35">
      <c r="C1073" s="799" t="s">
        <v>993</v>
      </c>
      <c r="D1073" s="811">
        <v>0</v>
      </c>
      <c r="E1073" s="19">
        <v>0</v>
      </c>
      <c r="F1073" s="19">
        <v>0</v>
      </c>
      <c r="G1073" s="19">
        <v>182</v>
      </c>
      <c r="H1073" s="19">
        <v>0</v>
      </c>
    </row>
    <row r="1074" spans="3:14" ht="14.5" x14ac:dyDescent="0.35">
      <c r="C1074" s="798" t="s">
        <v>975</v>
      </c>
      <c r="D1074" s="812">
        <v>0</v>
      </c>
      <c r="E1074" s="19">
        <v>0</v>
      </c>
      <c r="F1074" s="19">
        <v>0</v>
      </c>
      <c r="G1074" s="19">
        <v>0</v>
      </c>
      <c r="H1074" s="19">
        <v>20</v>
      </c>
    </row>
    <row r="1075" spans="3:14" ht="14.5" x14ac:dyDescent="0.35">
      <c r="C1075" s="798" t="s">
        <v>976</v>
      </c>
      <c r="D1075" s="812">
        <v>0</v>
      </c>
      <c r="E1075" s="19">
        <v>0</v>
      </c>
      <c r="F1075" s="19">
        <v>0</v>
      </c>
      <c r="G1075" s="19">
        <v>0</v>
      </c>
      <c r="H1075" s="19"/>
    </row>
    <row r="1076" spans="3:14" ht="14.5" x14ac:dyDescent="0.35">
      <c r="C1076" s="799"/>
      <c r="D1076" s="811"/>
      <c r="E1076" s="19"/>
      <c r="F1076" s="19"/>
      <c r="G1076" s="19"/>
      <c r="H1076" s="19"/>
    </row>
    <row r="1077" spans="3:14" ht="14.5" x14ac:dyDescent="0.35">
      <c r="C1077" s="798" t="s">
        <v>977</v>
      </c>
      <c r="D1077" s="107">
        <f>D1071+D1072+D1073-D1074-D1075</f>
        <v>2328</v>
      </c>
      <c r="E1077" s="107">
        <f>E1071+E1072+E1073-E1074-E1075</f>
        <v>2332</v>
      </c>
      <c r="F1077" s="107">
        <f>F1071+F1072+F1073-F1074-F1075</f>
        <v>4815</v>
      </c>
      <c r="G1077" s="107">
        <f>G1071+G1072+G1073-G1074-G1075</f>
        <v>7108</v>
      </c>
      <c r="H1077" s="107">
        <f>H1071+H1072+H1073-H1074-H1075</f>
        <v>9582</v>
      </c>
      <c r="I1077" s="779">
        <f>$H$1077*'INCOME STATEMENT'!$L$3/'INCOME STATEMENT'!M3</f>
        <v>9338.9946828363554</v>
      </c>
      <c r="J1077" s="779">
        <f>$H$1077*'INCOME STATEMENT'!$L$3/'INCOME STATEMENT'!N3</f>
        <v>8988.7429643527194</v>
      </c>
      <c r="K1077" s="779">
        <f>$H$1077*'INCOME STATEMENT'!$L$3/'INCOME STATEMENT'!O3</f>
        <v>8974.2851632928978</v>
      </c>
      <c r="L1077" s="779">
        <f>$H$1077*'INCOME STATEMENT'!$L$3/'INCOME STATEMENT'!P3</f>
        <v>8952.1617106831745</v>
      </c>
      <c r="M1077" s="779">
        <f>$H$1077*'INCOME STATEMENT'!$L$3/'INCOME STATEMENT'!Q3</f>
        <v>8951.2138222953108</v>
      </c>
    </row>
    <row r="1078" spans="3:14" ht="14.5" x14ac:dyDescent="0.35">
      <c r="C1078" s="799"/>
      <c r="D1078" s="811"/>
      <c r="E1078" s="19"/>
      <c r="F1078" s="19"/>
      <c r="G1078" s="19"/>
      <c r="H1078" s="19"/>
    </row>
    <row r="1079" spans="3:14" ht="14.5" x14ac:dyDescent="0.35">
      <c r="C1079" s="797" t="s">
        <v>944</v>
      </c>
      <c r="D1079" s="813"/>
      <c r="E1079" s="19"/>
      <c r="F1079" s="19"/>
      <c r="G1079" s="19"/>
      <c r="H1079" s="19"/>
    </row>
    <row r="1080" spans="3:14" ht="14.5" x14ac:dyDescent="0.35">
      <c r="C1080" s="798" t="s">
        <v>978</v>
      </c>
      <c r="D1080" s="812">
        <v>0</v>
      </c>
      <c r="E1080" s="19">
        <f>D1086</f>
        <v>111</v>
      </c>
      <c r="F1080" s="19">
        <f>E1086</f>
        <v>164</v>
      </c>
      <c r="G1080" s="19">
        <f>F1086</f>
        <v>268</v>
      </c>
      <c r="H1080" s="19">
        <f>G1086</f>
        <v>568</v>
      </c>
      <c r="I1080" s="17">
        <f>H1086</f>
        <v>1052</v>
      </c>
      <c r="J1080" s="779">
        <f t="shared" ref="J1080:M1080" si="134">I1086</f>
        <v>1523.7254671772903</v>
      </c>
      <c r="K1080" s="779">
        <f t="shared" si="134"/>
        <v>1977.759238284232</v>
      </c>
      <c r="L1080" s="779">
        <f t="shared" si="134"/>
        <v>2431.0627259729986</v>
      </c>
      <c r="M1080" s="779">
        <f t="shared" si="134"/>
        <v>2883.2487276397337</v>
      </c>
    </row>
    <row r="1081" spans="3:14" ht="14.5" x14ac:dyDescent="0.35">
      <c r="C1081" s="799" t="s">
        <v>979</v>
      </c>
      <c r="D1081" s="811">
        <v>111</v>
      </c>
      <c r="E1081" s="19">
        <v>53</v>
      </c>
      <c r="F1081" s="19">
        <v>104</v>
      </c>
      <c r="G1081" s="19">
        <v>272</v>
      </c>
      <c r="H1081" s="19">
        <v>484</v>
      </c>
      <c r="I1081" s="779">
        <f>I1077*$I$1085</f>
        <v>471.72546717729034</v>
      </c>
      <c r="J1081" s="779">
        <f t="shared" ref="J1081:M1081" si="135">J1077*$I$1085</f>
        <v>454.03377110694174</v>
      </c>
      <c r="K1081" s="779">
        <f t="shared" si="135"/>
        <v>453.30348768876667</v>
      </c>
      <c r="L1081" s="779">
        <f t="shared" si="135"/>
        <v>452.18600166673514</v>
      </c>
      <c r="M1081" s="779">
        <f t="shared" si="135"/>
        <v>452.13812252044772</v>
      </c>
    </row>
    <row r="1082" spans="3:14" ht="14.5" x14ac:dyDescent="0.35">
      <c r="C1082" s="799" t="s">
        <v>993</v>
      </c>
      <c r="D1082" s="811">
        <v>0</v>
      </c>
      <c r="E1082" s="19">
        <v>0</v>
      </c>
      <c r="F1082" s="19">
        <v>0</v>
      </c>
      <c r="G1082" s="19">
        <v>28</v>
      </c>
      <c r="H1082" s="19">
        <v>0</v>
      </c>
    </row>
    <row r="1083" spans="3:14" ht="14.5" x14ac:dyDescent="0.35">
      <c r="C1083" s="798" t="s">
        <v>975</v>
      </c>
      <c r="D1083" s="812">
        <v>0</v>
      </c>
      <c r="E1083" s="19">
        <v>0</v>
      </c>
      <c r="F1083" s="19">
        <v>0</v>
      </c>
      <c r="G1083" s="19">
        <v>0</v>
      </c>
      <c r="H1083" s="19">
        <v>0</v>
      </c>
    </row>
    <row r="1084" spans="3:14" ht="14.5" x14ac:dyDescent="0.35">
      <c r="C1084" s="798" t="s">
        <v>976</v>
      </c>
      <c r="D1084" s="812"/>
      <c r="E1084" s="19">
        <v>0</v>
      </c>
      <c r="F1084" s="19">
        <v>0</v>
      </c>
      <c r="G1084" s="19">
        <v>0</v>
      </c>
      <c r="H1084" s="19">
        <v>0</v>
      </c>
    </row>
    <row r="1085" spans="3:14" ht="14.5" x14ac:dyDescent="0.35">
      <c r="C1085" s="798"/>
      <c r="D1085" s="812"/>
      <c r="E1085" s="19"/>
      <c r="F1085" s="19"/>
      <c r="G1085" s="19"/>
      <c r="H1085" s="19"/>
      <c r="I1085" s="1045">
        <f>H1081/H1077</f>
        <v>5.0511375495721142E-2</v>
      </c>
      <c r="J1085" s="1046"/>
      <c r="K1085" s="1046"/>
      <c r="L1085" s="1046"/>
      <c r="M1085" s="1046"/>
    </row>
    <row r="1086" spans="3:14" ht="14.5" x14ac:dyDescent="0.35">
      <c r="C1086" s="798" t="s">
        <v>980</v>
      </c>
      <c r="D1086" s="19">
        <f t="shared" ref="D1086:I1086" si="136">D1080+D1081+D1082-D1083-D1084</f>
        <v>111</v>
      </c>
      <c r="E1086" s="19">
        <f t="shared" si="136"/>
        <v>164</v>
      </c>
      <c r="F1086" s="19">
        <f t="shared" si="136"/>
        <v>268</v>
      </c>
      <c r="G1086" s="19">
        <f t="shared" si="136"/>
        <v>568</v>
      </c>
      <c r="H1086" s="790">
        <f t="shared" si="136"/>
        <v>1052</v>
      </c>
      <c r="I1086" s="790">
        <f t="shared" si="136"/>
        <v>1523.7254671772903</v>
      </c>
      <c r="J1086" s="790">
        <f t="shared" ref="J1086:M1086" si="137">J1080+J1081+J1082-J1083-J1084</f>
        <v>1977.759238284232</v>
      </c>
      <c r="K1086" s="790">
        <f t="shared" si="137"/>
        <v>2431.0627259729986</v>
      </c>
      <c r="L1086" s="790">
        <f t="shared" si="137"/>
        <v>2883.2487276397337</v>
      </c>
      <c r="M1086" s="790">
        <f t="shared" si="137"/>
        <v>3335.3868501601814</v>
      </c>
    </row>
    <row r="1087" spans="3:14" ht="14.5" x14ac:dyDescent="0.35">
      <c r="C1087" s="799"/>
      <c r="D1087" s="811"/>
      <c r="E1087" s="19"/>
      <c r="F1087" s="19"/>
      <c r="G1087" s="19"/>
      <c r="H1087" s="19"/>
    </row>
    <row r="1088" spans="3:14" ht="14.5" x14ac:dyDescent="0.35">
      <c r="C1088" s="798" t="s">
        <v>982</v>
      </c>
      <c r="D1088" s="107">
        <f>D1077-D1086</f>
        <v>2217</v>
      </c>
      <c r="E1088" s="107">
        <f>E1077-E1086</f>
        <v>2168</v>
      </c>
      <c r="F1088" s="107">
        <f>F1077-F1086</f>
        <v>4547</v>
      </c>
      <c r="G1088" s="107">
        <f>G1077-G1086</f>
        <v>6540</v>
      </c>
      <c r="H1088" s="107">
        <f>H1077-H1086</f>
        <v>8530</v>
      </c>
      <c r="I1088" s="107">
        <f t="shared" ref="I1088:N1088" si="138">I1077-I1086</f>
        <v>7815.2692156590656</v>
      </c>
      <c r="J1088" s="107">
        <f t="shared" si="138"/>
        <v>7010.9837260684872</v>
      </c>
      <c r="K1088" s="107">
        <f t="shared" si="138"/>
        <v>6543.2224373198987</v>
      </c>
      <c r="L1088" s="107">
        <f t="shared" si="138"/>
        <v>6068.9129830434413</v>
      </c>
      <c r="M1088" s="107">
        <f t="shared" si="138"/>
        <v>5615.8269721351298</v>
      </c>
      <c r="N1088" s="107">
        <f t="shared" si="138"/>
        <v>0</v>
      </c>
    </row>
    <row r="1089" spans="3:13" ht="14.5" x14ac:dyDescent="0.35">
      <c r="C1089" s="799"/>
      <c r="D1089" s="811"/>
      <c r="E1089" s="19"/>
      <c r="F1089" s="19"/>
      <c r="G1089" s="19"/>
      <c r="H1089" s="19"/>
    </row>
    <row r="1090" spans="3:13" ht="14.5" x14ac:dyDescent="0.35">
      <c r="C1090" s="806" t="s">
        <v>984</v>
      </c>
      <c r="D1090" s="814"/>
      <c r="E1090" s="19"/>
      <c r="F1090" s="19"/>
      <c r="G1090" s="19"/>
      <c r="H1090" s="19"/>
    </row>
    <row r="1091" spans="3:13" ht="14.5" x14ac:dyDescent="0.35">
      <c r="C1091" s="797" t="s">
        <v>972</v>
      </c>
      <c r="D1091" s="813"/>
      <c r="E1091" s="19"/>
      <c r="F1091" s="19"/>
      <c r="G1091" s="19"/>
      <c r="H1091" s="19"/>
    </row>
    <row r="1092" spans="3:13" ht="14.5" x14ac:dyDescent="0.35">
      <c r="C1092" s="798" t="s">
        <v>973</v>
      </c>
      <c r="D1092" s="812">
        <v>517</v>
      </c>
      <c r="E1092" s="19">
        <f>D1098</f>
        <v>857</v>
      </c>
      <c r="F1092" s="19">
        <f>E1098</f>
        <v>873</v>
      </c>
      <c r="G1092" s="19">
        <f>F1098</f>
        <v>2499</v>
      </c>
      <c r="H1092" s="19">
        <f>G1098</f>
        <v>4390</v>
      </c>
    </row>
    <row r="1093" spans="3:13" ht="14.5" x14ac:dyDescent="0.35">
      <c r="C1093" s="799" t="s">
        <v>974</v>
      </c>
      <c r="D1093" s="811">
        <v>26</v>
      </c>
      <c r="E1093" s="19">
        <v>18</v>
      </c>
      <c r="F1093" s="19">
        <v>1629</v>
      </c>
      <c r="G1093" s="19">
        <v>1320</v>
      </c>
      <c r="H1093" s="19">
        <v>761</v>
      </c>
    </row>
    <row r="1094" spans="3:13" ht="14.5" x14ac:dyDescent="0.35">
      <c r="C1094" s="799" t="s">
        <v>993</v>
      </c>
      <c r="D1094" s="811">
        <v>323</v>
      </c>
      <c r="E1094" s="19">
        <v>0</v>
      </c>
      <c r="F1094" s="19">
        <v>0</v>
      </c>
      <c r="G1094" s="19">
        <v>586</v>
      </c>
      <c r="H1094" s="19">
        <v>49</v>
      </c>
    </row>
    <row r="1095" spans="3:13" ht="14.5" x14ac:dyDescent="0.35">
      <c r="C1095" s="798" t="s">
        <v>975</v>
      </c>
      <c r="D1095" s="812">
        <v>9</v>
      </c>
      <c r="E1095" s="19">
        <v>2</v>
      </c>
      <c r="F1095" s="19">
        <v>3</v>
      </c>
      <c r="G1095" s="19">
        <v>15</v>
      </c>
      <c r="H1095" s="19">
        <v>10</v>
      </c>
    </row>
    <row r="1096" spans="3:13" ht="14.5" x14ac:dyDescent="0.35">
      <c r="C1096" s="798" t="s">
        <v>976</v>
      </c>
      <c r="D1096" s="812">
        <v>0</v>
      </c>
      <c r="E1096" s="19">
        <v>0</v>
      </c>
      <c r="F1096" s="19">
        <v>0</v>
      </c>
      <c r="G1096" s="19">
        <v>0</v>
      </c>
      <c r="H1096" s="19">
        <v>0</v>
      </c>
    </row>
    <row r="1097" spans="3:13" ht="14.5" x14ac:dyDescent="0.35">
      <c r="C1097" s="799"/>
      <c r="D1097" s="811"/>
      <c r="E1097" s="19"/>
      <c r="F1097" s="19"/>
      <c r="G1097" s="19"/>
      <c r="H1097" s="19"/>
    </row>
    <row r="1098" spans="3:13" ht="14.5" x14ac:dyDescent="0.35">
      <c r="C1098" s="798" t="s">
        <v>977</v>
      </c>
      <c r="D1098" s="19">
        <f>D1092+D1093+D1094-D1095-D1096</f>
        <v>857</v>
      </c>
      <c r="E1098" s="19">
        <f>E1092+E1093+E1094-E1095-E1096</f>
        <v>873</v>
      </c>
      <c r="F1098" s="19">
        <f>F1092+F1093+F1094-F1095-F1096</f>
        <v>2499</v>
      </c>
      <c r="G1098" s="19">
        <f>G1092+G1093+G1094-G1095-G1096</f>
        <v>4390</v>
      </c>
      <c r="H1098" s="19">
        <f>H1092+H1093+H1094-H1095-H1096</f>
        <v>5190</v>
      </c>
      <c r="I1098" s="779">
        <f>$H$1098*'INCOME STATEMENT'!$L$3/'INCOME STATEMENT'!M3</f>
        <v>5058.3784600209437</v>
      </c>
      <c r="J1098" s="779">
        <f>$H$1098*'INCOME STATEMENT'!$L$3/'INCOME STATEMENT'!N3</f>
        <v>4868.6679174484052</v>
      </c>
      <c r="K1098" s="779">
        <f>$H$1098*'INCOME STATEMENT'!$L$3/'INCOME STATEMENT'!O3</f>
        <v>4860.8369857535108</v>
      </c>
      <c r="L1098" s="779">
        <f>$H$1098*'INCOME STATEMENT'!$L$3/'INCOME STATEMENT'!P3</f>
        <v>4848.854026137099</v>
      </c>
      <c r="M1098" s="779">
        <f>$H$1098*'INCOME STATEMENT'!$L$3/'INCOME STATEMENT'!Q3</f>
        <v>4848.3406113246365</v>
      </c>
    </row>
    <row r="1099" spans="3:13" ht="14.5" x14ac:dyDescent="0.35">
      <c r="C1099" s="799"/>
      <c r="D1099" s="811"/>
      <c r="E1099" s="19"/>
      <c r="F1099" s="19"/>
      <c r="G1099" s="19"/>
      <c r="H1099" s="19"/>
    </row>
    <row r="1100" spans="3:13" ht="14.5" x14ac:dyDescent="0.35">
      <c r="C1100" s="797" t="s">
        <v>944</v>
      </c>
      <c r="D1100" s="813"/>
      <c r="E1100" s="19"/>
      <c r="F1100" s="19"/>
      <c r="G1100" s="19"/>
      <c r="H1100" s="19"/>
    </row>
    <row r="1101" spans="3:13" ht="14.5" x14ac:dyDescent="0.35">
      <c r="C1101" s="798" t="s">
        <v>978</v>
      </c>
      <c r="D1101" s="812">
        <v>0</v>
      </c>
      <c r="E1101" s="19">
        <f>D1107</f>
        <v>116</v>
      </c>
      <c r="F1101" s="19">
        <f>E1107</f>
        <v>224</v>
      </c>
      <c r="G1101" s="19">
        <f>F1107</f>
        <v>325</v>
      </c>
      <c r="H1101" s="19">
        <f>G1107</f>
        <v>1034</v>
      </c>
      <c r="I1101" s="17">
        <f>H1107</f>
        <v>1320</v>
      </c>
      <c r="J1101" s="779">
        <f t="shared" ref="J1101:M1101" si="139">I1107</f>
        <v>1579.2540790685107</v>
      </c>
      <c r="K1101" s="779">
        <f t="shared" si="139"/>
        <v>1828.7850359165407</v>
      </c>
      <c r="L1101" s="779">
        <f t="shared" si="139"/>
        <v>2077.9146386545817</v>
      </c>
      <c r="M1101" s="779">
        <f t="shared" si="139"/>
        <v>2326.430085851589</v>
      </c>
    </row>
    <row r="1102" spans="3:13" ht="14.5" x14ac:dyDescent="0.35">
      <c r="C1102" s="799" t="s">
        <v>979</v>
      </c>
      <c r="D1102" s="811">
        <v>85</v>
      </c>
      <c r="E1102" s="19">
        <v>109</v>
      </c>
      <c r="F1102" s="19">
        <v>102</v>
      </c>
      <c r="G1102" s="19">
        <v>489</v>
      </c>
      <c r="H1102" s="19">
        <v>266</v>
      </c>
      <c r="I1102" s="779">
        <f>I1098*$I$1106</f>
        <v>259.2540790685108</v>
      </c>
      <c r="J1102" s="779">
        <f t="shared" ref="J1102:M1102" si="140">J1098*$I$1106</f>
        <v>249.53095684803</v>
      </c>
      <c r="K1102" s="779">
        <f t="shared" si="140"/>
        <v>249.1296027380412</v>
      </c>
      <c r="L1102" s="779">
        <f t="shared" si="140"/>
        <v>248.51544719700738</v>
      </c>
      <c r="M1102" s="779">
        <f t="shared" si="140"/>
        <v>248.48913345132047</v>
      </c>
    </row>
    <row r="1103" spans="3:13" ht="14.5" x14ac:dyDescent="0.35">
      <c r="C1103" s="799" t="s">
        <v>993</v>
      </c>
      <c r="D1103" s="811">
        <v>32</v>
      </c>
      <c r="E1103" s="19">
        <v>0</v>
      </c>
      <c r="F1103" s="19">
        <v>0</v>
      </c>
      <c r="G1103" s="19">
        <v>228</v>
      </c>
      <c r="H1103" s="19">
        <v>20</v>
      </c>
    </row>
    <row r="1104" spans="3:13" ht="14.5" x14ac:dyDescent="0.35">
      <c r="C1104" s="798" t="s">
        <v>975</v>
      </c>
      <c r="D1104" s="812">
        <v>1</v>
      </c>
      <c r="E1104" s="19">
        <v>1</v>
      </c>
      <c r="F1104" s="19">
        <v>1</v>
      </c>
      <c r="G1104" s="19">
        <v>8</v>
      </c>
      <c r="H1104" s="19">
        <v>0</v>
      </c>
    </row>
    <row r="1105" spans="3:13" ht="14.5" x14ac:dyDescent="0.35">
      <c r="C1105" s="798" t="s">
        <v>976</v>
      </c>
      <c r="D1105" s="812">
        <v>0</v>
      </c>
      <c r="E1105" s="19">
        <v>0</v>
      </c>
      <c r="F1105" s="19">
        <v>0</v>
      </c>
      <c r="H1105" s="19"/>
    </row>
    <row r="1106" spans="3:13" ht="14.5" x14ac:dyDescent="0.35">
      <c r="C1106" s="798"/>
      <c r="D1106" s="812"/>
      <c r="E1106" s="19"/>
      <c r="F1106" s="19"/>
      <c r="G1106" s="19"/>
      <c r="H1106" s="19"/>
      <c r="I1106" s="1047">
        <f>H1102/H1098</f>
        <v>5.1252408477842001E-2</v>
      </c>
      <c r="J1106" s="1048"/>
      <c r="K1106" s="1048"/>
      <c r="L1106" s="1048"/>
      <c r="M1106" s="1048"/>
    </row>
    <row r="1107" spans="3:13" ht="14.5" x14ac:dyDescent="0.35">
      <c r="C1107" s="798" t="s">
        <v>980</v>
      </c>
      <c r="D1107" s="19">
        <f>D1101+D1102+D1103-D1104-D1105</f>
        <v>116</v>
      </c>
      <c r="E1107" s="19">
        <f>E1101+E1102+E1103-E1104-E1105</f>
        <v>224</v>
      </c>
      <c r="F1107" s="19">
        <f t="shared" ref="F1107:M1107" si="141">F1101+F1102+F1103-F1104-F1105</f>
        <v>325</v>
      </c>
      <c r="G1107" s="19">
        <f t="shared" si="141"/>
        <v>1034</v>
      </c>
      <c r="H1107" s="19">
        <f t="shared" si="141"/>
        <v>1320</v>
      </c>
      <c r="I1107" s="790">
        <f t="shared" si="141"/>
        <v>1579.2540790685107</v>
      </c>
      <c r="J1107" s="790">
        <f t="shared" si="141"/>
        <v>1828.7850359165407</v>
      </c>
      <c r="K1107" s="790">
        <f t="shared" si="141"/>
        <v>2077.9146386545817</v>
      </c>
      <c r="L1107" s="790">
        <f t="shared" si="141"/>
        <v>2326.430085851589</v>
      </c>
      <c r="M1107" s="790">
        <f t="shared" si="141"/>
        <v>2574.9192193029094</v>
      </c>
    </row>
    <row r="1108" spans="3:13" ht="14.5" x14ac:dyDescent="0.35">
      <c r="C1108" s="799"/>
      <c r="D1108" s="811"/>
      <c r="E1108" s="19"/>
      <c r="F1108" s="19"/>
      <c r="G1108" s="19"/>
      <c r="H1108" s="19"/>
    </row>
    <row r="1109" spans="3:13" ht="14.5" x14ac:dyDescent="0.35">
      <c r="C1109" s="798" t="s">
        <v>985</v>
      </c>
      <c r="D1109" s="107">
        <f>D1098-D1107</f>
        <v>741</v>
      </c>
      <c r="E1109" s="107">
        <f>E1098-E1107</f>
        <v>649</v>
      </c>
      <c r="F1109" s="107">
        <f>F1098-F1107</f>
        <v>2174</v>
      </c>
      <c r="G1109" s="107">
        <f>G1098-G1107</f>
        <v>3356</v>
      </c>
      <c r="H1109" s="107">
        <f>H1098-H1107</f>
        <v>3870</v>
      </c>
      <c r="I1109" s="107">
        <f t="shared" ref="I1109:M1109" si="142">I1098-I1107</f>
        <v>3479.1243809524331</v>
      </c>
      <c r="J1109" s="107">
        <f t="shared" si="142"/>
        <v>3039.8828815318648</v>
      </c>
      <c r="K1109" s="107">
        <f t="shared" si="142"/>
        <v>2782.9223470989291</v>
      </c>
      <c r="L1109" s="107">
        <f t="shared" si="142"/>
        <v>2522.4239402855101</v>
      </c>
      <c r="M1109" s="107">
        <f t="shared" si="142"/>
        <v>2273.4213920217271</v>
      </c>
    </row>
    <row r="1110" spans="3:13" ht="14.5" x14ac:dyDescent="0.35">
      <c r="C1110" s="799"/>
      <c r="D1110" s="811"/>
      <c r="E1110" s="19"/>
      <c r="F1110" s="19"/>
      <c r="G1110" s="19"/>
      <c r="H1110" s="19"/>
    </row>
    <row r="1111" spans="3:13" ht="14.5" x14ac:dyDescent="0.35">
      <c r="C1111" s="806" t="s">
        <v>987</v>
      </c>
      <c r="D1111" s="814"/>
      <c r="E1111" s="19"/>
      <c r="F1111" s="19"/>
      <c r="G1111" s="19"/>
      <c r="H1111" s="19"/>
    </row>
    <row r="1112" spans="3:13" ht="14.5" x14ac:dyDescent="0.35">
      <c r="C1112" s="797" t="s">
        <v>972</v>
      </c>
      <c r="D1112" s="813"/>
      <c r="E1112" s="19"/>
      <c r="F1112" s="19"/>
      <c r="G1112" s="19"/>
      <c r="H1112" s="19"/>
    </row>
    <row r="1113" spans="3:13" ht="14.5" x14ac:dyDescent="0.35">
      <c r="C1113" s="798" t="s">
        <v>973</v>
      </c>
      <c r="D1113" s="812">
        <v>35</v>
      </c>
      <c r="E1113" s="19">
        <f>D1119</f>
        <v>48</v>
      </c>
      <c r="F1113" s="19">
        <f>E1119</f>
        <v>51</v>
      </c>
      <c r="G1113" s="19">
        <f>F1119</f>
        <v>65</v>
      </c>
      <c r="H1113" s="19">
        <f>G1119</f>
        <v>106</v>
      </c>
    </row>
    <row r="1114" spans="3:13" ht="14.5" x14ac:dyDescent="0.35">
      <c r="C1114" s="799" t="s">
        <v>974</v>
      </c>
      <c r="D1114" s="811">
        <v>13</v>
      </c>
      <c r="E1114" s="19">
        <v>6</v>
      </c>
      <c r="F1114" s="19">
        <v>14</v>
      </c>
      <c r="G1114" s="19">
        <v>15</v>
      </c>
      <c r="H1114" s="19">
        <v>280</v>
      </c>
    </row>
    <row r="1115" spans="3:13" ht="14.5" x14ac:dyDescent="0.35">
      <c r="C1115" s="799" t="s">
        <v>993</v>
      </c>
      <c r="D1115" s="811">
        <v>0</v>
      </c>
      <c r="E1115" s="19">
        <v>0</v>
      </c>
      <c r="F1115" s="19">
        <v>0</v>
      </c>
      <c r="G1115" s="19">
        <v>26</v>
      </c>
      <c r="H1115" s="19">
        <v>7</v>
      </c>
    </row>
    <row r="1116" spans="3:13" ht="14.5" x14ac:dyDescent="0.35">
      <c r="C1116" s="798" t="s">
        <v>975</v>
      </c>
      <c r="D1116" s="812">
        <v>0</v>
      </c>
      <c r="E1116" s="19">
        <v>3</v>
      </c>
      <c r="F1116" s="19">
        <v>0</v>
      </c>
      <c r="G1116" s="19">
        <v>0</v>
      </c>
      <c r="H1116" s="19">
        <v>0</v>
      </c>
      <c r="J1116" s="1049" t="s">
        <v>1069</v>
      </c>
      <c r="K1116" s="1049"/>
      <c r="L1116" s="1049"/>
    </row>
    <row r="1117" spans="3:13" ht="14.5" x14ac:dyDescent="0.35">
      <c r="C1117" s="798" t="s">
        <v>976</v>
      </c>
      <c r="D1117" s="812">
        <v>0</v>
      </c>
      <c r="E1117" s="19">
        <v>0</v>
      </c>
      <c r="F1117" s="19">
        <v>0</v>
      </c>
      <c r="G1117" s="19">
        <v>0</v>
      </c>
      <c r="H1117" s="19">
        <v>0</v>
      </c>
      <c r="J1117" s="1049"/>
      <c r="K1117" s="1049"/>
      <c r="L1117" s="1049"/>
    </row>
    <row r="1118" spans="3:13" ht="14.5" x14ac:dyDescent="0.35">
      <c r="C1118" s="799"/>
      <c r="D1118" s="811"/>
      <c r="E1118" s="19"/>
      <c r="F1118" s="19"/>
      <c r="G1118" s="19"/>
      <c r="H1118" s="19"/>
    </row>
    <row r="1119" spans="3:13" ht="14.5" x14ac:dyDescent="0.35">
      <c r="C1119" s="798" t="s">
        <v>977</v>
      </c>
      <c r="D1119" s="19">
        <f>D1113+D1114+D1115-D1116-D1117</f>
        <v>48</v>
      </c>
      <c r="E1119" s="19">
        <f>E1113+E1114+E1115-E1116-E1117</f>
        <v>51</v>
      </c>
      <c r="F1119" s="19">
        <f t="shared" ref="F1119:H1119" si="143">F1113+F1114+F1115-F1116-F1117</f>
        <v>65</v>
      </c>
      <c r="G1119" s="19">
        <f t="shared" si="143"/>
        <v>106</v>
      </c>
      <c r="H1119" s="19">
        <f t="shared" si="143"/>
        <v>393</v>
      </c>
      <c r="I1119" s="779">
        <f>$H$1119/'INCOME STATEMENT'!$L$17*'INCOME STATEMENT'!M17</f>
        <v>325.60660725929148</v>
      </c>
      <c r="J1119" s="779">
        <f>$H$1119/'INCOME STATEMENT'!$L$17*'INCOME STATEMENT'!N17</f>
        <v>418.93800000000005</v>
      </c>
      <c r="K1119" s="779">
        <f>$H$1119/'INCOME STATEMENT'!$L$17*'INCOME STATEMENT'!O17</f>
        <v>419.61291974571685</v>
      </c>
      <c r="L1119" s="779">
        <f>$H$1119/'INCOME STATEMENT'!$L$17*'INCOME STATEMENT'!P17</f>
        <v>420.64990800000004</v>
      </c>
      <c r="M1119" s="779">
        <f>$H$1119/'INCOME STATEMENT'!$L$17*'INCOME STATEMENT'!Q17</f>
        <v>420.69445270321734</v>
      </c>
    </row>
    <row r="1120" spans="3:13" ht="14.5" x14ac:dyDescent="0.35">
      <c r="C1120" s="799"/>
      <c r="D1120" s="811"/>
      <c r="E1120" s="19"/>
      <c r="F1120" s="19"/>
      <c r="G1120" s="19"/>
      <c r="H1120" s="19"/>
    </row>
    <row r="1121" spans="3:13" ht="14.5" x14ac:dyDescent="0.35">
      <c r="C1121" s="797" t="s">
        <v>944</v>
      </c>
      <c r="D1121" s="813"/>
      <c r="E1121" s="19"/>
      <c r="F1121" s="19"/>
      <c r="G1121" s="19"/>
      <c r="H1121" s="19"/>
    </row>
    <row r="1122" spans="3:13" ht="14.5" x14ac:dyDescent="0.35">
      <c r="C1122" s="798" t="s">
        <v>978</v>
      </c>
      <c r="D1122" s="812">
        <v>0</v>
      </c>
      <c r="E1122" s="19">
        <f>D1128</f>
        <v>5</v>
      </c>
      <c r="F1122" s="19">
        <f>E1128</f>
        <v>10</v>
      </c>
      <c r="G1122" s="19">
        <f>F1128</f>
        <v>15</v>
      </c>
      <c r="H1122" s="19">
        <f>G1128</f>
        <v>41</v>
      </c>
      <c r="I1122" s="17">
        <f>H1128</f>
        <v>75</v>
      </c>
      <c r="J1122" s="779">
        <f t="shared" ref="J1122:M1122" si="144">I1128</f>
        <v>100.68398174309932</v>
      </c>
      <c r="K1122" s="779">
        <f t="shared" si="144"/>
        <v>133.72998174309933</v>
      </c>
      <c r="L1122" s="779">
        <f t="shared" si="144"/>
        <v>166.82921968741795</v>
      </c>
      <c r="M1122" s="779">
        <f t="shared" si="144"/>
        <v>200.01025568741795</v>
      </c>
    </row>
    <row r="1123" spans="3:13" ht="14.5" x14ac:dyDescent="0.35">
      <c r="C1123" s="799" t="s">
        <v>979</v>
      </c>
      <c r="D1123" s="811">
        <v>5</v>
      </c>
      <c r="E1123" s="19">
        <v>7</v>
      </c>
      <c r="F1123" s="19">
        <v>5</v>
      </c>
      <c r="G1123" s="19">
        <v>15</v>
      </c>
      <c r="H1123" s="19">
        <v>31</v>
      </c>
      <c r="I1123" s="779">
        <f>I1119*$I$1129</f>
        <v>25.683981743099327</v>
      </c>
      <c r="J1123" s="779">
        <f t="shared" ref="J1123:M1123" si="145">J1119*$I$1129</f>
        <v>33.045999999999999</v>
      </c>
      <c r="K1123" s="779">
        <f t="shared" si="145"/>
        <v>33.099237944318631</v>
      </c>
      <c r="L1123" s="779">
        <f t="shared" si="145"/>
        <v>33.181035999999999</v>
      </c>
      <c r="M1123" s="779">
        <f t="shared" si="145"/>
        <v>33.184549704325029</v>
      </c>
    </row>
    <row r="1124" spans="3:13" ht="14.5" x14ac:dyDescent="0.35">
      <c r="C1124" s="799" t="s">
        <v>993</v>
      </c>
      <c r="D1124" s="811">
        <v>0</v>
      </c>
      <c r="E1124" s="19">
        <v>0</v>
      </c>
      <c r="F1124" s="19">
        <v>0</v>
      </c>
      <c r="G1124" s="19">
        <v>11</v>
      </c>
      <c r="H1124" s="19">
        <v>3</v>
      </c>
    </row>
    <row r="1125" spans="3:13" ht="14.5" x14ac:dyDescent="0.35">
      <c r="C1125" s="798" t="s">
        <v>975</v>
      </c>
      <c r="D1125" s="812">
        <v>0</v>
      </c>
      <c r="E1125" s="19">
        <v>2</v>
      </c>
      <c r="F1125" s="19">
        <v>0</v>
      </c>
      <c r="G1125" s="19">
        <v>0</v>
      </c>
      <c r="H1125" s="19">
        <v>0</v>
      </c>
    </row>
    <row r="1126" spans="3:13" ht="14.5" x14ac:dyDescent="0.35">
      <c r="C1126" s="798" t="s">
        <v>976</v>
      </c>
      <c r="D1126" s="812">
        <v>0</v>
      </c>
      <c r="E1126" s="19">
        <v>0</v>
      </c>
      <c r="F1126" s="19">
        <v>0</v>
      </c>
      <c r="G1126" s="19">
        <v>0</v>
      </c>
      <c r="H1126" s="19">
        <v>0</v>
      </c>
    </row>
    <row r="1127" spans="3:13" ht="14.5" x14ac:dyDescent="0.35">
      <c r="C1127" s="798"/>
      <c r="D1127" s="812"/>
      <c r="E1127" s="19"/>
      <c r="F1127" s="19"/>
      <c r="G1127" s="19"/>
      <c r="H1127" s="19"/>
    </row>
    <row r="1128" spans="3:13" ht="14.5" x14ac:dyDescent="0.35">
      <c r="C1128" s="798" t="s">
        <v>980</v>
      </c>
      <c r="D1128" s="19">
        <f>D1122+D1123+D1124-D1125-D1126</f>
        <v>5</v>
      </c>
      <c r="E1128" s="19">
        <f>E1122+E1123+E1124-E1125-E1126</f>
        <v>10</v>
      </c>
      <c r="F1128" s="19">
        <f t="shared" ref="F1128:M1128" si="146">F1122+F1123+F1124-F1125-F1126</f>
        <v>15</v>
      </c>
      <c r="G1128" s="19">
        <f t="shared" si="146"/>
        <v>41</v>
      </c>
      <c r="H1128" s="19">
        <f t="shared" si="146"/>
        <v>75</v>
      </c>
      <c r="I1128" s="790">
        <f t="shared" si="146"/>
        <v>100.68398174309932</v>
      </c>
      <c r="J1128" s="790">
        <f t="shared" si="146"/>
        <v>133.72998174309933</v>
      </c>
      <c r="K1128" s="790">
        <f t="shared" si="146"/>
        <v>166.82921968741795</v>
      </c>
      <c r="L1128" s="790">
        <f t="shared" si="146"/>
        <v>200.01025568741795</v>
      </c>
      <c r="M1128" s="790">
        <f t="shared" si="146"/>
        <v>233.19480539174299</v>
      </c>
    </row>
    <row r="1129" spans="3:13" ht="14.5" x14ac:dyDescent="0.35">
      <c r="C1129" s="799"/>
      <c r="D1129" s="811"/>
      <c r="E1129" s="19"/>
      <c r="F1129" s="19"/>
      <c r="G1129" s="19"/>
      <c r="H1129" s="19"/>
      <c r="I1129" s="1047">
        <f>H1123/H1119</f>
        <v>7.8880407124681931E-2</v>
      </c>
      <c r="J1129" s="1048"/>
      <c r="K1129" s="1048"/>
      <c r="L1129" s="1048"/>
      <c r="M1129" s="1048"/>
    </row>
    <row r="1130" spans="3:13" ht="14.5" x14ac:dyDescent="0.35">
      <c r="C1130" s="798" t="s">
        <v>986</v>
      </c>
      <c r="D1130" s="19">
        <f>D1119-D1128</f>
        <v>43</v>
      </c>
      <c r="E1130" s="19">
        <f>E1119-E1128</f>
        <v>41</v>
      </c>
      <c r="F1130" s="19">
        <f>F1119-F1128</f>
        <v>50</v>
      </c>
      <c r="G1130" s="19">
        <f>G1119-G1128</f>
        <v>65</v>
      </c>
      <c r="H1130" s="790">
        <f>H1119-H1128</f>
        <v>318</v>
      </c>
      <c r="I1130" s="790">
        <f t="shared" ref="I1130:M1130" si="147">I1119-I1128</f>
        <v>224.92262551619217</v>
      </c>
      <c r="J1130" s="790">
        <f t="shared" si="147"/>
        <v>285.20801825690069</v>
      </c>
      <c r="K1130" s="790">
        <f t="shared" si="147"/>
        <v>252.7837000582989</v>
      </c>
      <c r="L1130" s="790">
        <f t="shared" si="147"/>
        <v>220.63965231258209</v>
      </c>
      <c r="M1130" s="790">
        <f t="shared" si="147"/>
        <v>187.49964731147435</v>
      </c>
    </row>
    <row r="1131" spans="3:13" ht="14.5" x14ac:dyDescent="0.35">
      <c r="C1131" s="799"/>
      <c r="D1131" s="811"/>
      <c r="E1131" s="19"/>
      <c r="F1131" s="19"/>
      <c r="G1131" s="19"/>
      <c r="H1131" s="19"/>
    </row>
    <row r="1132" spans="3:13" ht="14.5" x14ac:dyDescent="0.35">
      <c r="C1132" s="807" t="s">
        <v>994</v>
      </c>
      <c r="D1132" s="815"/>
      <c r="E1132" s="19"/>
      <c r="F1132" s="19"/>
      <c r="G1132" s="19"/>
      <c r="H1132" s="19"/>
    </row>
    <row r="1133" spans="3:13" ht="14.5" x14ac:dyDescent="0.35">
      <c r="C1133" s="797" t="s">
        <v>972</v>
      </c>
      <c r="D1133" s="813"/>
      <c r="E1133" s="19"/>
      <c r="F1133" s="19"/>
      <c r="G1133" s="19"/>
      <c r="H1133" s="19"/>
    </row>
    <row r="1134" spans="3:13" ht="14.5" x14ac:dyDescent="0.35">
      <c r="C1134" s="798" t="s">
        <v>973</v>
      </c>
      <c r="D1134" s="812">
        <v>214</v>
      </c>
      <c r="E1134" s="19">
        <f>D1139</f>
        <v>218</v>
      </c>
      <c r="F1134" s="19">
        <f>E1139</f>
        <v>301</v>
      </c>
      <c r="G1134" s="19">
        <f>F1139</f>
        <v>303</v>
      </c>
      <c r="H1134" s="19">
        <f>G1139</f>
        <v>303</v>
      </c>
    </row>
    <row r="1135" spans="3:13" ht="14.5" x14ac:dyDescent="0.35">
      <c r="C1135" s="799" t="s">
        <v>974</v>
      </c>
      <c r="D1135" s="811">
        <v>4</v>
      </c>
      <c r="E1135" s="19">
        <v>83</v>
      </c>
      <c r="F1135" s="19">
        <v>2</v>
      </c>
      <c r="G1135" s="19">
        <v>0</v>
      </c>
      <c r="H1135" s="19">
        <v>0</v>
      </c>
    </row>
    <row r="1136" spans="3:13" ht="14.5" x14ac:dyDescent="0.35">
      <c r="C1136" s="798" t="s">
        <v>975</v>
      </c>
      <c r="D1136" s="812">
        <v>0</v>
      </c>
      <c r="E1136" s="19">
        <v>0</v>
      </c>
      <c r="F1136" s="19">
        <v>0</v>
      </c>
      <c r="G1136" s="19">
        <v>0</v>
      </c>
      <c r="H1136" s="19">
        <v>27</v>
      </c>
    </row>
    <row r="1137" spans="3:13" ht="14.5" x14ac:dyDescent="0.35">
      <c r="C1137" s="798" t="s">
        <v>976</v>
      </c>
      <c r="D1137" s="812">
        <v>0</v>
      </c>
      <c r="E1137" s="19">
        <v>0</v>
      </c>
      <c r="F1137" s="19">
        <v>0</v>
      </c>
      <c r="G1137" s="19">
        <v>0</v>
      </c>
      <c r="H1137" s="19">
        <v>0</v>
      </c>
    </row>
    <row r="1138" spans="3:13" ht="14.5" x14ac:dyDescent="0.35">
      <c r="C1138" s="799"/>
      <c r="D1138" s="811"/>
      <c r="E1138" s="19"/>
      <c r="F1138" s="19"/>
      <c r="G1138" s="19"/>
      <c r="H1138" s="19"/>
    </row>
    <row r="1139" spans="3:13" ht="14.5" x14ac:dyDescent="0.35">
      <c r="C1139" s="798" t="s">
        <v>977</v>
      </c>
      <c r="D1139" s="19">
        <f>D1134+D1135-D1136-D1137</f>
        <v>218</v>
      </c>
      <c r="E1139" s="19">
        <f>E1134+E1135-E1136-E1137</f>
        <v>301</v>
      </c>
      <c r="F1139" s="19">
        <f t="shared" ref="F1139:H1139" si="148">F1134+F1135-F1136-F1137</f>
        <v>303</v>
      </c>
      <c r="G1139" s="19">
        <f t="shared" si="148"/>
        <v>303</v>
      </c>
      <c r="H1139" s="19">
        <f t="shared" si="148"/>
        <v>276</v>
      </c>
      <c r="I1139" s="779">
        <f>$H$1139/'INCOME STATEMENT'!$L$3*'INCOME STATEMENT'!M3</f>
        <v>283.18165817787963</v>
      </c>
      <c r="J1139" s="779">
        <f>$H$1139/'INCOME STATEMENT'!$L$3*'INCOME STATEMENT'!N3</f>
        <v>294.21600000000001</v>
      </c>
      <c r="K1139" s="779">
        <f>$H$1139/'INCOME STATEMENT'!$L$3*'INCOME STATEMENT'!O3</f>
        <v>294.68998943974003</v>
      </c>
      <c r="L1139" s="779">
        <f>$H$1139/'INCOME STATEMENT'!$L$3*'INCOME STATEMENT'!P3</f>
        <v>295.41825599999999</v>
      </c>
      <c r="M1139" s="779">
        <f>$H$1139/'INCOME STATEMENT'!$L$3*'INCOME STATEMENT'!Q3</f>
        <v>295.44953930302285</v>
      </c>
    </row>
    <row r="1140" spans="3:13" ht="14.5" x14ac:dyDescent="0.35">
      <c r="C1140" s="799"/>
      <c r="D1140" s="811"/>
      <c r="E1140" s="19"/>
      <c r="F1140" s="19"/>
      <c r="G1140" s="19"/>
      <c r="H1140" s="19"/>
    </row>
    <row r="1141" spans="3:13" ht="14.5" x14ac:dyDescent="0.35">
      <c r="C1141" s="797" t="s">
        <v>944</v>
      </c>
      <c r="D1141" s="813"/>
      <c r="E1141" s="19"/>
      <c r="F1141" s="19"/>
      <c r="G1141" s="19"/>
      <c r="H1141" s="19"/>
    </row>
    <row r="1142" spans="3:13" ht="14.5" x14ac:dyDescent="0.35">
      <c r="C1142" s="798" t="s">
        <v>978</v>
      </c>
      <c r="D1142" s="812"/>
      <c r="E1142" s="19"/>
      <c r="F1142" s="19"/>
      <c r="G1142" s="19"/>
      <c r="H1142" s="19"/>
    </row>
    <row r="1143" spans="3:13" ht="14.5" x14ac:dyDescent="0.35">
      <c r="C1143" s="799" t="s">
        <v>979</v>
      </c>
      <c r="D1143" s="811">
        <v>30</v>
      </c>
      <c r="E1143" s="19">
        <f>D1147</f>
        <v>30</v>
      </c>
      <c r="F1143" s="19">
        <f>E1147</f>
        <v>60</v>
      </c>
      <c r="G1143" s="19">
        <f>F1147</f>
        <v>84</v>
      </c>
      <c r="H1143" s="19">
        <f>G1147</f>
        <v>105</v>
      </c>
      <c r="I1143" s="17">
        <f>H1147</f>
        <v>99</v>
      </c>
      <c r="J1143" s="779">
        <f t="shared" ref="J1143:M1143" si="149">I1147</f>
        <v>117.46836901160084</v>
      </c>
      <c r="K1143" s="779">
        <f t="shared" si="149"/>
        <v>136.65636901160084</v>
      </c>
      <c r="L1143" s="779">
        <f t="shared" si="149"/>
        <v>155.87528136636649</v>
      </c>
      <c r="M1143" s="779">
        <f t="shared" si="149"/>
        <v>175.14168936636651</v>
      </c>
    </row>
    <row r="1144" spans="3:13" ht="14.5" x14ac:dyDescent="0.35">
      <c r="C1144" s="798" t="s">
        <v>975</v>
      </c>
      <c r="D1144" s="812">
        <v>0</v>
      </c>
      <c r="E1144" s="19">
        <v>30</v>
      </c>
      <c r="F1144" s="19">
        <v>24</v>
      </c>
      <c r="G1144" s="19">
        <v>21</v>
      </c>
      <c r="H1144" s="19">
        <v>18</v>
      </c>
      <c r="I1144" s="779">
        <f>I1139*$I$1148</f>
        <v>18.468369011600846</v>
      </c>
      <c r="J1144" s="779">
        <f t="shared" ref="J1144:M1144" si="150">J1139*$I$1148</f>
        <v>19.187999999999999</v>
      </c>
      <c r="K1144" s="779">
        <f t="shared" si="150"/>
        <v>19.218912354765653</v>
      </c>
      <c r="L1144" s="779">
        <f t="shared" si="150"/>
        <v>19.266407999999998</v>
      </c>
      <c r="M1144" s="779">
        <f t="shared" si="150"/>
        <v>19.268448215414534</v>
      </c>
    </row>
    <row r="1145" spans="3:13" ht="14.5" x14ac:dyDescent="0.35">
      <c r="C1145" s="798" t="s">
        <v>976</v>
      </c>
      <c r="D1145" s="812">
        <v>0</v>
      </c>
      <c r="E1145" s="19">
        <v>0</v>
      </c>
      <c r="F1145" s="19">
        <v>0</v>
      </c>
      <c r="G1145" s="19">
        <v>0</v>
      </c>
      <c r="H1145" s="19">
        <v>24</v>
      </c>
    </row>
    <row r="1146" spans="3:13" ht="14.5" x14ac:dyDescent="0.35">
      <c r="C1146" s="798"/>
      <c r="D1146" s="812"/>
      <c r="E1146" s="19"/>
      <c r="F1146" s="19">
        <v>0</v>
      </c>
      <c r="G1146" s="19">
        <v>0</v>
      </c>
      <c r="H1146" s="19"/>
    </row>
    <row r="1147" spans="3:13" ht="14.5" x14ac:dyDescent="0.35">
      <c r="C1147" s="798" t="s">
        <v>980</v>
      </c>
      <c r="D1147" s="19">
        <f>D1143+D1144-D1145</f>
        <v>30</v>
      </c>
      <c r="E1147" s="19">
        <f>E1143+E1144-E1145</f>
        <v>60</v>
      </c>
      <c r="F1147" s="19">
        <f>F1143+F1144-F1145</f>
        <v>84</v>
      </c>
      <c r="G1147" s="19">
        <f>G1143+G1144-G1145</f>
        <v>105</v>
      </c>
      <c r="H1147" s="790">
        <f>H1143+H1144-H1145</f>
        <v>99</v>
      </c>
      <c r="I1147" s="790">
        <f t="shared" ref="I1147:M1147" si="151">I1143+I1144-I1145</f>
        <v>117.46836901160084</v>
      </c>
      <c r="J1147" s="790">
        <f t="shared" si="151"/>
        <v>136.65636901160084</v>
      </c>
      <c r="K1147" s="790">
        <f t="shared" si="151"/>
        <v>155.87528136636649</v>
      </c>
      <c r="L1147" s="790">
        <f t="shared" si="151"/>
        <v>175.14168936636651</v>
      </c>
      <c r="M1147" s="790">
        <f t="shared" si="151"/>
        <v>194.41013758178104</v>
      </c>
    </row>
    <row r="1148" spans="3:13" ht="14.5" x14ac:dyDescent="0.35">
      <c r="C1148" s="799"/>
      <c r="D1148" s="811"/>
      <c r="E1148" s="19"/>
      <c r="F1148" s="19"/>
      <c r="G1148" s="19"/>
      <c r="H1148" s="19"/>
      <c r="I1148" s="1050">
        <f>H1144/H1139</f>
        <v>6.5217391304347824E-2</v>
      </c>
      <c r="J1148" s="1051"/>
      <c r="K1148" s="1051"/>
      <c r="L1148" s="1051"/>
      <c r="M1148" s="1051"/>
    </row>
    <row r="1149" spans="3:13" ht="14.5" x14ac:dyDescent="0.35">
      <c r="C1149" s="798" t="s">
        <v>985</v>
      </c>
      <c r="D1149" s="19">
        <f>D1139-D1147</f>
        <v>188</v>
      </c>
      <c r="E1149" s="19">
        <f>E1139-E1147</f>
        <v>241</v>
      </c>
      <c r="F1149" s="19">
        <f>F1139-F1147</f>
        <v>219</v>
      </c>
      <c r="G1149" s="19">
        <f>G1139-G1147</f>
        <v>198</v>
      </c>
      <c r="H1149" s="790">
        <f>H1139-H1147</f>
        <v>177</v>
      </c>
      <c r="I1149" s="790">
        <f t="shared" ref="I1149:M1149" si="152">I1139-I1147</f>
        <v>165.7132891662788</v>
      </c>
      <c r="J1149" s="790">
        <f t="shared" si="152"/>
        <v>157.55963098839916</v>
      </c>
      <c r="K1149" s="790">
        <f t="shared" si="152"/>
        <v>138.81470807337354</v>
      </c>
      <c r="L1149" s="790">
        <f t="shared" si="152"/>
        <v>120.27656663363348</v>
      </c>
      <c r="M1149" s="790">
        <f t="shared" si="152"/>
        <v>101.0394017212418</v>
      </c>
    </row>
    <row r="1150" spans="3:13" ht="14.5" x14ac:dyDescent="0.35">
      <c r="C1150" s="799"/>
      <c r="D1150" s="811"/>
      <c r="E1150" s="19"/>
      <c r="F1150" s="19"/>
      <c r="G1150" s="19"/>
      <c r="H1150" s="19"/>
    </row>
    <row r="1151" spans="3:13" ht="14.5" x14ac:dyDescent="0.35">
      <c r="C1151" s="807" t="s">
        <v>999</v>
      </c>
      <c r="D1151" s="815"/>
      <c r="E1151" s="19"/>
      <c r="F1151" s="19"/>
      <c r="G1151" s="19"/>
      <c r="H1151" s="19"/>
    </row>
    <row r="1152" spans="3:13" ht="14.5" x14ac:dyDescent="0.35">
      <c r="C1152" s="797" t="s">
        <v>972</v>
      </c>
      <c r="D1152" s="813"/>
      <c r="E1152" s="19"/>
      <c r="F1152" s="19"/>
      <c r="G1152" s="19"/>
      <c r="H1152" s="19"/>
    </row>
    <row r="1153" spans="3:13" ht="14.5" x14ac:dyDescent="0.35">
      <c r="C1153" s="798" t="s">
        <v>973</v>
      </c>
      <c r="D1153" s="812">
        <v>1021</v>
      </c>
      <c r="E1153" s="19">
        <f>D1158</f>
        <v>1054</v>
      </c>
      <c r="F1153" s="19">
        <f>E1158</f>
        <v>1382</v>
      </c>
      <c r="G1153" s="19">
        <f>F1158</f>
        <v>1414</v>
      </c>
      <c r="H1153" s="19">
        <f>G1158</f>
        <v>1414</v>
      </c>
    </row>
    <row r="1154" spans="3:13" ht="14.5" x14ac:dyDescent="0.35">
      <c r="C1154" s="799" t="s">
        <v>974</v>
      </c>
      <c r="D1154" s="811">
        <v>41</v>
      </c>
      <c r="E1154" s="19">
        <v>329</v>
      </c>
      <c r="F1154" s="19">
        <v>32</v>
      </c>
      <c r="G1154" s="19">
        <v>0</v>
      </c>
      <c r="H1154" s="19"/>
    </row>
    <row r="1155" spans="3:13" ht="14.5" x14ac:dyDescent="0.35">
      <c r="C1155" s="798" t="s">
        <v>975</v>
      </c>
      <c r="D1155" s="812">
        <v>8</v>
      </c>
      <c r="E1155" s="19">
        <v>1</v>
      </c>
      <c r="F1155" s="19">
        <v>0</v>
      </c>
      <c r="G1155" s="19">
        <v>0</v>
      </c>
      <c r="H1155" s="19">
        <v>120</v>
      </c>
    </row>
    <row r="1156" spans="3:13" ht="14.5" x14ac:dyDescent="0.35">
      <c r="C1156" s="798" t="s">
        <v>976</v>
      </c>
      <c r="D1156" s="812">
        <v>0</v>
      </c>
      <c r="E1156" s="19">
        <v>0</v>
      </c>
      <c r="F1156" s="19">
        <v>0</v>
      </c>
      <c r="G1156" s="19">
        <v>0</v>
      </c>
      <c r="H1156" s="19">
        <v>0</v>
      </c>
    </row>
    <row r="1157" spans="3:13" ht="14.5" x14ac:dyDescent="0.35">
      <c r="C1157" s="799"/>
      <c r="D1157" s="811"/>
      <c r="E1157" s="19"/>
      <c r="F1157" s="19"/>
      <c r="G1157" s="19"/>
      <c r="H1157" s="19"/>
    </row>
    <row r="1158" spans="3:13" ht="14.5" x14ac:dyDescent="0.35">
      <c r="C1158" s="798" t="s">
        <v>977</v>
      </c>
      <c r="D1158" s="19">
        <f>D1153+D1154-D1155-D1156</f>
        <v>1054</v>
      </c>
      <c r="E1158" s="19">
        <f>E1153+E1154-E1155-E1156</f>
        <v>1382</v>
      </c>
      <c r="F1158" s="19">
        <f t="shared" ref="F1158:H1158" si="153">F1153+F1154-F1155-F1156</f>
        <v>1414</v>
      </c>
      <c r="G1158" s="19">
        <f t="shared" si="153"/>
        <v>1414</v>
      </c>
      <c r="H1158" s="19">
        <f t="shared" si="153"/>
        <v>1294</v>
      </c>
      <c r="I1158" s="779">
        <f>$H$1158/'INCOME STATEMENT'!$L$3*'INCOME STATEMENT'!M3</f>
        <v>1327.6705278339718</v>
      </c>
      <c r="J1158" s="779">
        <f>$H$1158/'INCOME STATEMENT'!$L$3*'INCOME STATEMENT'!N3</f>
        <v>1379.4040000000002</v>
      </c>
      <c r="K1158" s="779">
        <f>$H$1158/'INCOME STATEMENT'!$L$3*'INCOME STATEMENT'!O3</f>
        <v>1381.6262548370423</v>
      </c>
      <c r="L1158" s="779">
        <f>$H$1158/'INCOME STATEMENT'!$L$3*'INCOME STATEMENT'!P3</f>
        <v>1385.0406640000001</v>
      </c>
      <c r="M1158" s="779">
        <f>$H$1158/'INCOME STATEMENT'!$L$3*'INCOME STATEMENT'!Q3</f>
        <v>1385.1873328192451</v>
      </c>
    </row>
    <row r="1159" spans="3:13" ht="14.5" x14ac:dyDescent="0.35">
      <c r="C1159" s="799"/>
      <c r="D1159" s="811"/>
      <c r="E1159" s="19"/>
      <c r="F1159" s="19"/>
      <c r="G1159" s="19"/>
      <c r="H1159" s="19"/>
    </row>
    <row r="1160" spans="3:13" ht="14.5" x14ac:dyDescent="0.35">
      <c r="C1160" s="797" t="s">
        <v>944</v>
      </c>
      <c r="D1160" s="813"/>
      <c r="E1160" s="19"/>
      <c r="F1160" s="19"/>
      <c r="G1160" s="19"/>
      <c r="H1160" s="19"/>
    </row>
    <row r="1161" spans="3:13" ht="14.5" x14ac:dyDescent="0.35">
      <c r="C1161" s="798" t="s">
        <v>978</v>
      </c>
      <c r="D1161" s="812">
        <v>0</v>
      </c>
      <c r="E1161" s="19">
        <f>D1166</f>
        <v>171</v>
      </c>
      <c r="F1161" s="19">
        <f>E1166</f>
        <v>347</v>
      </c>
      <c r="G1161" s="19">
        <f>F1166</f>
        <v>494</v>
      </c>
      <c r="H1161" s="19">
        <f>G1166</f>
        <v>614</v>
      </c>
      <c r="I1161" s="17">
        <f>H1166</f>
        <v>604</v>
      </c>
      <c r="J1161" s="779">
        <f t="shared" ref="J1161:M1161" si="154">I1166</f>
        <v>703.52398856251568</v>
      </c>
      <c r="K1161" s="779">
        <f t="shared" si="154"/>
        <v>806.92598856251573</v>
      </c>
      <c r="L1161" s="779">
        <f t="shared" si="154"/>
        <v>910.49457180764182</v>
      </c>
      <c r="M1161" s="779">
        <f t="shared" si="154"/>
        <v>1014.3191038076418</v>
      </c>
    </row>
    <row r="1162" spans="3:13" ht="14.5" x14ac:dyDescent="0.35">
      <c r="C1162" s="799" t="s">
        <v>979</v>
      </c>
      <c r="D1162" s="811">
        <v>171</v>
      </c>
      <c r="E1162" s="19">
        <v>176</v>
      </c>
      <c r="F1162" s="19">
        <v>147</v>
      </c>
      <c r="G1162" s="19">
        <v>120</v>
      </c>
      <c r="H1162" s="19">
        <v>97</v>
      </c>
      <c r="I1162" s="779">
        <f>I1158*$I$1167</f>
        <v>99.523988562515669</v>
      </c>
      <c r="J1162" s="779">
        <f t="shared" ref="J1162:M1162" si="155">J1158*$I$1167</f>
        <v>103.40200000000003</v>
      </c>
      <c r="K1162" s="779">
        <f t="shared" si="155"/>
        <v>103.56858324512605</v>
      </c>
      <c r="L1162" s="779">
        <f t="shared" si="155"/>
        <v>103.82453200000002</v>
      </c>
      <c r="M1162" s="779">
        <f t="shared" si="155"/>
        <v>103.83552649417835</v>
      </c>
    </row>
    <row r="1163" spans="3:13" ht="14.5" x14ac:dyDescent="0.35">
      <c r="C1163" s="798" t="s">
        <v>975</v>
      </c>
      <c r="D1163" s="812">
        <v>0</v>
      </c>
      <c r="E1163" s="19">
        <v>0</v>
      </c>
      <c r="F1163" s="19">
        <v>0</v>
      </c>
      <c r="G1163" s="19"/>
      <c r="H1163" s="19">
        <v>107</v>
      </c>
    </row>
    <row r="1164" spans="3:13" ht="14.5" x14ac:dyDescent="0.35">
      <c r="C1164" s="798" t="s">
        <v>976</v>
      </c>
      <c r="D1164" s="812">
        <v>0</v>
      </c>
      <c r="E1164" s="19">
        <v>0</v>
      </c>
      <c r="F1164" s="19">
        <v>0</v>
      </c>
      <c r="G1164" s="19"/>
      <c r="H1164" s="19"/>
    </row>
    <row r="1165" spans="3:13" ht="14.5" x14ac:dyDescent="0.35">
      <c r="C1165" s="798"/>
      <c r="D1165" s="812"/>
      <c r="E1165" s="19"/>
      <c r="F1165" s="19"/>
      <c r="G1165" s="19"/>
      <c r="H1165" s="19"/>
    </row>
    <row r="1166" spans="3:13" ht="14.5" x14ac:dyDescent="0.35">
      <c r="C1166" s="798" t="s">
        <v>980</v>
      </c>
      <c r="D1166" s="19">
        <f>D1161+D1162-D1163-D1164</f>
        <v>171</v>
      </c>
      <c r="E1166" s="19">
        <f>E1161+E1162-E1163-E1164</f>
        <v>347</v>
      </c>
      <c r="F1166" s="19">
        <f t="shared" ref="F1166:M1166" si="156">F1161+F1162-F1163-F1164</f>
        <v>494</v>
      </c>
      <c r="G1166" s="19">
        <f t="shared" si="156"/>
        <v>614</v>
      </c>
      <c r="H1166" s="19">
        <f t="shared" si="156"/>
        <v>604</v>
      </c>
      <c r="I1166" s="790">
        <f t="shared" si="156"/>
        <v>703.52398856251568</v>
      </c>
      <c r="J1166" s="790">
        <f t="shared" si="156"/>
        <v>806.92598856251573</v>
      </c>
      <c r="K1166" s="790">
        <f t="shared" si="156"/>
        <v>910.49457180764182</v>
      </c>
      <c r="L1166" s="790">
        <f t="shared" si="156"/>
        <v>1014.3191038076418</v>
      </c>
      <c r="M1166" s="790">
        <f t="shared" si="156"/>
        <v>1118.1546303018201</v>
      </c>
    </row>
    <row r="1167" spans="3:13" ht="14.5" x14ac:dyDescent="0.35">
      <c r="C1167" s="799"/>
      <c r="D1167" s="811"/>
      <c r="E1167" s="19"/>
      <c r="F1167" s="19"/>
      <c r="G1167" s="19"/>
      <c r="H1167" s="19"/>
      <c r="I1167" s="1050">
        <f>H1162/H1158</f>
        <v>7.4961360123647611E-2</v>
      </c>
      <c r="J1167" s="1051"/>
      <c r="K1167" s="1051"/>
      <c r="L1167" s="1051"/>
      <c r="M1167" s="1051"/>
    </row>
    <row r="1168" spans="3:13" ht="14.5" x14ac:dyDescent="0.35">
      <c r="C1168" s="798" t="s">
        <v>986</v>
      </c>
      <c r="D1168" s="19">
        <f>D1158-D1166</f>
        <v>883</v>
      </c>
      <c r="E1168" s="19">
        <f>E1158-E1166</f>
        <v>1035</v>
      </c>
      <c r="F1168" s="19">
        <f t="shared" ref="F1168:M1168" si="157">F1158-F1166</f>
        <v>920</v>
      </c>
      <c r="G1168" s="19">
        <f t="shared" si="157"/>
        <v>800</v>
      </c>
      <c r="H1168" s="790">
        <f t="shared" si="157"/>
        <v>690</v>
      </c>
      <c r="I1168" s="790">
        <f t="shared" si="157"/>
        <v>624.14653927145616</v>
      </c>
      <c r="J1168" s="790">
        <f t="shared" si="157"/>
        <v>572.4780114374845</v>
      </c>
      <c r="K1168" s="790">
        <f t="shared" si="157"/>
        <v>471.13168302940051</v>
      </c>
      <c r="L1168" s="790">
        <f t="shared" si="157"/>
        <v>370.72156019235831</v>
      </c>
      <c r="M1168" s="790">
        <f t="shared" si="157"/>
        <v>267.03270251742492</v>
      </c>
    </row>
    <row r="1169" spans="3:13" ht="14.5" x14ac:dyDescent="0.35">
      <c r="C1169" s="799"/>
      <c r="D1169" s="811"/>
      <c r="E1169" s="19"/>
      <c r="F1169" s="19"/>
      <c r="G1169" s="19"/>
      <c r="H1169" s="19"/>
    </row>
    <row r="1170" spans="3:13" ht="14.5" x14ac:dyDescent="0.35">
      <c r="C1170" s="807" t="s">
        <v>1000</v>
      </c>
      <c r="D1170" s="815"/>
      <c r="E1170" s="19"/>
      <c r="F1170" s="19"/>
      <c r="G1170" s="19"/>
      <c r="H1170" s="19"/>
    </row>
    <row r="1171" spans="3:13" ht="14.5" x14ac:dyDescent="0.35">
      <c r="C1171" s="797" t="s">
        <v>972</v>
      </c>
      <c r="D1171" s="813"/>
      <c r="E1171" s="19"/>
      <c r="F1171" s="19"/>
      <c r="G1171" s="19"/>
      <c r="H1171" s="19"/>
    </row>
    <row r="1172" spans="3:13" ht="14.5" x14ac:dyDescent="0.35">
      <c r="C1172" s="798" t="s">
        <v>973</v>
      </c>
      <c r="D1172" s="812">
        <v>810</v>
      </c>
      <c r="E1172" s="19">
        <f>D1178</f>
        <v>1200</v>
      </c>
      <c r="F1172" s="19">
        <f>E1178</f>
        <v>1206</v>
      </c>
      <c r="G1172" s="19">
        <f>F1178</f>
        <v>3113</v>
      </c>
      <c r="H1172" s="19">
        <f>G1178</f>
        <v>6055</v>
      </c>
    </row>
    <row r="1173" spans="3:13" ht="14.5" x14ac:dyDescent="0.35">
      <c r="C1173" s="799" t="s">
        <v>974</v>
      </c>
      <c r="D1173" s="811">
        <v>95</v>
      </c>
      <c r="E1173" s="19">
        <v>6</v>
      </c>
      <c r="F1173" s="19">
        <v>1907</v>
      </c>
      <c r="G1173" s="19">
        <v>2571</v>
      </c>
      <c r="H1173" s="19">
        <v>1166</v>
      </c>
    </row>
    <row r="1174" spans="3:13" ht="14.5" x14ac:dyDescent="0.35">
      <c r="C1174" s="799" t="s">
        <v>993</v>
      </c>
      <c r="D1174" s="811">
        <v>296</v>
      </c>
      <c r="E1174" s="19">
        <v>0</v>
      </c>
      <c r="F1174" s="19">
        <v>0</v>
      </c>
      <c r="G1174" s="19">
        <v>371</v>
      </c>
      <c r="H1174" s="19">
        <v>49</v>
      </c>
    </row>
    <row r="1175" spans="3:13" ht="14.5" x14ac:dyDescent="0.35">
      <c r="C1175" s="798" t="s">
        <v>975</v>
      </c>
      <c r="D1175" s="812">
        <v>1</v>
      </c>
      <c r="E1175" s="19">
        <v>0</v>
      </c>
      <c r="F1175" s="19">
        <v>0</v>
      </c>
      <c r="G1175" s="17">
        <v>0</v>
      </c>
      <c r="H1175" s="19">
        <v>20</v>
      </c>
    </row>
    <row r="1176" spans="3:13" ht="14.5" x14ac:dyDescent="0.35">
      <c r="C1176" s="798" t="s">
        <v>976</v>
      </c>
      <c r="D1176" s="812">
        <v>0</v>
      </c>
      <c r="E1176" s="19">
        <v>0</v>
      </c>
      <c r="F1176" s="19">
        <v>0</v>
      </c>
      <c r="G1176" s="19">
        <v>0</v>
      </c>
      <c r="H1176" s="19">
        <v>0</v>
      </c>
    </row>
    <row r="1177" spans="3:13" ht="14.5" x14ac:dyDescent="0.35">
      <c r="C1177" s="799"/>
      <c r="D1177" s="811"/>
      <c r="E1177" s="19"/>
      <c r="F1177" s="19"/>
      <c r="G1177" s="19"/>
      <c r="H1177" s="19"/>
    </row>
    <row r="1178" spans="3:13" ht="14.5" x14ac:dyDescent="0.35">
      <c r="C1178" s="798" t="s">
        <v>977</v>
      </c>
      <c r="D1178" s="19">
        <f>D1172+D1173+D1174-D1175-D1176</f>
        <v>1200</v>
      </c>
      <c r="E1178" s="19">
        <f>E1172+E1173+E1174-E1175-E1176</f>
        <v>1206</v>
      </c>
      <c r="F1178" s="19">
        <f t="shared" ref="F1178:H1178" si="158">F1172+F1173+F1174-F1175-F1176</f>
        <v>3113</v>
      </c>
      <c r="G1178" s="19">
        <f t="shared" si="158"/>
        <v>6055</v>
      </c>
      <c r="H1178" s="19">
        <f t="shared" si="158"/>
        <v>7250</v>
      </c>
      <c r="I1178" s="779">
        <f>$H$1178/'INCOME STATEMENT'!$L$20*'INCOME STATEMENT'!M20</f>
        <v>7165.5540189047097</v>
      </c>
      <c r="J1178" s="779">
        <f>$H$1178/'INCOME STATEMENT'!$L$20*'INCOME STATEMENT'!N20</f>
        <v>7728.4999999999991</v>
      </c>
      <c r="K1178" s="779">
        <f>$H$1178/'INCOME STATEMENT'!$L$20*'INCOME STATEMENT'!O20</f>
        <v>7740.9508095583878</v>
      </c>
      <c r="L1178" s="779">
        <f>$H$1178/'INCOME STATEMENT'!$L$20*'INCOME STATEMENT'!P20</f>
        <v>7760.0809999999983</v>
      </c>
      <c r="M1178" s="779">
        <f>$H$1178/'INCOME STATEMENT'!$L$20*'INCOME STATEMENT'!Q20</f>
        <v>7760.9027534308534</v>
      </c>
    </row>
    <row r="1179" spans="3:13" ht="14.5" x14ac:dyDescent="0.35">
      <c r="C1179" s="799"/>
      <c r="D1179" s="811"/>
      <c r="E1179" s="19"/>
      <c r="F1179" s="19"/>
      <c r="G1179" s="19"/>
      <c r="H1179" s="19"/>
    </row>
    <row r="1180" spans="3:13" ht="14.5" x14ac:dyDescent="0.35">
      <c r="C1180" s="797" t="s">
        <v>944</v>
      </c>
      <c r="D1180" s="813"/>
      <c r="E1180" s="19"/>
      <c r="F1180" s="19"/>
      <c r="G1180" s="19"/>
      <c r="H1180" s="19"/>
    </row>
    <row r="1181" spans="3:13" ht="14.5" x14ac:dyDescent="0.35">
      <c r="C1181" s="798" t="s">
        <v>978</v>
      </c>
      <c r="D1181" s="812">
        <v>0</v>
      </c>
      <c r="E1181" s="19">
        <f>D1187</f>
        <v>208</v>
      </c>
      <c r="F1181" s="19">
        <f>E1187</f>
        <v>394</v>
      </c>
      <c r="G1181" s="19">
        <f>F1187</f>
        <v>575</v>
      </c>
      <c r="H1181" s="19">
        <f>G1187</f>
        <v>1543</v>
      </c>
      <c r="I1181" s="17">
        <f>H1187</f>
        <v>2726</v>
      </c>
      <c r="J1181" s="779">
        <f t="shared" ref="J1181:M1181" si="159">I1187</f>
        <v>3870.5119384678146</v>
      </c>
      <c r="K1181" s="779">
        <f t="shared" si="159"/>
        <v>5104.9399384678145</v>
      </c>
      <c r="L1181" s="779">
        <f t="shared" si="159"/>
        <v>6341.3566332910714</v>
      </c>
      <c r="M1181" s="779">
        <f t="shared" si="159"/>
        <v>7580.8288812910714</v>
      </c>
    </row>
    <row r="1182" spans="3:13" ht="14.5" x14ac:dyDescent="0.35">
      <c r="C1182" s="799" t="s">
        <v>979</v>
      </c>
      <c r="D1182" s="811">
        <v>169</v>
      </c>
      <c r="E1182" s="19">
        <v>186</v>
      </c>
      <c r="F1182" s="19">
        <v>181</v>
      </c>
      <c r="G1182" s="19">
        <v>764</v>
      </c>
      <c r="H1182" s="19">
        <v>1158</v>
      </c>
      <c r="I1182" s="779">
        <f>I1178*$I$1188</f>
        <v>1144.5119384678144</v>
      </c>
      <c r="J1182" s="779">
        <f t="shared" ref="J1182:M1182" si="160">J1178*$I$1188</f>
        <v>1234.4279999999999</v>
      </c>
      <c r="K1182" s="779">
        <f t="shared" si="160"/>
        <v>1236.4166948232571</v>
      </c>
      <c r="L1182" s="779">
        <f t="shared" si="160"/>
        <v>1239.4722479999998</v>
      </c>
      <c r="M1182" s="779">
        <f t="shared" si="160"/>
        <v>1239.603501858335</v>
      </c>
    </row>
    <row r="1183" spans="3:13" ht="14.5" x14ac:dyDescent="0.35">
      <c r="C1183" s="799" t="s">
        <v>993</v>
      </c>
      <c r="D1183" s="811">
        <v>39</v>
      </c>
      <c r="E1183" s="19">
        <v>0</v>
      </c>
      <c r="F1183" s="19">
        <v>0</v>
      </c>
      <c r="G1183" s="19">
        <v>204</v>
      </c>
      <c r="H1183" s="19">
        <v>25</v>
      </c>
    </row>
    <row r="1184" spans="3:13" ht="14.5" x14ac:dyDescent="0.35">
      <c r="C1184" s="798" t="s">
        <v>975</v>
      </c>
      <c r="D1184" s="812">
        <v>0</v>
      </c>
      <c r="E1184" s="19">
        <v>0</v>
      </c>
      <c r="F1184" s="19">
        <v>0</v>
      </c>
      <c r="G1184" s="19">
        <v>0</v>
      </c>
      <c r="H1184" s="19">
        <v>0</v>
      </c>
    </row>
    <row r="1185" spans="3:13" ht="14.5" x14ac:dyDescent="0.35">
      <c r="C1185" s="798" t="s">
        <v>976</v>
      </c>
      <c r="D1185" s="816">
        <v>0</v>
      </c>
      <c r="E1185" s="17">
        <v>0</v>
      </c>
      <c r="F1185" s="19">
        <v>0</v>
      </c>
      <c r="G1185" s="19">
        <v>0</v>
      </c>
      <c r="H1185" s="19">
        <v>0</v>
      </c>
    </row>
    <row r="1186" spans="3:13" ht="14.5" x14ac:dyDescent="0.35">
      <c r="C1186" s="798"/>
      <c r="D1186" s="812"/>
      <c r="E1186" s="19"/>
      <c r="F1186" s="19"/>
      <c r="G1186" s="19"/>
      <c r="H1186" s="19"/>
    </row>
    <row r="1187" spans="3:13" ht="14.5" x14ac:dyDescent="0.35">
      <c r="C1187" s="798" t="s">
        <v>980</v>
      </c>
      <c r="D1187" s="19">
        <f>D1181+D1182+D1183-D1184</f>
        <v>208</v>
      </c>
      <c r="E1187" s="19">
        <f>E1181+E1182+E1183-E1184</f>
        <v>394</v>
      </c>
      <c r="F1187" s="19">
        <f t="shared" ref="F1187:M1187" si="161">F1181+F1182+F1183-F1184</f>
        <v>575</v>
      </c>
      <c r="G1187" s="19">
        <f t="shared" si="161"/>
        <v>1543</v>
      </c>
      <c r="H1187" s="19">
        <f t="shared" si="161"/>
        <v>2726</v>
      </c>
      <c r="I1187" s="790">
        <f t="shared" si="161"/>
        <v>3870.5119384678146</v>
      </c>
      <c r="J1187" s="790">
        <f t="shared" si="161"/>
        <v>5104.9399384678145</v>
      </c>
      <c r="K1187" s="790">
        <f t="shared" si="161"/>
        <v>6341.3566332910714</v>
      </c>
      <c r="L1187" s="790">
        <f t="shared" si="161"/>
        <v>7580.8288812910714</v>
      </c>
      <c r="M1187" s="790">
        <f t="shared" si="161"/>
        <v>8820.4323831494057</v>
      </c>
    </row>
    <row r="1188" spans="3:13" ht="14.5" x14ac:dyDescent="0.35">
      <c r="C1188" s="799"/>
      <c r="D1188" s="811"/>
      <c r="E1188" s="19"/>
      <c r="F1188" s="19"/>
      <c r="G1188" s="19"/>
      <c r="H1188" s="19"/>
      <c r="I1188" s="1052">
        <f>H1182/H1178</f>
        <v>0.15972413793103449</v>
      </c>
      <c r="J1188" s="1053"/>
      <c r="K1188" s="1053"/>
      <c r="L1188" s="1053"/>
      <c r="M1188" s="1053"/>
    </row>
    <row r="1189" spans="3:13" ht="14.5" x14ac:dyDescent="0.35">
      <c r="C1189" s="798" t="s">
        <v>986</v>
      </c>
      <c r="D1189" s="19">
        <f>D1178-D1187</f>
        <v>992</v>
      </c>
      <c r="E1189" s="19">
        <f>E1178-E1187</f>
        <v>812</v>
      </c>
      <c r="F1189" s="19">
        <f t="shared" ref="F1189:M1189" si="162">F1178-F1187</f>
        <v>2538</v>
      </c>
      <c r="G1189" s="19">
        <f t="shared" si="162"/>
        <v>4512</v>
      </c>
      <c r="H1189" s="19">
        <f t="shared" si="162"/>
        <v>4524</v>
      </c>
      <c r="I1189" s="790">
        <f t="shared" si="162"/>
        <v>3295.042080436895</v>
      </c>
      <c r="J1189" s="790">
        <f t="shared" si="162"/>
        <v>2623.5600615321846</v>
      </c>
      <c r="K1189" s="790">
        <f t="shared" si="162"/>
        <v>1399.5941762673165</v>
      </c>
      <c r="L1189" s="790">
        <f t="shared" si="162"/>
        <v>179.2521187089269</v>
      </c>
      <c r="M1189" s="790">
        <f t="shared" si="162"/>
        <v>-1059.5296297185523</v>
      </c>
    </row>
    <row r="1190" spans="3:13" ht="14.5" x14ac:dyDescent="0.35">
      <c r="C1190" s="799"/>
      <c r="D1190" s="811"/>
      <c r="E1190" s="19"/>
      <c r="F1190" s="19"/>
      <c r="G1190" s="19"/>
      <c r="H1190" s="19"/>
    </row>
    <row r="1191" spans="3:13" ht="14.5" x14ac:dyDescent="0.35">
      <c r="C1191" s="807" t="s">
        <v>598</v>
      </c>
      <c r="D1191" s="815"/>
      <c r="E1191" s="19"/>
      <c r="F1191" s="19"/>
      <c r="G1191" s="19"/>
      <c r="H1191" s="19"/>
    </row>
    <row r="1192" spans="3:13" ht="14.5" x14ac:dyDescent="0.35">
      <c r="C1192" s="797" t="s">
        <v>972</v>
      </c>
      <c r="D1192" s="813"/>
      <c r="E1192" s="19"/>
      <c r="F1192" s="19"/>
      <c r="G1192" s="19"/>
      <c r="H1192" s="19"/>
    </row>
    <row r="1193" spans="3:13" ht="14.5" x14ac:dyDescent="0.35">
      <c r="C1193" s="798" t="s">
        <v>973</v>
      </c>
      <c r="D1193" s="812">
        <v>139</v>
      </c>
      <c r="E1193" s="19">
        <f>D1199</f>
        <v>167</v>
      </c>
      <c r="F1193" s="19">
        <f>E1199</f>
        <v>176</v>
      </c>
      <c r="G1193" s="19">
        <f>F1199</f>
        <v>226</v>
      </c>
      <c r="H1193" s="19">
        <f>G1199</f>
        <v>328</v>
      </c>
    </row>
    <row r="1194" spans="3:13" ht="14.5" x14ac:dyDescent="0.35">
      <c r="C1194" s="799" t="s">
        <v>974</v>
      </c>
      <c r="D1194" s="811">
        <v>33</v>
      </c>
      <c r="E1194" s="19">
        <v>9</v>
      </c>
      <c r="F1194" s="19">
        <v>55</v>
      </c>
      <c r="G1194" s="19">
        <v>101</v>
      </c>
      <c r="H1194" s="19">
        <v>53</v>
      </c>
    </row>
    <row r="1195" spans="3:13" ht="14.5" x14ac:dyDescent="0.35">
      <c r="C1195" s="799" t="s">
        <v>993</v>
      </c>
      <c r="D1195" s="811">
        <v>0</v>
      </c>
      <c r="E1195" s="19"/>
      <c r="F1195" s="19"/>
      <c r="G1195" s="19">
        <v>1</v>
      </c>
      <c r="H1195" s="19">
        <v>0</v>
      </c>
    </row>
    <row r="1196" spans="3:13" ht="14.5" x14ac:dyDescent="0.35">
      <c r="C1196" s="798" t="s">
        <v>975</v>
      </c>
      <c r="D1196" s="812">
        <v>5</v>
      </c>
      <c r="E1196" s="19">
        <v>0</v>
      </c>
      <c r="F1196" s="19">
        <v>5</v>
      </c>
      <c r="G1196" s="19">
        <v>0</v>
      </c>
      <c r="H1196" s="19">
        <v>7</v>
      </c>
    </row>
    <row r="1197" spans="3:13" ht="14.5" x14ac:dyDescent="0.35">
      <c r="C1197" s="798" t="s">
        <v>976</v>
      </c>
      <c r="D1197" s="812">
        <v>0</v>
      </c>
      <c r="E1197" s="19">
        <v>0</v>
      </c>
      <c r="F1197" s="19">
        <v>0</v>
      </c>
      <c r="G1197" s="19">
        <v>0</v>
      </c>
      <c r="H1197" s="19">
        <v>0</v>
      </c>
    </row>
    <row r="1198" spans="3:13" ht="14.5" x14ac:dyDescent="0.35">
      <c r="C1198" s="799"/>
      <c r="D1198" s="811"/>
      <c r="E1198" s="19"/>
      <c r="F1198" s="19"/>
      <c r="G1198" s="19"/>
      <c r="H1198" s="19"/>
    </row>
    <row r="1199" spans="3:13" ht="14.5" x14ac:dyDescent="0.35">
      <c r="C1199" s="798" t="s">
        <v>977</v>
      </c>
      <c r="D1199" s="19">
        <f>D1193+D1194+D1195-D1196-D1197</f>
        <v>167</v>
      </c>
      <c r="E1199" s="19">
        <f>E1193+E1194+E1195-E1196-E1197</f>
        <v>176</v>
      </c>
      <c r="F1199" s="19">
        <f t="shared" ref="F1199:H1199" si="163">F1193+F1194+F1195-F1196-F1197</f>
        <v>226</v>
      </c>
      <c r="G1199" s="19">
        <f t="shared" si="163"/>
        <v>328</v>
      </c>
      <c r="H1199" s="19">
        <f t="shared" si="163"/>
        <v>374</v>
      </c>
      <c r="I1199" s="779">
        <f>$H$1199/'INCOME STATEMENT'!$L$3*'INCOME STATEMENT'!M3</f>
        <v>383.73166724103976</v>
      </c>
      <c r="J1199" s="779">
        <f>$H$1199/'INCOME STATEMENT'!$L$3*'INCOME STATEMENT'!N3</f>
        <v>398.68400000000003</v>
      </c>
      <c r="K1199" s="779">
        <f>$H$1199/'INCOME STATEMENT'!$L$3*'INCOME STATEMENT'!O3</f>
        <v>399.32629003790862</v>
      </c>
      <c r="L1199" s="779">
        <f>$H$1199/'INCOME STATEMENT'!$L$3*'INCOME STATEMENT'!P3</f>
        <v>400.31314399999997</v>
      </c>
      <c r="M1199" s="779">
        <f>$H$1199/'INCOME STATEMENT'!$L$3*'INCOME STATEMENT'!Q3</f>
        <v>400.35553514250199</v>
      </c>
    </row>
    <row r="1200" spans="3:13" ht="14.5" x14ac:dyDescent="0.35">
      <c r="C1200" s="799"/>
      <c r="D1200" s="811"/>
      <c r="E1200" s="19"/>
      <c r="F1200" s="19"/>
      <c r="G1200" s="19"/>
      <c r="H1200" s="19"/>
    </row>
    <row r="1201" spans="3:13" ht="14.5" x14ac:dyDescent="0.35">
      <c r="C1201" s="797" t="s">
        <v>944</v>
      </c>
      <c r="D1201" s="813"/>
      <c r="E1201" s="19"/>
      <c r="F1201" s="19"/>
      <c r="G1201" s="19"/>
      <c r="H1201" s="19"/>
    </row>
    <row r="1202" spans="3:13" ht="14.5" x14ac:dyDescent="0.35">
      <c r="C1202" s="798" t="s">
        <v>978</v>
      </c>
      <c r="D1202" s="812">
        <v>0</v>
      </c>
      <c r="E1202" s="19">
        <v>35</v>
      </c>
      <c r="F1202" s="19">
        <f>E1207</f>
        <v>70</v>
      </c>
      <c r="G1202" s="19">
        <f>F1207</f>
        <v>101</v>
      </c>
      <c r="H1202" s="19">
        <f>G1207</f>
        <v>145</v>
      </c>
      <c r="I1202" s="17">
        <f>H1207</f>
        <v>200</v>
      </c>
      <c r="J1202" s="779">
        <f t="shared" ref="J1202:M1202" si="164">I1207</f>
        <v>263.61327103995848</v>
      </c>
      <c r="K1202" s="779">
        <f t="shared" si="164"/>
        <v>263.61327103995848</v>
      </c>
      <c r="L1202" s="779">
        <f t="shared" si="164"/>
        <v>263.61327103995848</v>
      </c>
      <c r="M1202" s="779">
        <f t="shared" si="164"/>
        <v>263.61327103995848</v>
      </c>
    </row>
    <row r="1203" spans="3:13" ht="14.5" x14ac:dyDescent="0.35">
      <c r="C1203" s="799" t="s">
        <v>979</v>
      </c>
      <c r="D1203" s="811">
        <v>38</v>
      </c>
      <c r="E1203" s="19">
        <v>35</v>
      </c>
      <c r="F1203" s="19">
        <v>35</v>
      </c>
      <c r="G1203" s="19">
        <v>44</v>
      </c>
      <c r="H1203" s="19">
        <v>62</v>
      </c>
      <c r="I1203" s="779">
        <f>I1199*I1208</f>
        <v>63.613271039958462</v>
      </c>
      <c r="J1203" s="17">
        <f t="shared" ref="J1203:M1203" si="165">J1199*J1208</f>
        <v>0</v>
      </c>
      <c r="K1203" s="17">
        <f t="shared" si="165"/>
        <v>0</v>
      </c>
      <c r="L1203" s="17">
        <f t="shared" si="165"/>
        <v>0</v>
      </c>
      <c r="M1203" s="17">
        <f t="shared" si="165"/>
        <v>0</v>
      </c>
    </row>
    <row r="1204" spans="3:13" ht="14.5" x14ac:dyDescent="0.35">
      <c r="C1204" s="798" t="s">
        <v>975</v>
      </c>
      <c r="D1204" s="812">
        <v>3</v>
      </c>
      <c r="E1204" s="19">
        <v>0</v>
      </c>
      <c r="F1204" s="19">
        <v>4</v>
      </c>
      <c r="G1204" s="19">
        <v>0</v>
      </c>
      <c r="H1204" s="19">
        <v>0</v>
      </c>
    </row>
    <row r="1205" spans="3:13" ht="14.5" x14ac:dyDescent="0.35">
      <c r="C1205" s="798" t="s">
        <v>976</v>
      </c>
      <c r="D1205" s="812">
        <v>0</v>
      </c>
      <c r="E1205" s="19">
        <v>0</v>
      </c>
      <c r="F1205" s="19">
        <v>0</v>
      </c>
      <c r="G1205" s="19">
        <v>0</v>
      </c>
      <c r="H1205" s="19">
        <v>7</v>
      </c>
    </row>
    <row r="1206" spans="3:13" ht="14.5" x14ac:dyDescent="0.35">
      <c r="C1206" s="798"/>
      <c r="D1206" s="812"/>
      <c r="E1206" s="19"/>
      <c r="F1206" s="19"/>
      <c r="G1206" s="19"/>
      <c r="H1206" s="19"/>
    </row>
    <row r="1207" spans="3:13" ht="14.5" x14ac:dyDescent="0.35">
      <c r="C1207" s="798" t="s">
        <v>980</v>
      </c>
      <c r="D1207" s="19">
        <f>D1202+D1203-D1204-D1205</f>
        <v>35</v>
      </c>
      <c r="E1207" s="19">
        <f>E1202+E1203-E1204-E1205</f>
        <v>70</v>
      </c>
      <c r="F1207" s="19">
        <f>F1202+F1203-F1204-F1205</f>
        <v>101</v>
      </c>
      <c r="G1207" s="19">
        <f>G1202+G1203-G1204-G1205</f>
        <v>145</v>
      </c>
      <c r="H1207" s="19">
        <f>H1202+H1203-H1204-H1205</f>
        <v>200</v>
      </c>
      <c r="I1207" s="790">
        <f t="shared" ref="I1207:M1207" si="166">I1202+I1203-I1204-I1205</f>
        <v>263.61327103995848</v>
      </c>
      <c r="J1207" s="790">
        <f t="shared" si="166"/>
        <v>263.61327103995848</v>
      </c>
      <c r="K1207" s="790">
        <f t="shared" si="166"/>
        <v>263.61327103995848</v>
      </c>
      <c r="L1207" s="790">
        <f t="shared" si="166"/>
        <v>263.61327103995848</v>
      </c>
      <c r="M1207" s="790">
        <f t="shared" si="166"/>
        <v>263.61327103995848</v>
      </c>
    </row>
    <row r="1208" spans="3:13" ht="14.5" x14ac:dyDescent="0.35">
      <c r="C1208" s="799"/>
      <c r="D1208" s="811"/>
      <c r="E1208" s="19"/>
      <c r="F1208" s="19"/>
      <c r="G1208" s="19"/>
      <c r="H1208" s="19"/>
      <c r="I1208" s="1050">
        <f>H1203/H1199</f>
        <v>0.16577540106951871</v>
      </c>
      <c r="J1208" s="1051"/>
      <c r="K1208" s="1051"/>
      <c r="L1208" s="1051"/>
      <c r="M1208" s="1051"/>
    </row>
    <row r="1209" spans="3:13" ht="14.5" x14ac:dyDescent="0.35">
      <c r="C1209" s="798" t="s">
        <v>986</v>
      </c>
      <c r="D1209" s="19">
        <f>D1199-D1207</f>
        <v>132</v>
      </c>
      <c r="E1209" s="19">
        <f>E1199-E1207</f>
        <v>106</v>
      </c>
      <c r="F1209" s="19">
        <f>F1199-F1207</f>
        <v>125</v>
      </c>
      <c r="G1209" s="19">
        <f>G1199-G1207</f>
        <v>183</v>
      </c>
      <c r="H1209" s="790">
        <f>H1199-H1207</f>
        <v>174</v>
      </c>
      <c r="I1209" s="790">
        <f t="shared" ref="I1209:M1209" si="167">I1199-I1207</f>
        <v>120.11839620108128</v>
      </c>
      <c r="J1209" s="790">
        <f t="shared" si="167"/>
        <v>135.07072896004155</v>
      </c>
      <c r="K1209" s="790">
        <f t="shared" si="167"/>
        <v>135.71301899795014</v>
      </c>
      <c r="L1209" s="790">
        <f t="shared" si="167"/>
        <v>136.69987296004149</v>
      </c>
      <c r="M1209" s="790">
        <f t="shared" si="167"/>
        <v>136.74226410254352</v>
      </c>
    </row>
    <row r="1210" spans="3:13" ht="14.5" x14ac:dyDescent="0.35">
      <c r="C1210" s="799"/>
      <c r="D1210" s="811"/>
      <c r="E1210" s="19"/>
      <c r="F1210" s="19"/>
      <c r="G1210" s="19"/>
      <c r="H1210" s="19"/>
    </row>
    <row r="1211" spans="3:13" ht="14.5" x14ac:dyDescent="0.35">
      <c r="C1211" s="807" t="s">
        <v>1001</v>
      </c>
      <c r="D1211" s="815"/>
      <c r="E1211" s="19"/>
      <c r="F1211" s="19"/>
      <c r="G1211" s="19"/>
      <c r="H1211" s="19"/>
    </row>
    <row r="1212" spans="3:13" ht="14.5" x14ac:dyDescent="0.35">
      <c r="C1212" s="797" t="s">
        <v>972</v>
      </c>
      <c r="D1212" s="813"/>
      <c r="E1212" s="19"/>
      <c r="F1212" s="19"/>
      <c r="G1212" s="19"/>
      <c r="H1212" s="19"/>
    </row>
    <row r="1213" spans="3:13" ht="14.5" x14ac:dyDescent="0.35">
      <c r="C1213" s="798" t="s">
        <v>973</v>
      </c>
      <c r="D1213" s="812">
        <v>54</v>
      </c>
      <c r="E1213" s="19">
        <f>D1219</f>
        <v>72</v>
      </c>
      <c r="F1213" s="19">
        <f>E1219</f>
        <v>87</v>
      </c>
      <c r="G1213" s="19">
        <f>F1219</f>
        <v>113</v>
      </c>
      <c r="H1213" s="19">
        <f>G1219</f>
        <v>167</v>
      </c>
    </row>
    <row r="1214" spans="3:13" ht="14.5" x14ac:dyDescent="0.35">
      <c r="C1214" s="799" t="s">
        <v>974</v>
      </c>
      <c r="D1214" s="811">
        <v>18</v>
      </c>
      <c r="E1214" s="19">
        <v>15</v>
      </c>
      <c r="F1214" s="19">
        <v>26</v>
      </c>
      <c r="G1214" s="19">
        <v>30</v>
      </c>
      <c r="H1214" s="19">
        <v>21</v>
      </c>
    </row>
    <row r="1215" spans="3:13" ht="14.5" x14ac:dyDescent="0.35">
      <c r="C1215" s="799" t="s">
        <v>993</v>
      </c>
      <c r="D1215" s="811">
        <v>0</v>
      </c>
      <c r="E1215" s="19"/>
      <c r="F1215" s="19"/>
      <c r="G1215" s="19">
        <v>24</v>
      </c>
      <c r="H1215" s="19">
        <v>26</v>
      </c>
    </row>
    <row r="1216" spans="3:13" ht="14.5" x14ac:dyDescent="0.35">
      <c r="C1216" s="798" t="s">
        <v>975</v>
      </c>
      <c r="D1216" s="812">
        <v>0</v>
      </c>
      <c r="E1216" s="19">
        <v>0</v>
      </c>
      <c r="F1216" s="19">
        <v>0</v>
      </c>
      <c r="G1216" s="19">
        <v>0</v>
      </c>
      <c r="H1216" s="19">
        <v>0</v>
      </c>
    </row>
    <row r="1217" spans="3:14" ht="14.5" x14ac:dyDescent="0.35">
      <c r="C1217" s="798" t="s">
        <v>976</v>
      </c>
      <c r="D1217" s="812">
        <v>0</v>
      </c>
      <c r="E1217" s="19">
        <v>0</v>
      </c>
      <c r="F1217" s="19">
        <v>0</v>
      </c>
      <c r="G1217" s="19">
        <v>0</v>
      </c>
      <c r="H1217" s="19">
        <v>0</v>
      </c>
    </row>
    <row r="1218" spans="3:14" ht="14.5" x14ac:dyDescent="0.35">
      <c r="C1218" s="799"/>
      <c r="D1218" s="811"/>
      <c r="E1218" s="19"/>
      <c r="F1218" s="19"/>
      <c r="G1218" s="19"/>
      <c r="H1218" s="19"/>
    </row>
    <row r="1219" spans="3:14" ht="14.5" x14ac:dyDescent="0.35">
      <c r="C1219" s="798" t="s">
        <v>977</v>
      </c>
      <c r="D1219" s="19">
        <f>D1213+D1214+D1215-D1216-D1217</f>
        <v>72</v>
      </c>
      <c r="E1219" s="19">
        <f>E1213+E1214+E1215-E1216-E1217</f>
        <v>87</v>
      </c>
      <c r="F1219" s="19">
        <f>F1213+F1214+F1215-F1216-F1217</f>
        <v>113</v>
      </c>
      <c r="G1219" s="19">
        <f>G1213+G1214+G1215-G1216-G1217</f>
        <v>167</v>
      </c>
      <c r="H1219" s="19">
        <f>H1213+H1214+H1215-H1216-H1217</f>
        <v>214</v>
      </c>
      <c r="I1219" s="779">
        <f>$H$1219/'INCOME STATEMENT'!$L$3*'INCOME STATEMENT'!M3</f>
        <v>219.56838713792115</v>
      </c>
      <c r="J1219" s="779">
        <f>$H$1219/'INCOME STATEMENT'!$L$3*'INCOME STATEMENT'!N3</f>
        <v>228.124</v>
      </c>
      <c r="K1219" s="779">
        <f>$H$1219/'INCOME STATEMENT'!$L$3*'INCOME STATEMENT'!O3</f>
        <v>228.4915135511028</v>
      </c>
      <c r="L1219" s="779">
        <f>$H$1219/'INCOME STATEMENT'!$L$3*'INCOME STATEMENT'!P3</f>
        <v>229.056184</v>
      </c>
      <c r="M1219" s="779">
        <f>$H$1219/'INCOME STATEMENT'!$L$3*'INCOME STATEMENT'!Q3</f>
        <v>229.0804398943728</v>
      </c>
    </row>
    <row r="1220" spans="3:14" ht="14.5" x14ac:dyDescent="0.35">
      <c r="C1220" s="799"/>
      <c r="D1220" s="811"/>
      <c r="E1220" s="19"/>
      <c r="F1220" s="19"/>
      <c r="G1220" s="19"/>
      <c r="H1220" s="19"/>
    </row>
    <row r="1221" spans="3:14" ht="14.5" x14ac:dyDescent="0.35">
      <c r="C1221" s="797" t="s">
        <v>944</v>
      </c>
      <c r="D1221" s="813"/>
      <c r="E1221" s="19"/>
      <c r="F1221" s="19"/>
      <c r="G1221" s="19"/>
      <c r="H1221" s="19"/>
    </row>
    <row r="1222" spans="3:14" ht="14.5" x14ac:dyDescent="0.35">
      <c r="C1222" s="798" t="s">
        <v>978</v>
      </c>
      <c r="D1222" s="812">
        <v>0</v>
      </c>
      <c r="E1222" s="19">
        <f>D1228</f>
        <v>26</v>
      </c>
      <c r="F1222" s="19">
        <f>E1228</f>
        <v>47</v>
      </c>
      <c r="G1222" s="19">
        <f>F1228</f>
        <v>65</v>
      </c>
      <c r="H1222" s="19">
        <f>G1228</f>
        <v>106</v>
      </c>
      <c r="I1222" s="779">
        <f>H1228</f>
        <v>154</v>
      </c>
      <c r="J1222" s="779">
        <f t="shared" ref="J1222:M1222" si="168">I1228</f>
        <v>180.67653301675676</v>
      </c>
      <c r="K1222" s="779">
        <f t="shared" si="168"/>
        <v>208.39253301675677</v>
      </c>
      <c r="L1222" s="779">
        <f t="shared" si="168"/>
        <v>236.15318419586271</v>
      </c>
      <c r="M1222" s="779">
        <f t="shared" si="168"/>
        <v>263.98244019586269</v>
      </c>
    </row>
    <row r="1223" spans="3:14" ht="14.5" x14ac:dyDescent="0.35">
      <c r="C1223" s="799" t="s">
        <v>979</v>
      </c>
      <c r="D1223" s="811">
        <v>26</v>
      </c>
      <c r="E1223" s="19">
        <v>21</v>
      </c>
      <c r="F1223" s="19">
        <v>18</v>
      </c>
      <c r="G1223" s="19">
        <v>25</v>
      </c>
      <c r="H1223" s="19">
        <v>26</v>
      </c>
      <c r="I1223" s="779">
        <f>I1219*$I$1229</f>
        <v>26.676533016756775</v>
      </c>
      <c r="J1223" s="779">
        <f t="shared" ref="J1223:M1223" si="169">J1219*$I$1229</f>
        <v>27.716000000000001</v>
      </c>
      <c r="K1223" s="779">
        <f t="shared" si="169"/>
        <v>27.760651179105949</v>
      </c>
      <c r="L1223" s="779">
        <f t="shared" si="169"/>
        <v>27.829256000000001</v>
      </c>
      <c r="M1223" s="779">
        <f t="shared" si="169"/>
        <v>27.832202977820995</v>
      </c>
    </row>
    <row r="1224" spans="3:14" ht="14.5" x14ac:dyDescent="0.35">
      <c r="C1224" s="799"/>
      <c r="D1224" s="811"/>
      <c r="E1224" s="19">
        <v>0</v>
      </c>
      <c r="F1224" s="19">
        <v>0</v>
      </c>
      <c r="G1224" s="19">
        <v>16</v>
      </c>
      <c r="H1224" s="19">
        <v>22</v>
      </c>
    </row>
    <row r="1225" spans="3:14" ht="14.5" x14ac:dyDescent="0.35">
      <c r="C1225" s="798" t="s">
        <v>975</v>
      </c>
      <c r="D1225" s="812">
        <v>0</v>
      </c>
      <c r="E1225" s="19">
        <v>0</v>
      </c>
      <c r="F1225" s="19">
        <v>0</v>
      </c>
      <c r="G1225" s="17">
        <v>0</v>
      </c>
      <c r="H1225" s="19">
        <v>0</v>
      </c>
    </row>
    <row r="1226" spans="3:14" ht="14.5" x14ac:dyDescent="0.35">
      <c r="C1226" s="798" t="s">
        <v>976</v>
      </c>
      <c r="D1226" s="812">
        <v>0</v>
      </c>
      <c r="E1226" s="19">
        <v>0</v>
      </c>
      <c r="F1226" s="19">
        <v>0</v>
      </c>
      <c r="G1226" s="19">
        <v>0</v>
      </c>
      <c r="H1226" s="19">
        <v>0</v>
      </c>
    </row>
    <row r="1227" spans="3:14" ht="14.5" x14ac:dyDescent="0.35">
      <c r="C1227" s="798"/>
      <c r="D1227" s="812"/>
      <c r="E1227" s="19"/>
      <c r="F1227" s="19"/>
      <c r="G1227" s="19"/>
      <c r="H1227" s="19"/>
    </row>
    <row r="1228" spans="3:14" ht="14.5" x14ac:dyDescent="0.35">
      <c r="C1228" s="798" t="s">
        <v>980</v>
      </c>
      <c r="D1228" s="19">
        <f>D1222+D1223+D1224-D1225-D1226</f>
        <v>26</v>
      </c>
      <c r="E1228" s="19">
        <f>E1222+E1223+E1224-E1225-E1226</f>
        <v>47</v>
      </c>
      <c r="F1228" s="19">
        <f t="shared" ref="F1228:N1228" si="170">F1222+F1223+F1224-F1225-F1226</f>
        <v>65</v>
      </c>
      <c r="G1228" s="19">
        <f t="shared" si="170"/>
        <v>106</v>
      </c>
      <c r="H1228" s="19">
        <f t="shared" si="170"/>
        <v>154</v>
      </c>
      <c r="I1228" s="790">
        <f t="shared" si="170"/>
        <v>180.67653301675676</v>
      </c>
      <c r="J1228" s="790">
        <f t="shared" si="170"/>
        <v>208.39253301675677</v>
      </c>
      <c r="K1228" s="790">
        <f t="shared" si="170"/>
        <v>236.15318419586271</v>
      </c>
      <c r="L1228" s="790">
        <f t="shared" si="170"/>
        <v>263.98244019586269</v>
      </c>
      <c r="M1228" s="790">
        <f t="shared" si="170"/>
        <v>291.81464317368369</v>
      </c>
      <c r="N1228" s="19">
        <f t="shared" si="170"/>
        <v>0</v>
      </c>
    </row>
    <row r="1229" spans="3:14" ht="14.5" x14ac:dyDescent="0.35">
      <c r="C1229" s="799"/>
      <c r="D1229" s="811"/>
      <c r="E1229" s="19"/>
      <c r="F1229" s="19"/>
      <c r="G1229" s="19"/>
      <c r="H1229" s="19"/>
      <c r="I1229" s="1050">
        <f>H1223/H1219</f>
        <v>0.12149532710280374</v>
      </c>
      <c r="J1229" s="1051"/>
      <c r="K1229" s="1051"/>
      <c r="L1229" s="1051"/>
      <c r="M1229" s="1051"/>
    </row>
    <row r="1230" spans="3:14" ht="14.5" x14ac:dyDescent="0.35">
      <c r="C1230" s="798" t="s">
        <v>986</v>
      </c>
      <c r="D1230" s="19">
        <f t="shared" ref="D1230:M1230" si="171">D1219-D1228</f>
        <v>46</v>
      </c>
      <c r="E1230" s="19">
        <f t="shared" si="171"/>
        <v>40</v>
      </c>
      <c r="F1230" s="19">
        <f t="shared" si="171"/>
        <v>48</v>
      </c>
      <c r="G1230" s="19">
        <f t="shared" si="171"/>
        <v>61</v>
      </c>
      <c r="H1230" s="790">
        <f t="shared" si="171"/>
        <v>60</v>
      </c>
      <c r="I1230" s="790">
        <f t="shared" si="171"/>
        <v>38.891854121164386</v>
      </c>
      <c r="J1230" s="790">
        <f t="shared" si="171"/>
        <v>19.731466983243223</v>
      </c>
      <c r="K1230" s="790">
        <f t="shared" si="171"/>
        <v>-7.6616706447599086</v>
      </c>
      <c r="L1230" s="790">
        <f t="shared" si="171"/>
        <v>-34.926256195862692</v>
      </c>
      <c r="M1230" s="790">
        <f t="shared" si="171"/>
        <v>-62.73420327931089</v>
      </c>
    </row>
    <row r="1231" spans="3:14" ht="14.5" x14ac:dyDescent="0.35">
      <c r="C1231" s="799"/>
      <c r="D1231" s="811"/>
      <c r="E1231" s="19"/>
      <c r="F1231" s="19"/>
      <c r="G1231" s="19"/>
      <c r="H1231" s="19"/>
    </row>
    <row r="1232" spans="3:14" ht="14.5" x14ac:dyDescent="0.35">
      <c r="C1232" s="799"/>
      <c r="D1232" s="811"/>
      <c r="E1232" s="19"/>
      <c r="F1232" s="19"/>
      <c r="G1232" s="19"/>
      <c r="H1232" s="19"/>
    </row>
    <row r="1233" spans="3:13" ht="14.5" x14ac:dyDescent="0.35">
      <c r="C1233" s="799"/>
      <c r="D1233" s="811"/>
      <c r="E1233" s="19"/>
      <c r="F1233" s="19"/>
      <c r="G1233" s="19"/>
      <c r="H1233" s="19"/>
    </row>
    <row r="1234" spans="3:13" ht="14.5" x14ac:dyDescent="0.35">
      <c r="C1234" s="799"/>
      <c r="D1234" s="811"/>
      <c r="E1234" s="19"/>
      <c r="F1234" s="19"/>
      <c r="G1234" s="19"/>
      <c r="H1234" s="19"/>
    </row>
    <row r="1235" spans="3:13" ht="14.5" x14ac:dyDescent="0.35">
      <c r="C1235" s="800" t="s">
        <v>988</v>
      </c>
      <c r="D1235" s="293">
        <f>D1038+D1057+D1077+D1098+D1119+D1139+D1158+D1178+D1199+D1219</f>
        <v>6911</v>
      </c>
      <c r="E1235" s="293">
        <f>E1038+E1057+E1077+E1098+E1119+E1139+E1158+E1178+E1199+E1219</f>
        <v>7395</v>
      </c>
      <c r="F1235" s="293">
        <f>F1038+F1057+F1077+F1098+F1119+F1139+F1158+F1178+F1199+F1219</f>
        <v>14676</v>
      </c>
      <c r="G1235" s="293">
        <f>G1038+G1057+G1077+G1098+G1119+G1139+G1158+G1178+G1199+G1219</f>
        <v>24011</v>
      </c>
      <c r="H1235" s="293">
        <f>H1038+H1057+H1077+H1098+H1119+H1139+H1158+H1178+H1199+H1219</f>
        <v>29006</v>
      </c>
      <c r="I1235" s="293">
        <f t="shared" ref="I1235:M1235" si="172">I1038+I1057+I1077+I1098+I1119+I1139+I1158+I1178+I1199+I1219</f>
        <v>28423.262447422298</v>
      </c>
      <c r="J1235" s="293">
        <f t="shared" si="172"/>
        <v>28463.813467166976</v>
      </c>
      <c r="K1235" s="293">
        <f t="shared" si="172"/>
        <v>28451.667779365693</v>
      </c>
      <c r="L1235" s="293">
        <f t="shared" si="172"/>
        <v>28433.187589904235</v>
      </c>
      <c r="M1235" s="293">
        <f t="shared" si="172"/>
        <v>28432.398654543627</v>
      </c>
    </row>
    <row r="1236" spans="3:13" ht="14.5" x14ac:dyDescent="0.35">
      <c r="C1236" s="796"/>
      <c r="D1236" s="818"/>
      <c r="E1236" s="22"/>
      <c r="F1236" s="22"/>
      <c r="G1236" s="22"/>
      <c r="H1236" s="22"/>
      <c r="J1236"/>
      <c r="K1236"/>
    </row>
    <row r="1237" spans="3:13" ht="14.5" x14ac:dyDescent="0.35">
      <c r="C1237" s="800" t="s">
        <v>989</v>
      </c>
      <c r="D1237" s="293">
        <f>D1048+D1067+D1088+D1109+D1130+D1149+D1168+D1189+D1209+D1230</f>
        <v>6208</v>
      </c>
      <c r="E1237" s="293">
        <f t="shared" ref="E1237:M1237" si="173">E1048+E1067+E1088+E1109+E1130+E1149+E1168+E1189+E1209+E1230</f>
        <v>6077</v>
      </c>
      <c r="F1237" s="293">
        <f t="shared" si="173"/>
        <v>12746</v>
      </c>
      <c r="G1237" s="293">
        <f t="shared" si="173"/>
        <v>19841</v>
      </c>
      <c r="H1237" s="293">
        <f t="shared" si="173"/>
        <v>22762</v>
      </c>
      <c r="I1237" s="293">
        <f t="shared" si="173"/>
        <v>20070.159867804825</v>
      </c>
      <c r="J1237" s="293">
        <f t="shared" si="173"/>
        <v>17989.536170215433</v>
      </c>
      <c r="K1237" s="293">
        <f t="shared" si="173"/>
        <v>15854.390771427752</v>
      </c>
      <c r="L1237" s="293">
        <f t="shared" si="173"/>
        <v>13711.647647894521</v>
      </c>
      <c r="M1237" s="293">
        <f t="shared" si="173"/>
        <v>11586.474196814541</v>
      </c>
    </row>
    <row r="1238" spans="3:13" ht="14.5" x14ac:dyDescent="0.35">
      <c r="C1238" s="800"/>
      <c r="D1238" s="817"/>
      <c r="E1238" s="293"/>
      <c r="F1238" s="293"/>
      <c r="G1238" s="293"/>
      <c r="H1238" s="293"/>
      <c r="J1238"/>
      <c r="K1238"/>
    </row>
    <row r="1239" spans="3:13" ht="14.5" x14ac:dyDescent="0.35">
      <c r="C1239" s="801" t="s">
        <v>990</v>
      </c>
      <c r="D1239" s="293">
        <f>D1043+D1061+D1081+D1102+D1123+D1144+D1162+D1182+D1203+D1223</f>
        <v>606</v>
      </c>
      <c r="E1239" s="293">
        <f>E1043+E1061+E1081+E1102+E1123+E1144+E1162+E1182+E1203+E1223</f>
        <v>618</v>
      </c>
      <c r="F1239" s="293">
        <f>F1043+F1061+F1081+F1102+F1123+F1144+F1162+F1182+F1203+F1223</f>
        <v>617</v>
      </c>
      <c r="G1239" s="293">
        <f>G1043+G1061+G1081+G1102+G1123+G1144+G1162+G1182+G1203+G1223</f>
        <v>1761</v>
      </c>
      <c r="H1239" s="293">
        <f>H1043+H1061+H1081+H1102+H1123+H1144+H1162+H1182+H1203+H1223</f>
        <v>2143</v>
      </c>
      <c r="I1239" s="293">
        <f t="shared" ref="I1239:M1239" si="174">I1043+I1061+I1081+I1102+I1123+I1144+I1162+I1182+I1203+I1223</f>
        <v>2109.4576280875467</v>
      </c>
      <c r="J1239" s="293">
        <f t="shared" si="174"/>
        <v>2121.3447279549714</v>
      </c>
      <c r="K1239" s="293">
        <f t="shared" si="174"/>
        <v>2122.497169973381</v>
      </c>
      <c r="L1239" s="293">
        <f t="shared" si="174"/>
        <v>2124.2749288637424</v>
      </c>
      <c r="M1239" s="293">
        <f t="shared" si="174"/>
        <v>2124.3514852218423</v>
      </c>
    </row>
    <row r="1240" spans="3:13" ht="14.5" x14ac:dyDescent="0.35">
      <c r="C1240"/>
      <c r="D1240"/>
      <c r="E1240"/>
      <c r="F1240"/>
      <c r="G1240"/>
      <c r="H1240"/>
      <c r="J1240"/>
      <c r="K1240"/>
    </row>
    <row r="1241" spans="3:13" ht="14.5" x14ac:dyDescent="0.35">
      <c r="C1241"/>
      <c r="D1241"/>
      <c r="E1241"/>
      <c r="F1241"/>
      <c r="G1241"/>
      <c r="H1241"/>
      <c r="J1241"/>
      <c r="K1241"/>
    </row>
    <row r="1242" spans="3:13" ht="14.5" x14ac:dyDescent="0.35">
      <c r="C1242"/>
      <c r="D1242"/>
      <c r="E1242"/>
      <c r="F1242"/>
      <c r="G1242"/>
      <c r="H1242"/>
      <c r="J1242"/>
      <c r="K1242"/>
    </row>
    <row r="1243" spans="3:13" ht="14.5" x14ac:dyDescent="0.35">
      <c r="C1243"/>
      <c r="D1243"/>
      <c r="E1243"/>
      <c r="F1243"/>
      <c r="G1243"/>
      <c r="H1243"/>
      <c r="J1243"/>
      <c r="K1243"/>
    </row>
    <row r="1244" spans="3:13" ht="14.5" x14ac:dyDescent="0.35">
      <c r="C1244"/>
      <c r="D1244"/>
      <c r="E1244"/>
      <c r="F1244"/>
      <c r="G1244"/>
      <c r="H1244"/>
      <c r="J1244"/>
      <c r="K1244"/>
    </row>
    <row r="1245" spans="3:13" ht="14.5" x14ac:dyDescent="0.35">
      <c r="C1245"/>
      <c r="D1245"/>
      <c r="E1245"/>
      <c r="F1245"/>
      <c r="G1245"/>
      <c r="H1245"/>
    </row>
    <row r="1246" spans="3:13" ht="14.5" x14ac:dyDescent="0.35">
      <c r="C1246"/>
      <c r="D1246"/>
      <c r="E1246"/>
      <c r="F1246"/>
      <c r="G1246"/>
      <c r="H1246"/>
    </row>
    <row r="1247" spans="3:13" ht="14.5" x14ac:dyDescent="0.35">
      <c r="C1247"/>
      <c r="D1247"/>
      <c r="E1247"/>
      <c r="F1247"/>
      <c r="G1247"/>
      <c r="H1247"/>
    </row>
    <row r="1248" spans="3:13" ht="14.5" x14ac:dyDescent="0.35">
      <c r="C1248"/>
      <c r="D1248"/>
      <c r="E1248"/>
      <c r="F1248"/>
      <c r="G1248"/>
      <c r="H1248"/>
    </row>
    <row r="1249" spans="3:8" ht="14.5" x14ac:dyDescent="0.35">
      <c r="C1249"/>
      <c r="D1249"/>
      <c r="E1249"/>
      <c r="F1249"/>
      <c r="G1249"/>
      <c r="H1249"/>
    </row>
    <row r="1250" spans="3:8" ht="14.5" x14ac:dyDescent="0.35">
      <c r="C1250"/>
      <c r="D1250"/>
      <c r="E1250"/>
      <c r="F1250"/>
      <c r="G1250"/>
      <c r="H1250"/>
    </row>
    <row r="1251" spans="3:8" ht="14.5" x14ac:dyDescent="0.35">
      <c r="C1251"/>
      <c r="D1251"/>
      <c r="E1251"/>
      <c r="F1251"/>
      <c r="G1251"/>
      <c r="H1251"/>
    </row>
    <row r="1252" spans="3:8" ht="14.5" x14ac:dyDescent="0.35">
      <c r="C1252"/>
      <c r="D1252"/>
      <c r="E1252"/>
      <c r="F1252"/>
      <c r="G1252"/>
      <c r="H1252"/>
    </row>
    <row r="1253" spans="3:8" ht="14.5" x14ac:dyDescent="0.35">
      <c r="C1253"/>
      <c r="D1253"/>
      <c r="E1253"/>
      <c r="F1253"/>
      <c r="G1253"/>
      <c r="H1253"/>
    </row>
    <row r="1254" spans="3:8" ht="14.5" x14ac:dyDescent="0.35">
      <c r="C1254"/>
      <c r="D1254"/>
      <c r="E1254"/>
      <c r="F1254"/>
      <c r="G1254"/>
      <c r="H1254"/>
    </row>
    <row r="1255" spans="3:8" ht="14.5" x14ac:dyDescent="0.35">
      <c r="C1255"/>
      <c r="D1255"/>
      <c r="E1255"/>
      <c r="F1255"/>
      <c r="G1255"/>
      <c r="H1255"/>
    </row>
    <row r="1256" spans="3:8" ht="14.5" x14ac:dyDescent="0.35">
      <c r="C1256"/>
      <c r="D1256"/>
      <c r="E1256"/>
      <c r="F1256"/>
      <c r="G1256"/>
      <c r="H1256"/>
    </row>
    <row r="1257" spans="3:8" ht="14.5" x14ac:dyDescent="0.35">
      <c r="C1257"/>
      <c r="D1257"/>
      <c r="E1257"/>
      <c r="F1257"/>
      <c r="G1257"/>
      <c r="H1257"/>
    </row>
    <row r="1258" spans="3:8" ht="14.5" x14ac:dyDescent="0.35">
      <c r="C1258"/>
      <c r="D1258"/>
      <c r="E1258"/>
      <c r="F1258"/>
      <c r="G1258"/>
      <c r="H1258"/>
    </row>
    <row r="1259" spans="3:8" ht="14.5" x14ac:dyDescent="0.35">
      <c r="C1259"/>
      <c r="D1259"/>
      <c r="E1259"/>
      <c r="F1259"/>
      <c r="G1259"/>
      <c r="H1259"/>
    </row>
    <row r="1260" spans="3:8" ht="14.5" x14ac:dyDescent="0.35">
      <c r="C1260"/>
      <c r="D1260"/>
      <c r="E1260"/>
      <c r="F1260"/>
      <c r="G1260"/>
      <c r="H1260"/>
    </row>
    <row r="1261" spans="3:8" ht="14.5" x14ac:dyDescent="0.35">
      <c r="C1261"/>
      <c r="D1261"/>
      <c r="E1261"/>
      <c r="F1261"/>
      <c r="G1261"/>
      <c r="H1261"/>
    </row>
    <row r="1262" spans="3:8" ht="14.5" x14ac:dyDescent="0.35">
      <c r="C1262"/>
      <c r="D1262"/>
      <c r="E1262"/>
      <c r="F1262"/>
      <c r="G1262"/>
      <c r="H1262"/>
    </row>
    <row r="1263" spans="3:8" ht="14.5" x14ac:dyDescent="0.35">
      <c r="C1263"/>
      <c r="D1263"/>
      <c r="E1263"/>
      <c r="F1263"/>
      <c r="G1263"/>
      <c r="H1263"/>
    </row>
    <row r="1264" spans="3:8" ht="14.5" x14ac:dyDescent="0.35">
      <c r="C1264"/>
      <c r="D1264"/>
      <c r="E1264"/>
      <c r="F1264"/>
      <c r="G1264"/>
      <c r="H1264"/>
    </row>
    <row r="1265" spans="3:8" ht="14.5" x14ac:dyDescent="0.35">
      <c r="C1265"/>
      <c r="D1265"/>
      <c r="E1265"/>
      <c r="F1265"/>
      <c r="G1265"/>
      <c r="H1265"/>
    </row>
    <row r="1266" spans="3:8" ht="14.5" x14ac:dyDescent="0.35">
      <c r="C1266"/>
      <c r="D1266"/>
      <c r="E1266"/>
      <c r="F1266"/>
      <c r="G1266"/>
      <c r="H1266"/>
    </row>
    <row r="1267" spans="3:8" ht="14.5" x14ac:dyDescent="0.35">
      <c r="C1267"/>
      <c r="D1267"/>
      <c r="E1267"/>
      <c r="F1267"/>
      <c r="G1267"/>
      <c r="H1267"/>
    </row>
    <row r="1268" spans="3:8" ht="14.5" x14ac:dyDescent="0.35">
      <c r="C1268"/>
      <c r="D1268"/>
      <c r="E1268"/>
      <c r="F1268"/>
      <c r="G1268"/>
      <c r="H1268"/>
    </row>
    <row r="1269" spans="3:8" ht="14.5" x14ac:dyDescent="0.35">
      <c r="C1269"/>
      <c r="D1269"/>
      <c r="E1269"/>
      <c r="F1269"/>
      <c r="G1269"/>
      <c r="H1269"/>
    </row>
    <row r="1270" spans="3:8" ht="14.5" x14ac:dyDescent="0.35">
      <c r="C1270"/>
      <c r="D1270"/>
      <c r="E1270"/>
      <c r="F1270"/>
      <c r="G1270"/>
      <c r="H1270"/>
    </row>
    <row r="1271" spans="3:8" ht="14.5" x14ac:dyDescent="0.35">
      <c r="C1271"/>
      <c r="D1271"/>
      <c r="E1271"/>
      <c r="F1271"/>
      <c r="G1271"/>
      <c r="H1271"/>
    </row>
    <row r="1272" spans="3:8" ht="14.5" x14ac:dyDescent="0.35">
      <c r="C1272"/>
      <c r="D1272"/>
      <c r="E1272"/>
      <c r="F1272"/>
      <c r="G1272"/>
      <c r="H1272"/>
    </row>
    <row r="1273" spans="3:8" ht="14.5" x14ac:dyDescent="0.35">
      <c r="C1273"/>
      <c r="D1273"/>
      <c r="E1273"/>
      <c r="F1273"/>
      <c r="G1273"/>
      <c r="H1273"/>
    </row>
    <row r="1274" spans="3:8" ht="14.5" x14ac:dyDescent="0.35">
      <c r="C1274"/>
      <c r="D1274"/>
      <c r="E1274"/>
      <c r="F1274"/>
      <c r="G1274"/>
      <c r="H1274"/>
    </row>
    <row r="1275" spans="3:8" ht="14.5" x14ac:dyDescent="0.35">
      <c r="C1275"/>
      <c r="D1275"/>
      <c r="E1275"/>
      <c r="F1275"/>
      <c r="G1275"/>
      <c r="H1275"/>
    </row>
    <row r="1276" spans="3:8" ht="14.5" x14ac:dyDescent="0.35">
      <c r="C1276"/>
      <c r="D1276"/>
      <c r="E1276"/>
      <c r="F1276"/>
      <c r="G1276"/>
      <c r="H1276"/>
    </row>
    <row r="1277" spans="3:8" ht="14.5" x14ac:dyDescent="0.35">
      <c r="C1277"/>
      <c r="D1277"/>
      <c r="E1277"/>
      <c r="F1277"/>
      <c r="G1277"/>
      <c r="H1277"/>
    </row>
    <row r="1278" spans="3:8" ht="14.5" x14ac:dyDescent="0.35">
      <c r="C1278"/>
      <c r="D1278"/>
      <c r="E1278"/>
      <c r="F1278"/>
      <c r="G1278"/>
      <c r="H1278"/>
    </row>
    <row r="1279" spans="3:8" ht="14.5" x14ac:dyDescent="0.35">
      <c r="C1279"/>
      <c r="D1279"/>
      <c r="E1279"/>
      <c r="F1279"/>
      <c r="G1279"/>
      <c r="H1279"/>
    </row>
    <row r="1280" spans="3:8" ht="14.5" x14ac:dyDescent="0.35">
      <c r="C1280"/>
      <c r="D1280"/>
      <c r="E1280"/>
      <c r="F1280"/>
      <c r="G1280"/>
      <c r="H1280"/>
    </row>
    <row r="1281" spans="3:8" ht="14.5" x14ac:dyDescent="0.35">
      <c r="C1281"/>
      <c r="D1281"/>
      <c r="E1281"/>
      <c r="F1281"/>
      <c r="G1281"/>
      <c r="H1281"/>
    </row>
    <row r="1282" spans="3:8" ht="14.5" x14ac:dyDescent="0.35">
      <c r="C1282"/>
      <c r="D1282"/>
      <c r="E1282"/>
      <c r="F1282"/>
      <c r="G1282"/>
      <c r="H1282"/>
    </row>
    <row r="1283" spans="3:8" ht="14.5" x14ac:dyDescent="0.35">
      <c r="C1283"/>
      <c r="D1283"/>
      <c r="E1283"/>
      <c r="F1283"/>
      <c r="G1283"/>
      <c r="H1283"/>
    </row>
    <row r="1284" spans="3:8" ht="14.5" x14ac:dyDescent="0.35">
      <c r="C1284"/>
      <c r="D1284"/>
      <c r="E1284"/>
      <c r="F1284"/>
      <c r="G1284"/>
      <c r="H1284"/>
    </row>
    <row r="1285" spans="3:8" ht="14.5" x14ac:dyDescent="0.35">
      <c r="C1285"/>
      <c r="D1285"/>
      <c r="E1285"/>
      <c r="F1285"/>
      <c r="G1285"/>
      <c r="H1285"/>
    </row>
    <row r="1286" spans="3:8" ht="14.5" x14ac:dyDescent="0.35">
      <c r="C1286"/>
      <c r="D1286"/>
      <c r="E1286"/>
      <c r="F1286"/>
      <c r="G1286"/>
      <c r="H1286"/>
    </row>
    <row r="1287" spans="3:8" ht="14.5" x14ac:dyDescent="0.35">
      <c r="C1287"/>
      <c r="D1287"/>
      <c r="E1287"/>
      <c r="F1287"/>
      <c r="G1287"/>
      <c r="H1287"/>
    </row>
    <row r="1288" spans="3:8" ht="14.5" x14ac:dyDescent="0.35">
      <c r="C1288"/>
      <c r="D1288"/>
      <c r="E1288"/>
      <c r="F1288"/>
      <c r="G1288"/>
      <c r="H1288"/>
    </row>
    <row r="1289" spans="3:8" ht="14.5" x14ac:dyDescent="0.35">
      <c r="C1289"/>
      <c r="D1289"/>
      <c r="E1289"/>
      <c r="F1289"/>
      <c r="G1289"/>
      <c r="H1289"/>
    </row>
    <row r="1290" spans="3:8" ht="14.5" x14ac:dyDescent="0.35">
      <c r="C1290"/>
      <c r="D1290"/>
      <c r="E1290"/>
      <c r="F1290"/>
      <c r="G1290"/>
      <c r="H1290"/>
    </row>
    <row r="1291" spans="3:8" ht="14.5" x14ac:dyDescent="0.35">
      <c r="C1291"/>
      <c r="D1291"/>
      <c r="E1291"/>
      <c r="F1291"/>
      <c r="G1291"/>
      <c r="H1291"/>
    </row>
    <row r="1292" spans="3:8" ht="14.5" x14ac:dyDescent="0.35">
      <c r="C1292"/>
      <c r="D1292"/>
      <c r="E1292"/>
      <c r="F1292"/>
      <c r="G1292"/>
      <c r="H1292"/>
    </row>
    <row r="1293" spans="3:8" ht="14.5" x14ac:dyDescent="0.35">
      <c r="C1293"/>
      <c r="D1293"/>
      <c r="E1293"/>
      <c r="F1293"/>
      <c r="G1293"/>
      <c r="H1293"/>
    </row>
    <row r="1294" spans="3:8" ht="14.5" x14ac:dyDescent="0.35">
      <c r="C1294"/>
      <c r="D1294"/>
      <c r="E1294"/>
      <c r="F1294"/>
      <c r="G1294"/>
      <c r="H1294"/>
    </row>
    <row r="1295" spans="3:8" ht="14.5" x14ac:dyDescent="0.35">
      <c r="C1295"/>
      <c r="D1295"/>
      <c r="E1295"/>
      <c r="F1295"/>
      <c r="G1295"/>
      <c r="H1295"/>
    </row>
    <row r="1296" spans="3:8" ht="14.5" x14ac:dyDescent="0.35">
      <c r="C1296"/>
      <c r="D1296"/>
      <c r="E1296"/>
      <c r="F1296"/>
      <c r="G1296"/>
      <c r="H1296"/>
    </row>
    <row r="1297" spans="3:8" ht="14.5" x14ac:dyDescent="0.35">
      <c r="C1297"/>
      <c r="D1297"/>
      <c r="E1297"/>
      <c r="F1297"/>
      <c r="G1297"/>
      <c r="H1297"/>
    </row>
    <row r="1298" spans="3:8" ht="14.5" x14ac:dyDescent="0.35">
      <c r="C1298"/>
      <c r="D1298"/>
      <c r="E1298"/>
      <c r="F1298"/>
      <c r="G1298"/>
      <c r="H1298"/>
    </row>
    <row r="1299" spans="3:8" ht="14.5" x14ac:dyDescent="0.35">
      <c r="C1299"/>
      <c r="D1299"/>
      <c r="E1299"/>
      <c r="F1299"/>
      <c r="G1299"/>
      <c r="H1299"/>
    </row>
    <row r="1300" spans="3:8" ht="14.5" x14ac:dyDescent="0.35">
      <c r="C1300"/>
      <c r="D1300"/>
      <c r="E1300"/>
      <c r="F1300"/>
      <c r="G1300"/>
      <c r="H1300"/>
    </row>
    <row r="1301" spans="3:8" ht="14.5" x14ac:dyDescent="0.35">
      <c r="C1301"/>
      <c r="D1301"/>
      <c r="E1301"/>
      <c r="F1301"/>
      <c r="G1301"/>
      <c r="H1301"/>
    </row>
    <row r="1302" spans="3:8" ht="14.5" x14ac:dyDescent="0.35">
      <c r="C1302"/>
      <c r="D1302"/>
      <c r="E1302"/>
      <c r="F1302"/>
      <c r="G1302"/>
      <c r="H1302"/>
    </row>
    <row r="1303" spans="3:8" ht="14.5" x14ac:dyDescent="0.35">
      <c r="C1303"/>
      <c r="D1303"/>
      <c r="E1303"/>
      <c r="F1303"/>
      <c r="G1303"/>
      <c r="H1303"/>
    </row>
    <row r="1304" spans="3:8" ht="14.5" x14ac:dyDescent="0.35">
      <c r="C1304"/>
      <c r="D1304"/>
      <c r="E1304"/>
      <c r="F1304"/>
      <c r="G1304"/>
      <c r="H1304"/>
    </row>
    <row r="1305" spans="3:8" ht="14.5" x14ac:dyDescent="0.35">
      <c r="C1305"/>
      <c r="D1305"/>
      <c r="E1305"/>
      <c r="F1305"/>
      <c r="G1305"/>
      <c r="H1305"/>
    </row>
    <row r="1306" spans="3:8" ht="14.5" x14ac:dyDescent="0.35">
      <c r="C1306"/>
      <c r="D1306"/>
      <c r="E1306"/>
      <c r="F1306"/>
      <c r="G1306"/>
      <c r="H1306"/>
    </row>
    <row r="1307" spans="3:8" ht="14.5" x14ac:dyDescent="0.35">
      <c r="C1307"/>
      <c r="D1307"/>
      <c r="E1307"/>
      <c r="F1307"/>
      <c r="G1307"/>
      <c r="H1307"/>
    </row>
    <row r="1308" spans="3:8" ht="14.5" x14ac:dyDescent="0.35">
      <c r="C1308"/>
      <c r="D1308"/>
      <c r="E1308"/>
      <c r="F1308"/>
      <c r="G1308"/>
      <c r="H1308"/>
    </row>
    <row r="1309" spans="3:8" ht="14.5" x14ac:dyDescent="0.35">
      <c r="C1309"/>
      <c r="D1309"/>
      <c r="E1309"/>
      <c r="F1309"/>
      <c r="G1309"/>
      <c r="H1309"/>
    </row>
    <row r="1310" spans="3:8" ht="14.5" x14ac:dyDescent="0.35">
      <c r="C1310"/>
      <c r="D1310"/>
      <c r="E1310"/>
      <c r="F1310"/>
      <c r="G1310"/>
      <c r="H1310"/>
    </row>
    <row r="1311" spans="3:8" ht="14.5" x14ac:dyDescent="0.35">
      <c r="C1311"/>
      <c r="D1311"/>
      <c r="E1311"/>
      <c r="F1311"/>
      <c r="G1311"/>
      <c r="H1311"/>
    </row>
    <row r="1312" spans="3:8" ht="14.5" x14ac:dyDescent="0.35">
      <c r="C1312"/>
      <c r="D1312"/>
      <c r="E1312"/>
      <c r="F1312"/>
      <c r="G1312"/>
      <c r="H1312"/>
    </row>
    <row r="1313" spans="3:8" ht="14.5" x14ac:dyDescent="0.35">
      <c r="C1313"/>
      <c r="D1313"/>
      <c r="E1313"/>
      <c r="F1313"/>
      <c r="G1313"/>
      <c r="H1313"/>
    </row>
    <row r="1314" spans="3:8" ht="14.5" x14ac:dyDescent="0.35">
      <c r="C1314"/>
      <c r="D1314"/>
      <c r="E1314"/>
      <c r="F1314"/>
      <c r="G1314"/>
      <c r="H1314"/>
    </row>
    <row r="1315" spans="3:8" ht="14.5" x14ac:dyDescent="0.35">
      <c r="C1315"/>
      <c r="D1315"/>
      <c r="E1315"/>
      <c r="F1315"/>
      <c r="G1315"/>
      <c r="H1315"/>
    </row>
    <row r="1316" spans="3:8" ht="14.5" x14ac:dyDescent="0.35">
      <c r="C1316"/>
      <c r="D1316"/>
      <c r="E1316"/>
      <c r="F1316"/>
      <c r="G1316"/>
      <c r="H1316"/>
    </row>
    <row r="1317" spans="3:8" ht="14.5" x14ac:dyDescent="0.35">
      <c r="C1317"/>
      <c r="D1317"/>
      <c r="E1317"/>
      <c r="F1317"/>
      <c r="G1317"/>
      <c r="H1317"/>
    </row>
    <row r="1318" spans="3:8" ht="14.5" x14ac:dyDescent="0.35">
      <c r="C1318"/>
      <c r="D1318"/>
      <c r="E1318"/>
      <c r="F1318"/>
      <c r="G1318"/>
      <c r="H1318"/>
    </row>
    <row r="1319" spans="3:8" ht="14.5" x14ac:dyDescent="0.35">
      <c r="C1319"/>
      <c r="D1319"/>
      <c r="E1319"/>
      <c r="F1319"/>
      <c r="G1319"/>
      <c r="H1319"/>
    </row>
    <row r="1320" spans="3:8" ht="14.5" x14ac:dyDescent="0.35">
      <c r="C1320"/>
      <c r="D1320"/>
      <c r="E1320"/>
      <c r="F1320"/>
      <c r="G1320"/>
      <c r="H1320"/>
    </row>
    <row r="1321" spans="3:8" ht="14.5" x14ac:dyDescent="0.35">
      <c r="C1321"/>
      <c r="D1321"/>
      <c r="E1321"/>
      <c r="F1321"/>
      <c r="G1321"/>
      <c r="H1321"/>
    </row>
    <row r="1322" spans="3:8" ht="14.5" x14ac:dyDescent="0.35">
      <c r="C1322"/>
      <c r="D1322"/>
      <c r="E1322"/>
      <c r="F1322"/>
      <c r="G1322"/>
      <c r="H1322"/>
    </row>
    <row r="1323" spans="3:8" ht="14.5" x14ac:dyDescent="0.35">
      <c r="C1323"/>
      <c r="D1323"/>
      <c r="E1323"/>
      <c r="F1323"/>
      <c r="G1323"/>
      <c r="H1323"/>
    </row>
    <row r="1324" spans="3:8" ht="14.5" x14ac:dyDescent="0.35">
      <c r="C1324"/>
      <c r="D1324"/>
      <c r="E1324"/>
      <c r="F1324"/>
      <c r="G1324"/>
      <c r="H1324"/>
    </row>
    <row r="1325" spans="3:8" ht="14.5" x14ac:dyDescent="0.35">
      <c r="C1325"/>
      <c r="D1325"/>
      <c r="E1325"/>
      <c r="F1325"/>
      <c r="G1325"/>
      <c r="H1325"/>
    </row>
    <row r="1326" spans="3:8" ht="14.5" x14ac:dyDescent="0.35">
      <c r="C1326"/>
      <c r="D1326"/>
      <c r="E1326"/>
      <c r="F1326"/>
      <c r="G1326"/>
      <c r="H1326"/>
    </row>
    <row r="1327" spans="3:8" ht="14.5" x14ac:dyDescent="0.35">
      <c r="C1327"/>
      <c r="D1327"/>
      <c r="E1327"/>
      <c r="F1327"/>
      <c r="G1327"/>
      <c r="H1327"/>
    </row>
    <row r="1328" spans="3:8" ht="14.5" x14ac:dyDescent="0.35">
      <c r="C1328"/>
      <c r="D1328"/>
      <c r="E1328"/>
      <c r="F1328"/>
      <c r="G1328"/>
      <c r="H1328"/>
    </row>
    <row r="1329" spans="3:8" ht="14.5" x14ac:dyDescent="0.35">
      <c r="C1329"/>
      <c r="D1329"/>
      <c r="E1329"/>
      <c r="F1329"/>
      <c r="G1329"/>
      <c r="H1329"/>
    </row>
    <row r="1330" spans="3:8" ht="14.5" x14ac:dyDescent="0.35">
      <c r="C1330"/>
      <c r="D1330"/>
      <c r="E1330"/>
      <c r="F1330"/>
      <c r="G1330"/>
      <c r="H1330"/>
    </row>
    <row r="1331" spans="3:8" ht="14.5" x14ac:dyDescent="0.35">
      <c r="C1331"/>
      <c r="D1331"/>
      <c r="E1331"/>
      <c r="F1331"/>
      <c r="G1331"/>
      <c r="H1331"/>
    </row>
    <row r="1332" spans="3:8" ht="14.5" x14ac:dyDescent="0.35">
      <c r="C1332"/>
      <c r="D1332"/>
      <c r="E1332"/>
      <c r="F1332"/>
      <c r="G1332"/>
      <c r="H1332"/>
    </row>
    <row r="1333" spans="3:8" ht="14.5" x14ac:dyDescent="0.35">
      <c r="C1333"/>
      <c r="D1333"/>
      <c r="E1333"/>
      <c r="F1333"/>
      <c r="G1333"/>
      <c r="H1333"/>
    </row>
    <row r="1334" spans="3:8" ht="14.5" x14ac:dyDescent="0.35">
      <c r="C1334"/>
      <c r="D1334"/>
      <c r="E1334"/>
      <c r="F1334"/>
      <c r="G1334"/>
      <c r="H1334"/>
    </row>
    <row r="1335" spans="3:8" ht="14.5" x14ac:dyDescent="0.35">
      <c r="C1335"/>
      <c r="D1335"/>
      <c r="E1335"/>
      <c r="F1335"/>
      <c r="G1335"/>
      <c r="H1335"/>
    </row>
    <row r="1336" spans="3:8" ht="14.5" x14ac:dyDescent="0.35">
      <c r="C1336"/>
      <c r="D1336"/>
      <c r="E1336"/>
      <c r="F1336"/>
      <c r="G1336"/>
      <c r="H1336"/>
    </row>
    <row r="1337" spans="3:8" ht="14.5" x14ac:dyDescent="0.35">
      <c r="C1337"/>
      <c r="D1337"/>
      <c r="E1337"/>
      <c r="F1337"/>
      <c r="G1337"/>
      <c r="H1337"/>
    </row>
    <row r="1338" spans="3:8" ht="14.5" x14ac:dyDescent="0.35">
      <c r="C1338"/>
      <c r="D1338"/>
      <c r="E1338"/>
      <c r="F1338"/>
      <c r="G1338"/>
      <c r="H1338"/>
    </row>
    <row r="1339" spans="3:8" ht="14.5" x14ac:dyDescent="0.35">
      <c r="C1339"/>
      <c r="D1339"/>
      <c r="E1339"/>
      <c r="F1339"/>
      <c r="G1339"/>
      <c r="H1339"/>
    </row>
    <row r="1340" spans="3:8" ht="14.5" x14ac:dyDescent="0.35">
      <c r="C1340"/>
      <c r="D1340"/>
      <c r="E1340"/>
      <c r="F1340"/>
      <c r="G1340"/>
      <c r="H1340"/>
    </row>
    <row r="1341" spans="3:8" ht="14.5" x14ac:dyDescent="0.35">
      <c r="C1341"/>
      <c r="D1341"/>
      <c r="E1341"/>
      <c r="F1341"/>
      <c r="G1341"/>
      <c r="H1341"/>
    </row>
    <row r="1342" spans="3:8" ht="14.5" x14ac:dyDescent="0.35">
      <c r="C1342"/>
      <c r="D1342"/>
      <c r="E1342"/>
      <c r="F1342"/>
      <c r="G1342"/>
      <c r="H1342"/>
    </row>
    <row r="1343" spans="3:8" ht="14.5" x14ac:dyDescent="0.35">
      <c r="C1343"/>
      <c r="D1343"/>
      <c r="E1343"/>
      <c r="F1343"/>
      <c r="G1343"/>
      <c r="H1343"/>
    </row>
    <row r="1344" spans="3:8" ht="14.5" x14ac:dyDescent="0.35">
      <c r="C1344"/>
      <c r="D1344"/>
      <c r="E1344"/>
      <c r="F1344"/>
      <c r="G1344"/>
      <c r="H1344"/>
    </row>
    <row r="1345" spans="3:8" ht="14.5" x14ac:dyDescent="0.35">
      <c r="C1345"/>
      <c r="D1345"/>
      <c r="E1345"/>
      <c r="F1345"/>
      <c r="G1345"/>
      <c r="H1345"/>
    </row>
    <row r="1346" spans="3:8" ht="14.5" x14ac:dyDescent="0.35">
      <c r="C1346"/>
      <c r="D1346"/>
      <c r="E1346"/>
      <c r="F1346"/>
      <c r="G1346"/>
      <c r="H1346"/>
    </row>
    <row r="1347" spans="3:8" ht="14.5" x14ac:dyDescent="0.35">
      <c r="C1347"/>
      <c r="D1347"/>
      <c r="E1347"/>
      <c r="F1347"/>
      <c r="G1347"/>
      <c r="H1347"/>
    </row>
    <row r="1348" spans="3:8" ht="14.5" x14ac:dyDescent="0.35">
      <c r="C1348"/>
      <c r="D1348"/>
      <c r="E1348"/>
      <c r="F1348"/>
      <c r="G1348"/>
      <c r="H1348"/>
    </row>
    <row r="1349" spans="3:8" ht="14.5" x14ac:dyDescent="0.35">
      <c r="C1349"/>
      <c r="D1349"/>
      <c r="E1349"/>
      <c r="F1349"/>
      <c r="G1349"/>
      <c r="H1349"/>
    </row>
    <row r="1350" spans="3:8" ht="14.5" x14ac:dyDescent="0.35">
      <c r="C1350"/>
      <c r="D1350"/>
      <c r="E1350"/>
      <c r="F1350"/>
      <c r="G1350"/>
      <c r="H1350"/>
    </row>
    <row r="1351" spans="3:8" ht="14.5" x14ac:dyDescent="0.35">
      <c r="C1351"/>
      <c r="D1351"/>
      <c r="E1351"/>
      <c r="F1351"/>
      <c r="G1351"/>
      <c r="H1351"/>
    </row>
    <row r="1352" spans="3:8" ht="14.5" x14ac:dyDescent="0.35">
      <c r="C1352"/>
      <c r="D1352"/>
      <c r="E1352"/>
      <c r="F1352"/>
      <c r="G1352"/>
      <c r="H1352"/>
    </row>
    <row r="1353" spans="3:8" ht="14.5" x14ac:dyDescent="0.35">
      <c r="C1353"/>
      <c r="D1353"/>
      <c r="E1353"/>
      <c r="F1353"/>
      <c r="G1353"/>
      <c r="H1353"/>
    </row>
    <row r="1354" spans="3:8" ht="14.5" x14ac:dyDescent="0.35">
      <c r="C1354"/>
      <c r="D1354"/>
      <c r="E1354"/>
      <c r="F1354"/>
      <c r="G1354"/>
      <c r="H1354"/>
    </row>
    <row r="1355" spans="3:8" ht="14.5" x14ac:dyDescent="0.35">
      <c r="C1355"/>
      <c r="D1355"/>
      <c r="E1355"/>
      <c r="F1355"/>
      <c r="G1355"/>
      <c r="H1355"/>
    </row>
    <row r="1356" spans="3:8" ht="14.5" x14ac:dyDescent="0.35">
      <c r="C1356"/>
      <c r="D1356"/>
      <c r="E1356"/>
      <c r="F1356"/>
      <c r="G1356"/>
      <c r="H1356"/>
    </row>
    <row r="1357" spans="3:8" ht="14.5" x14ac:dyDescent="0.35">
      <c r="C1357"/>
      <c r="D1357"/>
      <c r="E1357"/>
      <c r="F1357"/>
      <c r="G1357"/>
      <c r="H1357"/>
    </row>
    <row r="1358" spans="3:8" ht="14.5" x14ac:dyDescent="0.35">
      <c r="C1358"/>
      <c r="D1358"/>
      <c r="E1358"/>
      <c r="F1358"/>
      <c r="G1358"/>
      <c r="H1358"/>
    </row>
    <row r="1359" spans="3:8" ht="14.5" x14ac:dyDescent="0.35">
      <c r="C1359"/>
      <c r="D1359"/>
      <c r="E1359"/>
      <c r="F1359"/>
      <c r="G1359"/>
      <c r="H1359"/>
    </row>
    <row r="1360" spans="3:8" ht="14.5" x14ac:dyDescent="0.35">
      <c r="C1360"/>
      <c r="D1360"/>
      <c r="E1360"/>
      <c r="F1360"/>
      <c r="G1360"/>
      <c r="H1360"/>
    </row>
    <row r="1361" spans="3:8" ht="14.5" x14ac:dyDescent="0.35">
      <c r="C1361"/>
      <c r="D1361"/>
      <c r="E1361"/>
      <c r="F1361"/>
      <c r="G1361"/>
      <c r="H1361"/>
    </row>
    <row r="1362" spans="3:8" ht="14.5" x14ac:dyDescent="0.35">
      <c r="C1362"/>
      <c r="D1362"/>
      <c r="E1362"/>
      <c r="F1362"/>
      <c r="G1362"/>
      <c r="H1362"/>
    </row>
    <row r="1363" spans="3:8" ht="14.5" x14ac:dyDescent="0.35">
      <c r="C1363"/>
      <c r="D1363"/>
      <c r="E1363"/>
      <c r="F1363"/>
      <c r="G1363"/>
      <c r="H1363"/>
    </row>
    <row r="1364" spans="3:8" ht="14.5" x14ac:dyDescent="0.35">
      <c r="C1364"/>
      <c r="D1364"/>
      <c r="E1364"/>
      <c r="F1364"/>
      <c r="G1364"/>
      <c r="H1364"/>
    </row>
    <row r="1365" spans="3:8" ht="14.5" x14ac:dyDescent="0.35">
      <c r="C1365"/>
      <c r="D1365"/>
      <c r="E1365"/>
      <c r="F1365"/>
      <c r="G1365"/>
      <c r="H1365"/>
    </row>
    <row r="1366" spans="3:8" ht="14.5" x14ac:dyDescent="0.35">
      <c r="C1366"/>
      <c r="D1366"/>
      <c r="E1366"/>
      <c r="F1366"/>
      <c r="G1366"/>
      <c r="H1366"/>
    </row>
    <row r="1367" spans="3:8" ht="14.5" x14ac:dyDescent="0.35">
      <c r="C1367"/>
      <c r="D1367"/>
      <c r="E1367"/>
      <c r="F1367"/>
      <c r="G1367"/>
      <c r="H1367"/>
    </row>
    <row r="1368" spans="3:8" ht="14.5" x14ac:dyDescent="0.35">
      <c r="C1368"/>
      <c r="D1368"/>
      <c r="E1368"/>
      <c r="F1368"/>
      <c r="G1368"/>
      <c r="H1368"/>
    </row>
    <row r="1369" spans="3:8" ht="14.5" x14ac:dyDescent="0.35">
      <c r="C1369"/>
      <c r="D1369"/>
      <c r="E1369"/>
      <c r="F1369"/>
      <c r="G1369"/>
      <c r="H1369"/>
    </row>
    <row r="1370" spans="3:8" ht="14.5" x14ac:dyDescent="0.35">
      <c r="C1370"/>
      <c r="D1370"/>
      <c r="E1370"/>
      <c r="F1370"/>
      <c r="G1370"/>
      <c r="H1370"/>
    </row>
    <row r="1371" spans="3:8" ht="14.5" x14ac:dyDescent="0.35">
      <c r="C1371"/>
      <c r="D1371"/>
      <c r="E1371"/>
      <c r="F1371"/>
      <c r="G1371"/>
      <c r="H1371"/>
    </row>
    <row r="1372" spans="3:8" ht="14.5" x14ac:dyDescent="0.35">
      <c r="C1372"/>
      <c r="D1372"/>
      <c r="E1372"/>
      <c r="F1372"/>
      <c r="G1372"/>
      <c r="H1372"/>
    </row>
    <row r="1373" spans="3:8" ht="14.5" x14ac:dyDescent="0.35">
      <c r="C1373"/>
      <c r="D1373"/>
      <c r="E1373"/>
      <c r="F1373"/>
      <c r="G1373"/>
      <c r="H1373"/>
    </row>
    <row r="1374" spans="3:8" ht="14.5" x14ac:dyDescent="0.35">
      <c r="C1374"/>
      <c r="D1374"/>
      <c r="E1374"/>
      <c r="F1374"/>
      <c r="G1374"/>
      <c r="H1374"/>
    </row>
    <row r="1375" spans="3:8" ht="14.5" x14ac:dyDescent="0.35">
      <c r="C1375"/>
      <c r="D1375"/>
      <c r="E1375"/>
      <c r="F1375"/>
      <c r="G1375"/>
      <c r="H1375"/>
    </row>
    <row r="1376" spans="3:8" ht="14.5" x14ac:dyDescent="0.35">
      <c r="C1376"/>
      <c r="D1376"/>
      <c r="E1376"/>
      <c r="F1376"/>
      <c r="G1376"/>
      <c r="H1376"/>
    </row>
    <row r="1377" spans="3:8" ht="14.5" x14ac:dyDescent="0.35">
      <c r="C1377"/>
      <c r="D1377"/>
      <c r="E1377"/>
      <c r="F1377"/>
      <c r="G1377"/>
      <c r="H1377"/>
    </row>
    <row r="1378" spans="3:8" ht="14.5" x14ac:dyDescent="0.35">
      <c r="C1378"/>
      <c r="D1378"/>
      <c r="E1378"/>
      <c r="F1378"/>
      <c r="G1378"/>
      <c r="H1378"/>
    </row>
    <row r="1379" spans="3:8" ht="14.5" x14ac:dyDescent="0.35">
      <c r="C1379"/>
      <c r="D1379"/>
      <c r="E1379"/>
      <c r="F1379"/>
      <c r="G1379"/>
      <c r="H1379"/>
    </row>
    <row r="1380" spans="3:8" ht="14.5" x14ac:dyDescent="0.35">
      <c r="C1380"/>
      <c r="D1380"/>
      <c r="E1380"/>
      <c r="F1380"/>
      <c r="G1380"/>
      <c r="H1380"/>
    </row>
    <row r="1381" spans="3:8" ht="14.5" x14ac:dyDescent="0.35">
      <c r="C1381"/>
      <c r="D1381"/>
      <c r="E1381"/>
      <c r="F1381"/>
      <c r="G1381"/>
      <c r="H1381"/>
    </row>
    <row r="1382" spans="3:8" ht="14.5" x14ac:dyDescent="0.35">
      <c r="C1382"/>
      <c r="D1382"/>
      <c r="E1382"/>
      <c r="F1382"/>
      <c r="G1382"/>
      <c r="H1382"/>
    </row>
    <row r="1383" spans="3:8" ht="14.5" x14ac:dyDescent="0.35">
      <c r="C1383"/>
      <c r="D1383"/>
      <c r="E1383"/>
      <c r="F1383"/>
      <c r="G1383"/>
      <c r="H1383"/>
    </row>
    <row r="1384" spans="3:8" ht="14.5" x14ac:dyDescent="0.35">
      <c r="C1384"/>
      <c r="D1384"/>
      <c r="E1384"/>
      <c r="F1384"/>
      <c r="G1384"/>
      <c r="H1384"/>
    </row>
    <row r="1385" spans="3:8" ht="14.5" x14ac:dyDescent="0.35">
      <c r="C1385"/>
      <c r="D1385"/>
      <c r="E1385"/>
      <c r="F1385"/>
      <c r="G1385"/>
      <c r="H1385"/>
    </row>
    <row r="1386" spans="3:8" ht="14.5" x14ac:dyDescent="0.35">
      <c r="C1386"/>
      <c r="D1386"/>
      <c r="E1386"/>
      <c r="F1386"/>
      <c r="G1386"/>
      <c r="H1386"/>
    </row>
    <row r="1387" spans="3:8" ht="14.5" x14ac:dyDescent="0.35">
      <c r="C1387"/>
      <c r="D1387"/>
      <c r="E1387"/>
      <c r="F1387"/>
      <c r="G1387"/>
      <c r="H1387"/>
    </row>
    <row r="1388" spans="3:8" ht="14.5" x14ac:dyDescent="0.35">
      <c r="C1388"/>
      <c r="D1388"/>
      <c r="E1388"/>
      <c r="F1388"/>
      <c r="G1388"/>
      <c r="H1388"/>
    </row>
    <row r="1389" spans="3:8" ht="14.5" x14ac:dyDescent="0.35">
      <c r="C1389"/>
      <c r="D1389"/>
      <c r="E1389"/>
      <c r="F1389"/>
      <c r="G1389"/>
      <c r="H1389"/>
    </row>
    <row r="1390" spans="3:8" ht="14.5" x14ac:dyDescent="0.35">
      <c r="C1390"/>
      <c r="D1390"/>
      <c r="E1390"/>
      <c r="F1390"/>
      <c r="G1390"/>
      <c r="H1390"/>
    </row>
    <row r="1391" spans="3:8" ht="14.5" x14ac:dyDescent="0.35">
      <c r="C1391"/>
      <c r="D1391"/>
      <c r="E1391"/>
      <c r="F1391"/>
      <c r="G1391"/>
      <c r="H1391"/>
    </row>
    <row r="1392" spans="3:8" ht="14.5" x14ac:dyDescent="0.35">
      <c r="C1392"/>
      <c r="D1392"/>
      <c r="E1392"/>
      <c r="F1392"/>
      <c r="G1392"/>
      <c r="H1392"/>
    </row>
    <row r="1393" spans="3:8" ht="14.5" x14ac:dyDescent="0.35">
      <c r="C1393"/>
      <c r="D1393"/>
      <c r="E1393"/>
      <c r="F1393"/>
      <c r="G1393"/>
      <c r="H1393"/>
    </row>
    <row r="1394" spans="3:8" ht="14.5" x14ac:dyDescent="0.35">
      <c r="C1394"/>
      <c r="D1394"/>
      <c r="E1394"/>
      <c r="F1394"/>
      <c r="G1394"/>
      <c r="H1394"/>
    </row>
    <row r="1395" spans="3:8" ht="14.5" x14ac:dyDescent="0.35">
      <c r="C1395"/>
      <c r="D1395"/>
      <c r="E1395"/>
      <c r="F1395"/>
      <c r="G1395"/>
      <c r="H1395"/>
    </row>
    <row r="1396" spans="3:8" ht="14.5" x14ac:dyDescent="0.35">
      <c r="C1396"/>
      <c r="D1396"/>
      <c r="E1396"/>
      <c r="F1396"/>
      <c r="G1396"/>
      <c r="H1396"/>
    </row>
    <row r="1397" spans="3:8" ht="14.5" x14ac:dyDescent="0.35">
      <c r="C1397"/>
      <c r="D1397"/>
      <c r="E1397"/>
      <c r="F1397"/>
      <c r="G1397"/>
      <c r="H1397"/>
    </row>
    <row r="1398" spans="3:8" ht="14.5" x14ac:dyDescent="0.35">
      <c r="C1398"/>
      <c r="D1398"/>
      <c r="E1398"/>
      <c r="F1398"/>
      <c r="G1398"/>
      <c r="H1398"/>
    </row>
    <row r="1399" spans="3:8" ht="14.5" x14ac:dyDescent="0.35">
      <c r="C1399"/>
      <c r="D1399"/>
      <c r="E1399"/>
      <c r="F1399"/>
      <c r="G1399"/>
      <c r="H1399"/>
    </row>
    <row r="1400" spans="3:8" ht="14.5" x14ac:dyDescent="0.35">
      <c r="C1400"/>
      <c r="D1400"/>
      <c r="E1400"/>
      <c r="F1400"/>
      <c r="G1400"/>
      <c r="H1400"/>
    </row>
    <row r="1401" spans="3:8" ht="14.5" x14ac:dyDescent="0.35">
      <c r="C1401"/>
      <c r="D1401"/>
      <c r="E1401"/>
      <c r="F1401"/>
      <c r="G1401"/>
      <c r="H1401"/>
    </row>
    <row r="1402" spans="3:8" ht="14.5" x14ac:dyDescent="0.35">
      <c r="C1402"/>
      <c r="D1402"/>
      <c r="E1402"/>
      <c r="F1402"/>
      <c r="G1402"/>
      <c r="H1402"/>
    </row>
    <row r="1403" spans="3:8" ht="14.5" x14ac:dyDescent="0.35">
      <c r="C1403"/>
      <c r="D1403"/>
      <c r="E1403"/>
      <c r="F1403"/>
      <c r="G1403"/>
      <c r="H1403"/>
    </row>
    <row r="1404" spans="3:8" ht="14.5" x14ac:dyDescent="0.35">
      <c r="C1404"/>
      <c r="D1404"/>
      <c r="E1404"/>
      <c r="F1404"/>
      <c r="G1404"/>
      <c r="H1404"/>
    </row>
    <row r="1405" spans="3:8" ht="14.5" x14ac:dyDescent="0.35">
      <c r="C1405"/>
      <c r="D1405"/>
      <c r="E1405"/>
      <c r="F1405"/>
      <c r="G1405"/>
      <c r="H1405"/>
    </row>
    <row r="1406" spans="3:8" ht="14.5" x14ac:dyDescent="0.35">
      <c r="C1406"/>
      <c r="D1406"/>
      <c r="E1406"/>
      <c r="F1406"/>
      <c r="G1406"/>
      <c r="H1406"/>
    </row>
    <row r="1407" spans="3:8" ht="14.5" x14ac:dyDescent="0.35">
      <c r="C1407"/>
      <c r="D1407"/>
      <c r="E1407"/>
      <c r="F1407"/>
      <c r="G1407"/>
      <c r="H1407"/>
    </row>
    <row r="1408" spans="3:8" ht="14.5" x14ac:dyDescent="0.35">
      <c r="C1408"/>
      <c r="D1408"/>
      <c r="E1408"/>
      <c r="F1408"/>
      <c r="G1408"/>
      <c r="H1408"/>
    </row>
    <row r="1409" spans="3:8" ht="14.5" x14ac:dyDescent="0.35">
      <c r="C1409"/>
      <c r="D1409"/>
      <c r="E1409"/>
      <c r="F1409"/>
      <c r="G1409"/>
      <c r="H1409"/>
    </row>
    <row r="1410" spans="3:8" ht="14.5" x14ac:dyDescent="0.35">
      <c r="C1410"/>
      <c r="D1410"/>
      <c r="E1410"/>
      <c r="F1410"/>
      <c r="G1410"/>
      <c r="H1410"/>
    </row>
    <row r="1411" spans="3:8" ht="14.5" x14ac:dyDescent="0.35">
      <c r="C1411"/>
      <c r="D1411"/>
      <c r="E1411"/>
      <c r="F1411"/>
      <c r="G1411"/>
      <c r="H1411"/>
    </row>
    <row r="1412" spans="3:8" ht="14.5" x14ac:dyDescent="0.35">
      <c r="C1412"/>
      <c r="D1412"/>
      <c r="E1412"/>
      <c r="F1412"/>
      <c r="G1412"/>
      <c r="H1412"/>
    </row>
    <row r="1413" spans="3:8" ht="14.5" x14ac:dyDescent="0.35">
      <c r="C1413"/>
      <c r="D1413"/>
      <c r="E1413"/>
      <c r="F1413"/>
      <c r="G1413"/>
      <c r="H1413"/>
    </row>
    <row r="1414" spans="3:8" ht="14.5" x14ac:dyDescent="0.35">
      <c r="C1414"/>
      <c r="D1414"/>
      <c r="E1414"/>
      <c r="F1414"/>
      <c r="G1414"/>
      <c r="H1414"/>
    </row>
    <row r="1415" spans="3:8" ht="14.5" x14ac:dyDescent="0.35">
      <c r="C1415"/>
      <c r="D1415"/>
      <c r="E1415"/>
      <c r="F1415"/>
      <c r="G1415"/>
      <c r="H1415"/>
    </row>
    <row r="1416" spans="3:8" ht="14.5" x14ac:dyDescent="0.35">
      <c r="C1416"/>
      <c r="D1416"/>
      <c r="E1416"/>
      <c r="F1416"/>
      <c r="G1416"/>
      <c r="H1416"/>
    </row>
    <row r="1417" spans="3:8" ht="14.5" x14ac:dyDescent="0.35">
      <c r="C1417"/>
      <c r="D1417"/>
      <c r="E1417"/>
      <c r="F1417"/>
      <c r="G1417"/>
      <c r="H1417"/>
    </row>
    <row r="1418" spans="3:8" ht="14.5" x14ac:dyDescent="0.35">
      <c r="C1418"/>
      <c r="D1418"/>
      <c r="E1418"/>
      <c r="F1418"/>
      <c r="G1418"/>
      <c r="H1418"/>
    </row>
    <row r="1419" spans="3:8" ht="14.5" x14ac:dyDescent="0.35">
      <c r="C1419"/>
      <c r="D1419"/>
      <c r="E1419"/>
      <c r="F1419"/>
      <c r="G1419"/>
      <c r="H1419"/>
    </row>
    <row r="1420" spans="3:8" ht="14.5" x14ac:dyDescent="0.35">
      <c r="C1420"/>
      <c r="D1420"/>
      <c r="E1420"/>
      <c r="F1420"/>
      <c r="G1420"/>
      <c r="H1420"/>
    </row>
    <row r="1421" spans="3:8" ht="14.5" x14ac:dyDescent="0.35">
      <c r="C1421"/>
      <c r="D1421"/>
      <c r="E1421"/>
      <c r="F1421"/>
      <c r="G1421"/>
      <c r="H1421"/>
    </row>
    <row r="1422" spans="3:8" ht="14.5" x14ac:dyDescent="0.35">
      <c r="C1422"/>
      <c r="D1422"/>
      <c r="E1422"/>
      <c r="F1422"/>
      <c r="G1422"/>
      <c r="H1422"/>
    </row>
    <row r="1423" spans="3:8" ht="14.5" x14ac:dyDescent="0.35">
      <c r="C1423"/>
      <c r="D1423"/>
      <c r="E1423"/>
      <c r="F1423"/>
      <c r="G1423"/>
      <c r="H1423"/>
    </row>
    <row r="1424" spans="3:8" ht="14.5" x14ac:dyDescent="0.35">
      <c r="C1424"/>
      <c r="D1424"/>
      <c r="E1424"/>
      <c r="F1424"/>
      <c r="G1424"/>
      <c r="H1424"/>
    </row>
    <row r="1425" spans="3:8" ht="14.5" x14ac:dyDescent="0.35">
      <c r="C1425"/>
      <c r="D1425"/>
      <c r="E1425"/>
      <c r="F1425"/>
      <c r="G1425"/>
      <c r="H1425"/>
    </row>
    <row r="1426" spans="3:8" ht="14.5" x14ac:dyDescent="0.35">
      <c r="C1426"/>
      <c r="D1426"/>
      <c r="E1426"/>
      <c r="F1426"/>
      <c r="G1426"/>
      <c r="H1426"/>
    </row>
    <row r="1427" spans="3:8" ht="14.5" x14ac:dyDescent="0.35">
      <c r="C1427"/>
      <c r="D1427"/>
      <c r="E1427"/>
      <c r="F1427"/>
      <c r="G1427"/>
      <c r="H1427"/>
    </row>
    <row r="1428" spans="3:8" ht="14.5" x14ac:dyDescent="0.35">
      <c r="C1428"/>
      <c r="D1428"/>
      <c r="E1428"/>
      <c r="F1428"/>
      <c r="G1428"/>
      <c r="H1428"/>
    </row>
    <row r="1429" spans="3:8" ht="14.5" x14ac:dyDescent="0.35">
      <c r="C1429"/>
      <c r="D1429"/>
      <c r="E1429"/>
      <c r="F1429"/>
      <c r="G1429"/>
      <c r="H1429"/>
    </row>
    <row r="1430" spans="3:8" ht="14.5" x14ac:dyDescent="0.35">
      <c r="C1430"/>
      <c r="D1430"/>
      <c r="E1430"/>
      <c r="F1430"/>
      <c r="G1430"/>
      <c r="H1430"/>
    </row>
    <row r="1431" spans="3:8" ht="14.5" x14ac:dyDescent="0.35">
      <c r="C1431"/>
      <c r="D1431"/>
      <c r="E1431"/>
      <c r="F1431"/>
      <c r="G1431"/>
      <c r="H1431"/>
    </row>
    <row r="1432" spans="3:8" ht="14.5" x14ac:dyDescent="0.35">
      <c r="C1432"/>
      <c r="D1432"/>
      <c r="E1432"/>
      <c r="F1432"/>
      <c r="G1432"/>
      <c r="H1432"/>
    </row>
    <row r="1433" spans="3:8" ht="14.5" x14ac:dyDescent="0.35">
      <c r="C1433"/>
      <c r="D1433"/>
      <c r="E1433"/>
      <c r="F1433"/>
      <c r="G1433"/>
      <c r="H1433"/>
    </row>
    <row r="1434" spans="3:8" ht="14.5" x14ac:dyDescent="0.35">
      <c r="C1434"/>
      <c r="D1434"/>
      <c r="E1434"/>
      <c r="F1434"/>
      <c r="G1434"/>
      <c r="H1434"/>
    </row>
    <row r="1435" spans="3:8" ht="14.5" x14ac:dyDescent="0.35">
      <c r="C1435"/>
      <c r="D1435"/>
      <c r="E1435"/>
      <c r="F1435"/>
      <c r="G1435"/>
      <c r="H1435"/>
    </row>
    <row r="1436" spans="3:8" ht="14.5" x14ac:dyDescent="0.35">
      <c r="C1436"/>
      <c r="D1436"/>
      <c r="E1436"/>
      <c r="F1436"/>
      <c r="G1436"/>
      <c r="H1436"/>
    </row>
    <row r="1437" spans="3:8" ht="14.5" x14ac:dyDescent="0.35">
      <c r="C1437"/>
      <c r="D1437"/>
      <c r="E1437"/>
      <c r="F1437"/>
      <c r="G1437"/>
      <c r="H1437"/>
    </row>
    <row r="1438" spans="3:8" ht="14.5" x14ac:dyDescent="0.35">
      <c r="C1438"/>
      <c r="D1438"/>
      <c r="E1438"/>
      <c r="F1438"/>
      <c r="G1438"/>
      <c r="H1438"/>
    </row>
    <row r="1439" spans="3:8" ht="14.5" x14ac:dyDescent="0.35">
      <c r="C1439"/>
      <c r="D1439"/>
      <c r="E1439"/>
      <c r="F1439"/>
      <c r="G1439"/>
      <c r="H1439"/>
    </row>
    <row r="1440" spans="3:8" ht="14.5" x14ac:dyDescent="0.35">
      <c r="C1440"/>
      <c r="D1440"/>
      <c r="E1440"/>
      <c r="F1440"/>
      <c r="G1440"/>
      <c r="H1440"/>
    </row>
    <row r="1441" spans="3:8" ht="14.5" x14ac:dyDescent="0.35">
      <c r="C1441"/>
      <c r="D1441"/>
      <c r="E1441"/>
      <c r="F1441"/>
      <c r="G1441"/>
      <c r="H1441"/>
    </row>
    <row r="1442" spans="3:8" ht="14.5" x14ac:dyDescent="0.35">
      <c r="C1442"/>
      <c r="D1442"/>
      <c r="E1442"/>
      <c r="F1442"/>
      <c r="G1442"/>
      <c r="H1442"/>
    </row>
    <row r="1443" spans="3:8" ht="14.5" x14ac:dyDescent="0.35">
      <c r="C1443"/>
      <c r="D1443"/>
      <c r="E1443"/>
      <c r="F1443"/>
      <c r="G1443"/>
      <c r="H1443"/>
    </row>
  </sheetData>
  <dataConsolidate/>
  <mergeCells count="182">
    <mergeCell ref="C2:I2"/>
    <mergeCell ref="C185:I185"/>
    <mergeCell ref="C197:I197"/>
    <mergeCell ref="C925:C926"/>
    <mergeCell ref="D925:H925"/>
    <mergeCell ref="I925:M925"/>
    <mergeCell ref="N925:O925"/>
    <mergeCell ref="C937:C938"/>
    <mergeCell ref="D937:H937"/>
    <mergeCell ref="I937:M937"/>
    <mergeCell ref="N937:O937"/>
    <mergeCell ref="C864:C865"/>
    <mergeCell ref="D864:H864"/>
    <mergeCell ref="I864:M864"/>
    <mergeCell ref="N864:O864"/>
    <mergeCell ref="C876:C877"/>
    <mergeCell ref="D876:H876"/>
    <mergeCell ref="I876:M876"/>
    <mergeCell ref="N876:O876"/>
    <mergeCell ref="C888:C889"/>
    <mergeCell ref="D888:H888"/>
    <mergeCell ref="I888:M888"/>
    <mergeCell ref="C375:I375"/>
    <mergeCell ref="C395:I395"/>
    <mergeCell ref="C417:I417"/>
    <mergeCell ref="C949:C950"/>
    <mergeCell ref="D949:H949"/>
    <mergeCell ref="I949:M949"/>
    <mergeCell ref="N949:O949"/>
    <mergeCell ref="N888:O888"/>
    <mergeCell ref="C900:C901"/>
    <mergeCell ref="D900:H900"/>
    <mergeCell ref="I900:M900"/>
    <mergeCell ref="N900:O900"/>
    <mergeCell ref="R1:W1"/>
    <mergeCell ref="K18:P18"/>
    <mergeCell ref="K53:P53"/>
    <mergeCell ref="K54:P54"/>
    <mergeCell ref="R16:W16"/>
    <mergeCell ref="K48:P48"/>
    <mergeCell ref="K49:P49"/>
    <mergeCell ref="K50:P50"/>
    <mergeCell ref="K51:P51"/>
    <mergeCell ref="K52:P52"/>
    <mergeCell ref="K43:P43"/>
    <mergeCell ref="K44:P44"/>
    <mergeCell ref="K45:P45"/>
    <mergeCell ref="K46:P46"/>
    <mergeCell ref="K47:P47"/>
    <mergeCell ref="R11:W11"/>
    <mergeCell ref="R4:W4"/>
    <mergeCell ref="R5:W5"/>
    <mergeCell ref="C103:I103"/>
    <mergeCell ref="C141:I141"/>
    <mergeCell ref="C150:I150"/>
    <mergeCell ref="R6:W6"/>
    <mergeCell ref="R7:W7"/>
    <mergeCell ref="R8:W8"/>
    <mergeCell ref="R9:W9"/>
    <mergeCell ref="R10:W10"/>
    <mergeCell ref="C34:F34"/>
    <mergeCell ref="C44:I44"/>
    <mergeCell ref="R13:W13"/>
    <mergeCell ref="R14:W14"/>
    <mergeCell ref="R15:W15"/>
    <mergeCell ref="C83:I83"/>
    <mergeCell ref="C91:I91"/>
    <mergeCell ref="R12:W12"/>
    <mergeCell ref="C60:I60"/>
    <mergeCell ref="C427:I427"/>
    <mergeCell ref="N693:Q693"/>
    <mergeCell ref="C230:I230"/>
    <mergeCell ref="N703:Q703"/>
    <mergeCell ref="L589:M589"/>
    <mergeCell ref="C580:C581"/>
    <mergeCell ref="C579:H579"/>
    <mergeCell ref="C586:H586"/>
    <mergeCell ref="C690:D690"/>
    <mergeCell ref="E693:H693"/>
    <mergeCell ref="E703:H703"/>
    <mergeCell ref="F675:I675"/>
    <mergeCell ref="C589:C590"/>
    <mergeCell ref="E589:F589"/>
    <mergeCell ref="G589:H589"/>
    <mergeCell ref="C674:I674"/>
    <mergeCell ref="I693:M693"/>
    <mergeCell ref="I580:K580"/>
    <mergeCell ref="L580:M580"/>
    <mergeCell ref="G580:H580"/>
    <mergeCell ref="C853:I853"/>
    <mergeCell ref="C4:I4"/>
    <mergeCell ref="C21:F21"/>
    <mergeCell ref="E716:H716"/>
    <mergeCell ref="C238:I238"/>
    <mergeCell ref="C262:I262"/>
    <mergeCell ref="C571:I571"/>
    <mergeCell ref="C459:D459"/>
    <mergeCell ref="C434:I434"/>
    <mergeCell ref="C439:I439"/>
    <mergeCell ref="C461:I461"/>
    <mergeCell ref="C481:I481"/>
    <mergeCell ref="C504:I504"/>
    <mergeCell ref="C527:I527"/>
    <mergeCell ref="C535:I535"/>
    <mergeCell ref="C552:I552"/>
    <mergeCell ref="C340:I340"/>
    <mergeCell ref="C307:I307"/>
    <mergeCell ref="I703:M703"/>
    <mergeCell ref="I716:M716"/>
    <mergeCell ref="C209:H209"/>
    <mergeCell ref="E580:F580"/>
    <mergeCell ref="C496:G496"/>
    <mergeCell ref="C351:I351"/>
    <mergeCell ref="C746:I746"/>
    <mergeCell ref="C753:I753"/>
    <mergeCell ref="C783:I783"/>
    <mergeCell ref="C797:I797"/>
    <mergeCell ref="C802:I802"/>
    <mergeCell ref="C816:I816"/>
    <mergeCell ref="C825:I825"/>
    <mergeCell ref="C739:H739"/>
    <mergeCell ref="C835:I835"/>
    <mergeCell ref="P976:Q976"/>
    <mergeCell ref="C726:I726"/>
    <mergeCell ref="C912:C913"/>
    <mergeCell ref="D912:H912"/>
    <mergeCell ref="I912:M912"/>
    <mergeCell ref="N912:O912"/>
    <mergeCell ref="R580:S580"/>
    <mergeCell ref="P589:Q589"/>
    <mergeCell ref="C588:Q588"/>
    <mergeCell ref="C596:I596"/>
    <mergeCell ref="C605:I605"/>
    <mergeCell ref="C612:I612"/>
    <mergeCell ref="C619:I619"/>
    <mergeCell ref="C626:I626"/>
    <mergeCell ref="N716:Q716"/>
    <mergeCell ref="I589:K589"/>
    <mergeCell ref="D681:H681"/>
    <mergeCell ref="N580:O580"/>
    <mergeCell ref="N589:O589"/>
    <mergeCell ref="P580:Q580"/>
    <mergeCell ref="C633:I633"/>
    <mergeCell ref="C649:I649"/>
    <mergeCell ref="C664:I664"/>
    <mergeCell ref="I681:M681"/>
    <mergeCell ref="C990:C991"/>
    <mergeCell ref="D990:H990"/>
    <mergeCell ref="I990:M990"/>
    <mergeCell ref="N990:O990"/>
    <mergeCell ref="C997:C998"/>
    <mergeCell ref="D997:H997"/>
    <mergeCell ref="I997:M997"/>
    <mergeCell ref="N997:O997"/>
    <mergeCell ref="C962:C963"/>
    <mergeCell ref="D962:H962"/>
    <mergeCell ref="I962:M962"/>
    <mergeCell ref="N962:O962"/>
    <mergeCell ref="C976:C977"/>
    <mergeCell ref="D976:I976"/>
    <mergeCell ref="J976:O976"/>
    <mergeCell ref="C1004:C1005"/>
    <mergeCell ref="D1004:H1004"/>
    <mergeCell ref="I1004:M1004"/>
    <mergeCell ref="N1004:O1004"/>
    <mergeCell ref="C1011:C1012"/>
    <mergeCell ref="D1011:H1011"/>
    <mergeCell ref="I1011:M1011"/>
    <mergeCell ref="N1011:O1011"/>
    <mergeCell ref="C1019:C1020"/>
    <mergeCell ref="D1019:H1019"/>
    <mergeCell ref="I1019:M1019"/>
    <mergeCell ref="N1019:O1019"/>
    <mergeCell ref="I1085:M1085"/>
    <mergeCell ref="I1106:M1106"/>
    <mergeCell ref="J1116:L1117"/>
    <mergeCell ref="I1129:M1129"/>
    <mergeCell ref="I1148:M1148"/>
    <mergeCell ref="I1167:M1167"/>
    <mergeCell ref="I1188:M1188"/>
    <mergeCell ref="I1208:M1208"/>
    <mergeCell ref="I1229:M1229"/>
  </mergeCells>
  <phoneticPr fontId="2" type="noConversion"/>
  <hyperlinks>
    <hyperlink ref="C44:H44" location="'INCOME STATEMENT'!B4" display="NOTE NO. 2 OTHER INCOME" xr:uid="{00000000-0004-0000-0400-000000000000}"/>
    <hyperlink ref="C60:H60" location="'INCOME STATEMENT'!B15" display="NOTE NO. 3 COST OF SALES ON PROJECTS" xr:uid="{00000000-0004-0000-0400-000001000000}"/>
    <hyperlink ref="C209:H209" location="'INCOME STATEMENT'!G16" display="NOTE NO.10 PROPERTY AND FACILITIES OPERATING EXPENSES" xr:uid="{00000000-0004-0000-0400-000002000000}"/>
    <hyperlink ref="C83:I83" location="'INCOME STATEMENT'!G17" display="NOTE NO. 4 EMPLOYEE BENEFITS EXPENSE" xr:uid="{03ACF6E0-02A6-421B-821C-278E26627C04}"/>
    <hyperlink ref="C4:I4" location="'INCOME STATEMENT'!G3" display="NOTE NO. 1 REVENUE FROM OPERATION" xr:uid="{BCD7B5C3-40CD-4D4D-BDC3-BDB1F76D8B15}"/>
    <hyperlink ref="C91:I91" location="'INCOME STATEMENT'!G18" display="NOTE NO.5 FINANCE COSTS" xr:uid="{0FE1FCEF-8683-48CB-B67A-9A4DC3106CB4}"/>
    <hyperlink ref="C103:I103" location="'INCOME STATEMENT'!G20" display="NOTE NO. 6 OTHER EXPENSES" xr:uid="{3FAE36D3-EF93-410D-91FC-113412595AC3}"/>
    <hyperlink ref="C150:I150" location="'INCOME STATEMENT'!G27" display="NOTE NO. 7 TAX EXPENSES" xr:uid="{4DB2751A-81B4-49B1-B699-57F0AAD778CD}"/>
    <hyperlink ref="C197:I197" location="'INCOME STATEMENT'!G7" display="NOTE NO.9 (INCREASE) / DECREASE IN INVENTORY" xr:uid="{2FFA67CB-32AA-49E3-9002-83038E66C056}"/>
    <hyperlink ref="C924" location="'BALANCES SHEET'!C8" display="INVESTMENT PROPERTY" xr:uid="{D2325219-CE81-47DA-84AC-278AE7936381}"/>
    <hyperlink ref="C853:I853" location="'BALANCES SHEET'!C9" display="NOTE NO.38 GOODWILL" xr:uid="{43E8A2D6-7A3A-47A4-8E37-C0DC64FBDE6C}"/>
    <hyperlink ref="C989" location="'BALANCES SHEET'!C10" display="OTHER INTANGIBLE ASSETS" xr:uid="{B3CC2108-403B-48B2-8B83-4FD592D0691F}"/>
    <hyperlink ref="C230:I230" location="'BALANCES SHEET'!C12" display="NOTE NO.11 INVESTMENTS (NON-CURRENT)" xr:uid="{1C6C1B35-C107-45FF-B5F9-C43FD6B9F6B2}"/>
    <hyperlink ref="C351:I351" location="'BALANCES SHEET'!C12" display="NOTE NO.12 LOANS (NON-CURRENT)" xr:uid="{26B767C1-9936-4AA6-A244-66A1CA701A29}"/>
    <hyperlink ref="C375:I375" location="'BALANCES SHEET'!C17" display="NOTE NO 13. OTHER FINANCIAL ASSETS (NON-CURRENT)" xr:uid="{4C5F47AC-E422-4D05-9EB9-EC11D30D6653}"/>
    <hyperlink ref="C753:I753" location="'BALANCES SHEET'!C15" display="NOTE NO. 29 DEFERRED TAX ASSET/ LIABILITY" xr:uid="{008F9C9F-7F99-4067-AAC7-6CFBA8678173}"/>
    <hyperlink ref="C395:I395" location="NOTES!C17" display="NOTE NO.14 OTHER NON-CURRENT ASSETS" xr:uid="{332869D8-AB73-4E55-9D97-A2D968D0A550}"/>
    <hyperlink ref="C417:I417" location="'BALANCES SHEET'!C21" display="NOTE NO.15 INVENTORIES (LOWER OF COST AND NET REALISABLE VALUE)" xr:uid="{83AC23C4-B3B6-45E4-A1DF-EDC9F104460D}"/>
    <hyperlink ref="C427:I427" location="'BALANCES SHEET'!C21" display="NOTE NO.16 INVESTMENTS (CURRENT)" xr:uid="{87B89977-115A-4274-B44D-0316133B0EB6}"/>
    <hyperlink ref="C461:I461" location="'BALANCES SHEET'!C23" display="NOTE NO. 17 TRADE RECEIVABLES (UNSECURED)" xr:uid="{6E1D5842-6315-4D62-A0F2-FD4E0CA8E194}"/>
    <hyperlink ref="C481:I481" location="'BALANCES SHEET'!C24" display="NOTE NO. 18 CASH AND CASH EQUIVALENTS" xr:uid="{572E79DE-84A9-4E0B-8B66-753F6E39A1DC}"/>
    <hyperlink ref="C527:I527" location="'BALANCES SHEET'!C25" display="NOTE NO. 20 OTHER BANK BALANCES" xr:uid="{042D6CC2-80E0-4754-ADDB-C047D0033D1A}"/>
    <hyperlink ref="C504:I504" location="'BALANCES SHEET'!C26" display="NOTE NO. 19 LOANS (CURRENT)" xr:uid="{32FABDB5-9A64-4F5B-8483-6C783D7ABBAE}"/>
    <hyperlink ref="C535:I535" location="'BALANCES SHEET'!C27" display="NOTE NO.21 OTHER FINANCIAL ASSETS (CURRENT)" xr:uid="{A8F6B6F6-D987-48AC-8217-0743116585D4}"/>
    <hyperlink ref="C552:I552" location="'BALANCES SHEET'!C28" display="NOTE NO. 22 OTHER CURRENT ASSETS" xr:uid="{2186C6FF-FE76-4041-9321-6C0497821255}"/>
    <hyperlink ref="C571:I571" location="'BALANCES SHEET'!C34" display="NOTE NO.23 EQUITY SHARE CAPITAL" xr:uid="{81CC11EA-61F5-49B0-B1F0-F6342ED33AE5}"/>
    <hyperlink ref="C596:I596" location="'BALANCES SHEET'!C35" display="NOTE NO.24 OTHER EQUITY" xr:uid="{DFBED031-26B6-4EAB-B31D-449B218F92C5}"/>
    <hyperlink ref="C664:I664" location="'BALANCES SHEET'!C37" display="NOTE NO 25.NON-CONTROLLING INTERESTS" xr:uid="{446099CB-AC2D-45FC-AD11-52AD0D7A324D}"/>
    <hyperlink ref="C726:I726" location="'BALANCES SHEET'!C41" display="NOTE NO. 26. BORROWINGS (NON-CURRENT)" xr:uid="{D0B21F9A-BA3E-40CA-BA47-FF1207B203A0}"/>
    <hyperlink ref="C739:H739" location="'BALANCES SHEET'!C42" display="NOTE NO. 27 OTHER FINANCIAL LIABILITIES (NON-CURRENT)" xr:uid="{99FE0507-B10E-444D-96AE-37797F6971B7}"/>
    <hyperlink ref="C746:I746" location="'BALANCES SHEET'!C43" display="NOTE NO. 28.PROVISIONS (NON-CURRENT)" xr:uid="{F1546DC4-D96F-4185-83A2-6A6FAFF48632}"/>
    <hyperlink ref="C783:I783" location="'BALANCES SHEET'!C49" display="NOTE NO. 30. BORROWINGS (CURRENT)" xr:uid="{9462F80B-DF22-4F65-9C04-A8BB16EA2B27}"/>
    <hyperlink ref="C797:I797" location="'BALANCES SHEET'!C50" display="NOTE NO. 31. TRADE PAYABLES" xr:uid="{54A1D4AB-F54F-4DB0-BFCC-FB91B29F51D1}"/>
    <hyperlink ref="C802:I802" location="'BALANCES SHEET'!C51" display="NOTE NO. 32. OTHER FINANCIAL LIABILITIES (CURRENT)" xr:uid="{F412D115-AE06-42B5-B46B-366BAEEDFDC2}"/>
    <hyperlink ref="C816:I816" location="'BALANCES SHEET'!C52" display="NOTE NO. 33. OTHER CURRENT LIABILITIES" xr:uid="{CECF986D-D8E5-4EA4-A151-7219132A84A1}"/>
    <hyperlink ref="C825:I825" location="'BALANCES SHEET'!C53" display="NOTE NO 34. PROVISIONS (CURRENT)" xr:uid="{0E7656F1-D77A-453B-A167-CF65255D18F0}"/>
  </hyperlinks>
  <pageMargins left="0.7" right="0.7" top="0.75" bottom="0.75" header="0.3" footer="0.3"/>
  <pageSetup orientation="portrait" r:id="rId1"/>
  <ignoredErrors>
    <ignoredError sqref="E228:H228"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O148"/>
  <sheetViews>
    <sheetView topLeftCell="D1" workbookViewId="0">
      <pane xSplit="3" ySplit="3" topLeftCell="G4" activePane="bottomRight" state="frozen"/>
      <selection activeCell="D1" sqref="D1"/>
      <selection pane="topRight" activeCell="F1" sqref="F1"/>
      <selection pane="bottomLeft" activeCell="D4" sqref="D4"/>
      <selection pane="bottomRight" activeCell="D1" sqref="D1:E1"/>
    </sheetView>
  </sheetViews>
  <sheetFormatPr defaultColWidth="9.1796875" defaultRowHeight="14.5" x14ac:dyDescent="0.35"/>
  <cols>
    <col min="1" max="2" width="9.1796875" style="17"/>
    <col min="3" max="3" width="38.26953125" style="17" bestFit="1" customWidth="1"/>
    <col min="4" max="4" width="38.26953125" customWidth="1"/>
    <col min="5" max="5" width="59.90625" style="17" bestFit="1" customWidth="1"/>
    <col min="6" max="6" width="9.1796875" style="17"/>
    <col min="7" max="7" width="21" style="17" customWidth="1"/>
    <col min="8" max="8" width="24.1796875" style="17" customWidth="1"/>
    <col min="9" max="9" width="22.26953125" style="17" customWidth="1"/>
    <col min="10" max="10" width="27.36328125" style="17" bestFit="1" customWidth="1"/>
    <col min="11" max="15" width="11.81640625" style="17" bestFit="1" customWidth="1"/>
    <col min="16" max="16384" width="9.1796875" style="17"/>
  </cols>
  <sheetData>
    <row r="1" spans="3:15" ht="18.5" x14ac:dyDescent="0.45">
      <c r="D1" s="1148" t="s">
        <v>1206</v>
      </c>
      <c r="E1" s="1148"/>
    </row>
    <row r="2" spans="3:15" ht="15" thickBot="1" x14ac:dyDescent="0.4"/>
    <row r="3" spans="3:15" thickBot="1" x14ac:dyDescent="0.35">
      <c r="C3" s="438" t="s">
        <v>614</v>
      </c>
      <c r="D3" s="913" t="s">
        <v>614</v>
      </c>
      <c r="E3" s="439" t="s">
        <v>615</v>
      </c>
      <c r="G3" s="440">
        <v>42825</v>
      </c>
      <c r="H3" s="441">
        <v>43190</v>
      </c>
      <c r="I3" s="440">
        <v>43555</v>
      </c>
      <c r="J3" s="441">
        <v>43921</v>
      </c>
      <c r="K3" s="911">
        <v>44286</v>
      </c>
      <c r="L3" s="912">
        <v>44651</v>
      </c>
      <c r="M3" s="911">
        <v>45016</v>
      </c>
      <c r="N3" s="912">
        <v>45382</v>
      </c>
      <c r="O3" s="911">
        <v>45747</v>
      </c>
    </row>
    <row r="4" spans="3:15" ht="14" x14ac:dyDescent="0.3">
      <c r="C4" s="442"/>
      <c r="D4" s="914"/>
      <c r="E4" s="443"/>
      <c r="G4" s="444"/>
      <c r="H4" s="445"/>
      <c r="I4" s="446"/>
    </row>
    <row r="5" spans="3:15" ht="15" x14ac:dyDescent="0.3">
      <c r="C5" s="447" t="s">
        <v>601</v>
      </c>
      <c r="D5" s="915" t="s">
        <v>601</v>
      </c>
      <c r="E5" s="443"/>
      <c r="G5" s="218"/>
      <c r="H5" s="215"/>
      <c r="I5" s="220"/>
    </row>
    <row r="6" spans="3:15" ht="14" x14ac:dyDescent="0.3">
      <c r="C6" s="442"/>
      <c r="D6" s="914"/>
      <c r="E6" s="443"/>
      <c r="G6" s="218"/>
      <c r="H6" s="215"/>
      <c r="I6" s="220"/>
    </row>
    <row r="7" spans="3:15" thickBot="1" x14ac:dyDescent="0.35">
      <c r="C7" s="442" t="s">
        <v>616</v>
      </c>
      <c r="D7" s="914" t="s">
        <v>616</v>
      </c>
      <c r="E7" s="448" t="s">
        <v>617</v>
      </c>
      <c r="G7" s="449">
        <f>'INCOME STATEMENT'!I55</f>
        <v>47745</v>
      </c>
      <c r="H7" s="450">
        <f>'INCOME STATEMENT'!J55</f>
        <v>54986</v>
      </c>
      <c r="I7" s="258">
        <f>'INCOME STATEMENT'!K55</f>
        <v>51719</v>
      </c>
      <c r="J7" s="258">
        <f>'INCOME STATEMENT'!L55</f>
        <v>81248</v>
      </c>
      <c r="K7" s="258">
        <f>'INCOME STATEMENT'!M55</f>
        <v>83362.113636363632</v>
      </c>
      <c r="L7" s="258">
        <f>'INCOME STATEMENT'!N55</f>
        <v>86610.368000000002</v>
      </c>
      <c r="M7" s="258">
        <f>'INCOME STATEMENT'!O55</f>
        <v>86749.8995</v>
      </c>
      <c r="N7" s="258">
        <f>'INCOME STATEMENT'!P55</f>
        <v>86964.284287999995</v>
      </c>
      <c r="O7" s="258">
        <f>'INCOME STATEMENT'!Q55</f>
        <v>86973.493367000003</v>
      </c>
    </row>
    <row r="8" spans="3:15" thickBot="1" x14ac:dyDescent="0.35">
      <c r="C8" s="442"/>
      <c r="D8" s="914"/>
      <c r="E8" s="443" t="s">
        <v>618</v>
      </c>
      <c r="G8" s="451">
        <f>SUM('BALANCES SHEET'!D24+'BALANCES SHEET'!E24)/2</f>
        <v>10741.5</v>
      </c>
      <c r="H8" s="452">
        <f>SUM('BALANCES SHEET'!E24+'BALANCES SHEET'!F24)/2</f>
        <v>9851</v>
      </c>
      <c r="I8" s="453">
        <f>SUM('BALANCES SHEET'!F24+'BALANCES SHEET'!G24)/2</f>
        <v>13094.5</v>
      </c>
      <c r="J8" s="453">
        <f>SUM('BALANCES SHEET'!G24+'BALANCES SHEET'!H24)/2</f>
        <v>15654.5</v>
      </c>
      <c r="K8" s="453">
        <f>SUM('BALANCES SHEET'!H24+'BALANCES SHEET'!I24)/2</f>
        <v>14957.096346007958</v>
      </c>
      <c r="L8" s="453">
        <f>SUM('BALANCES SHEET'!I24+'BALANCES SHEET'!J24)/2</f>
        <v>15444.341346007957</v>
      </c>
      <c r="M8" s="453">
        <f>SUM('BALANCES SHEET'!J24+'BALANCES SHEET'!K24)/2</f>
        <v>15752.168358836525</v>
      </c>
      <c r="N8" s="453">
        <f>SUM('BALANCES SHEET'!K24+'BALANCES SHEET'!L24)/2</f>
        <v>15784.326528836526</v>
      </c>
      <c r="O8" s="453">
        <f>SUM('BALANCES SHEET'!L24+'BALANCES SHEET'!M24)/2</f>
        <v>15804.64311168321</v>
      </c>
    </row>
    <row r="9" spans="3:15" thickBot="1" x14ac:dyDescent="0.35">
      <c r="C9" s="442"/>
      <c r="D9" s="914"/>
      <c r="E9" s="443"/>
      <c r="G9" s="454">
        <f t="shared" ref="G9:I9" si="0">G7/G8</f>
        <v>4.4449099287808966</v>
      </c>
      <c r="H9" s="455">
        <f t="shared" si="0"/>
        <v>5.5817683483910265</v>
      </c>
      <c r="I9" s="456">
        <f t="shared" si="0"/>
        <v>3.949673527053343</v>
      </c>
      <c r="J9" s="456">
        <f t="shared" ref="J9:N9" si="1">J7/J8</f>
        <v>5.1900731419080772</v>
      </c>
      <c r="K9" s="456">
        <f t="shared" si="1"/>
        <v>5.5734155686316038</v>
      </c>
      <c r="L9" s="456">
        <f t="shared" si="1"/>
        <v>5.6079029891674201</v>
      </c>
      <c r="M9" s="456">
        <f t="shared" si="1"/>
        <v>5.50717193492512</v>
      </c>
      <c r="N9" s="456">
        <f t="shared" si="1"/>
        <v>5.5095340386632383</v>
      </c>
      <c r="O9" s="456">
        <f t="shared" ref="O9" si="2">O7/O8</f>
        <v>5.5030343141824503</v>
      </c>
    </row>
    <row r="10" spans="3:15" ht="14" x14ac:dyDescent="0.3">
      <c r="C10" s="442"/>
      <c r="D10" s="914"/>
      <c r="E10" s="443"/>
      <c r="G10" s="218"/>
      <c r="H10" s="215"/>
      <c r="I10" s="220"/>
    </row>
    <row r="11" spans="3:15" ht="14" x14ac:dyDescent="0.3">
      <c r="C11" s="442"/>
      <c r="D11" s="914"/>
      <c r="E11" s="443"/>
      <c r="G11" s="218"/>
      <c r="H11" s="215"/>
      <c r="I11" s="220"/>
    </row>
    <row r="12" spans="3:15" thickBot="1" x14ac:dyDescent="0.35">
      <c r="C12" s="442" t="s">
        <v>619</v>
      </c>
      <c r="D12" s="914" t="s">
        <v>619</v>
      </c>
      <c r="E12" s="448">
        <v>365</v>
      </c>
      <c r="G12" s="218">
        <v>365</v>
      </c>
      <c r="H12" s="215">
        <v>365</v>
      </c>
      <c r="I12" s="220">
        <v>365</v>
      </c>
      <c r="J12" s="220">
        <v>366</v>
      </c>
      <c r="K12" s="220">
        <v>367</v>
      </c>
      <c r="L12" s="220">
        <v>368</v>
      </c>
      <c r="M12" s="220">
        <v>369</v>
      </c>
      <c r="N12" s="220">
        <v>370</v>
      </c>
      <c r="O12" s="220">
        <v>371</v>
      </c>
    </row>
    <row r="13" spans="3:15" thickBot="1" x14ac:dyDescent="0.35">
      <c r="C13" s="442" t="s">
        <v>620</v>
      </c>
      <c r="D13" s="914" t="s">
        <v>620</v>
      </c>
      <c r="E13" s="443" t="s">
        <v>602</v>
      </c>
      <c r="G13" s="457">
        <f>G9</f>
        <v>4.4449099287808966</v>
      </c>
      <c r="H13" s="458">
        <f t="shared" ref="H13:I13" si="3">H9</f>
        <v>5.5817683483910265</v>
      </c>
      <c r="I13" s="459">
        <f t="shared" si="3"/>
        <v>3.949673527053343</v>
      </c>
      <c r="J13" s="459">
        <f t="shared" ref="J13:N13" si="4">J9</f>
        <v>5.1900731419080772</v>
      </c>
      <c r="K13" s="459">
        <f t="shared" si="4"/>
        <v>5.5734155686316038</v>
      </c>
      <c r="L13" s="459">
        <f t="shared" si="4"/>
        <v>5.6079029891674201</v>
      </c>
      <c r="M13" s="459">
        <f t="shared" si="4"/>
        <v>5.50717193492512</v>
      </c>
      <c r="N13" s="459">
        <f t="shared" si="4"/>
        <v>5.5095340386632383</v>
      </c>
      <c r="O13" s="459">
        <f t="shared" ref="O13" si="5">O9</f>
        <v>5.5030343141824503</v>
      </c>
    </row>
    <row r="14" spans="3:15" thickBot="1" x14ac:dyDescent="0.35">
      <c r="C14" s="442"/>
      <c r="D14" s="914"/>
      <c r="E14" s="443"/>
      <c r="G14" s="316">
        <f t="shared" ref="G14:I14" si="6">G12/G13</f>
        <v>82.116399622997164</v>
      </c>
      <c r="H14" s="460">
        <f t="shared" si="6"/>
        <v>65.391463281562579</v>
      </c>
      <c r="I14" s="214">
        <f t="shared" si="6"/>
        <v>92.412701328331949</v>
      </c>
      <c r="J14" s="214">
        <f t="shared" ref="J14:N14" si="7">J12/J13</f>
        <v>70.519237396612837</v>
      </c>
      <c r="K14" s="214">
        <f t="shared" si="7"/>
        <v>65.848310695788754</v>
      </c>
      <c r="L14" s="214">
        <f t="shared" si="7"/>
        <v>65.621677249205646</v>
      </c>
      <c r="M14" s="214">
        <f t="shared" si="7"/>
        <v>67.003537271079807</v>
      </c>
      <c r="N14" s="214">
        <f t="shared" si="7"/>
        <v>67.156314382218056</v>
      </c>
      <c r="O14" s="214">
        <f t="shared" ref="O14" si="8">O12/O13</f>
        <v>67.417351740630934</v>
      </c>
    </row>
    <row r="15" spans="3:15" ht="14" x14ac:dyDescent="0.3">
      <c r="C15" s="442"/>
      <c r="D15" s="914"/>
      <c r="E15" s="443"/>
      <c r="G15" s="218"/>
      <c r="H15" s="215"/>
      <c r="I15" s="220"/>
    </row>
    <row r="16" spans="3:15" ht="14" x14ac:dyDescent="0.3">
      <c r="C16" s="442"/>
      <c r="D16" s="914"/>
      <c r="E16" s="443"/>
      <c r="G16" s="218"/>
      <c r="H16" s="215"/>
      <c r="I16" s="220"/>
    </row>
    <row r="17" spans="3:15" thickBot="1" x14ac:dyDescent="0.35">
      <c r="C17" s="442" t="s">
        <v>621</v>
      </c>
      <c r="D17" s="914" t="s">
        <v>621</v>
      </c>
      <c r="E17" s="448" t="s">
        <v>622</v>
      </c>
      <c r="G17" s="218">
        <f>ANALYTICAL!E8</f>
        <v>28284</v>
      </c>
      <c r="H17" s="215">
        <f>ANALYTICAL!F8</f>
        <v>35751</v>
      </c>
      <c r="I17" s="220">
        <f>ANALYTICAL!G8</f>
        <v>28599</v>
      </c>
      <c r="J17" s="220">
        <f>ANALYTICAL!H8</f>
        <v>47516</v>
      </c>
      <c r="K17" s="220">
        <f>ANALYTICAL!I8</f>
        <v>48161.729064978441</v>
      </c>
      <c r="L17" s="220">
        <f>ANALYTICAL!J8</f>
        <v>53275.482000000004</v>
      </c>
      <c r="M17" s="220">
        <f>ANALYTICAL!K8</f>
        <v>49977.612724537845</v>
      </c>
      <c r="N17" s="220">
        <f>ANALYTICAL!L8</f>
        <v>50140.415437482123</v>
      </c>
      <c r="O17" s="220">
        <f>ANALYTICAL!M8</f>
        <v>50013.456991693449</v>
      </c>
    </row>
    <row r="18" spans="3:15" thickBot="1" x14ac:dyDescent="0.35">
      <c r="C18" s="442"/>
      <c r="D18" s="914"/>
      <c r="E18" s="443" t="s">
        <v>623</v>
      </c>
      <c r="G18" s="451">
        <f>SUM('BALANCES SHEET'!D21+'BALANCES SHEET'!E21)/2</f>
        <v>67033.5</v>
      </c>
      <c r="H18" s="452">
        <f>SUM('BALANCES SHEET'!E21+'BALANCES SHEET'!F21)/2</f>
        <v>62023</v>
      </c>
      <c r="I18" s="453">
        <f>SUM('BALANCES SHEET'!F21+'BALANCES SHEET'!G21)/2</f>
        <v>94314</v>
      </c>
      <c r="J18" s="453">
        <f>SUM('BALANCES SHEET'!G21+'BALANCES SHEET'!H21)/2</f>
        <v>122625.5</v>
      </c>
      <c r="K18" s="453">
        <f>SUM('BALANCES SHEET'!H21+'BALANCES SHEET'!I21)/2</f>
        <v>115229.91597415545</v>
      </c>
      <c r="L18" s="453">
        <f>SUM('BALANCES SHEET'!I21+'BALANCES SHEET'!J21)/2</f>
        <v>118983.66597415545</v>
      </c>
      <c r="M18" s="453">
        <f>SUM('BALANCES SHEET'!J21+'BALANCES SHEET'!K21)/2</f>
        <v>121355.17445429426</v>
      </c>
      <c r="N18" s="453">
        <f>SUM('BALANCES SHEET'!K21+'BALANCES SHEET'!L21)/2</f>
        <v>121602.92195429426</v>
      </c>
      <c r="O18" s="453">
        <f>SUM('BALANCES SHEET'!L21+'BALANCES SHEET'!M21)/2</f>
        <v>121759.44151398342</v>
      </c>
    </row>
    <row r="19" spans="3:15" thickBot="1" x14ac:dyDescent="0.35">
      <c r="C19" s="442"/>
      <c r="D19" s="914"/>
      <c r="E19" s="443"/>
      <c r="G19" s="454">
        <f>G17/G18</f>
        <v>0.42193828458904875</v>
      </c>
      <c r="H19" s="455">
        <f t="shared" ref="H19:I19" si="9">H17/H18</f>
        <v>0.57641520081260178</v>
      </c>
      <c r="I19" s="456">
        <f t="shared" si="9"/>
        <v>0.30323175774540367</v>
      </c>
      <c r="J19" s="456">
        <f t="shared" ref="J19:N19" si="10">J17/J18</f>
        <v>0.38748873602961864</v>
      </c>
      <c r="K19" s="456">
        <f t="shared" si="10"/>
        <v>0.41796202538046179</v>
      </c>
      <c r="L19" s="456">
        <f t="shared" si="10"/>
        <v>0.44775458516778277</v>
      </c>
      <c r="M19" s="456">
        <f t="shared" si="10"/>
        <v>0.41182926850276835</v>
      </c>
      <c r="N19" s="456">
        <f t="shared" si="10"/>
        <v>0.41232903479348898</v>
      </c>
      <c r="O19" s="456">
        <f t="shared" ref="O19" si="11">O17/O18</f>
        <v>0.41075629429484262</v>
      </c>
    </row>
    <row r="20" spans="3:15" ht="14" x14ac:dyDescent="0.3">
      <c r="C20" s="442"/>
      <c r="D20" s="914"/>
      <c r="E20" s="443"/>
      <c r="G20" s="218"/>
      <c r="H20" s="215"/>
      <c r="I20" s="220"/>
      <c r="J20" s="220"/>
      <c r="K20" s="220"/>
      <c r="L20" s="220"/>
      <c r="M20" s="220"/>
      <c r="N20" s="220"/>
      <c r="O20" s="220"/>
    </row>
    <row r="21" spans="3:15" thickBot="1" x14ac:dyDescent="0.35">
      <c r="C21" s="442" t="s">
        <v>624</v>
      </c>
      <c r="D21" s="914" t="s">
        <v>624</v>
      </c>
      <c r="E21" s="448">
        <v>365</v>
      </c>
      <c r="G21" s="218">
        <v>365</v>
      </c>
      <c r="H21" s="215">
        <v>365</v>
      </c>
      <c r="I21" s="220">
        <v>365</v>
      </c>
      <c r="J21" s="220">
        <v>366</v>
      </c>
      <c r="K21" s="220">
        <v>367</v>
      </c>
      <c r="L21" s="220">
        <v>368</v>
      </c>
      <c r="M21" s="220">
        <v>369</v>
      </c>
      <c r="N21" s="220">
        <v>370</v>
      </c>
      <c r="O21" s="220">
        <v>371</v>
      </c>
    </row>
    <row r="22" spans="3:15" thickBot="1" x14ac:dyDescent="0.35">
      <c r="C22" s="442"/>
      <c r="D22" s="914"/>
      <c r="E22" s="443" t="s">
        <v>625</v>
      </c>
      <c r="G22" s="457">
        <f t="shared" ref="G22:I22" si="12">G19</f>
        <v>0.42193828458904875</v>
      </c>
      <c r="H22" s="458">
        <f t="shared" si="12"/>
        <v>0.57641520081260178</v>
      </c>
      <c r="I22" s="459">
        <f t="shared" si="12"/>
        <v>0.30323175774540367</v>
      </c>
      <c r="J22" s="459">
        <f t="shared" ref="J22:N22" si="13">J19</f>
        <v>0.38748873602961864</v>
      </c>
      <c r="K22" s="459">
        <f t="shared" si="13"/>
        <v>0.41796202538046179</v>
      </c>
      <c r="L22" s="459">
        <f t="shared" si="13"/>
        <v>0.44775458516778277</v>
      </c>
      <c r="M22" s="459">
        <f t="shared" si="13"/>
        <v>0.41182926850276835</v>
      </c>
      <c r="N22" s="459">
        <f t="shared" si="13"/>
        <v>0.41232903479348898</v>
      </c>
      <c r="O22" s="459">
        <f t="shared" ref="O22" si="14">O19</f>
        <v>0.41075629429484262</v>
      </c>
    </row>
    <row r="23" spans="3:15" thickBot="1" x14ac:dyDescent="0.35">
      <c r="C23" s="442"/>
      <c r="D23" s="914"/>
      <c r="E23" s="443"/>
      <c r="G23" s="454">
        <f>G21/G22</f>
        <v>865.0554200254561</v>
      </c>
      <c r="H23" s="455">
        <f t="shared" ref="H23:I23" si="15">H21/H22</f>
        <v>633.2241056194232</v>
      </c>
      <c r="I23" s="456">
        <f t="shared" si="15"/>
        <v>1203.6997797125773</v>
      </c>
      <c r="J23" s="456">
        <f t="shared" ref="J23:N23" si="16">J21/J22</f>
        <v>944.54358531862954</v>
      </c>
      <c r="K23" s="456">
        <f t="shared" si="16"/>
        <v>878.07020187043986</v>
      </c>
      <c r="L23" s="456">
        <f t="shared" si="16"/>
        <v>821.87879742672624</v>
      </c>
      <c r="M23" s="456">
        <f t="shared" si="16"/>
        <v>896.00236850946294</v>
      </c>
      <c r="N23" s="456">
        <f t="shared" si="16"/>
        <v>897.34161016652865</v>
      </c>
      <c r="O23" s="456">
        <f t="shared" ref="O23" si="17">O21/O22</f>
        <v>903.21196571535586</v>
      </c>
    </row>
    <row r="24" spans="3:15" ht="14" x14ac:dyDescent="0.3">
      <c r="C24" s="442"/>
      <c r="D24" s="914"/>
      <c r="E24" s="443"/>
      <c r="G24" s="218"/>
      <c r="H24" s="215"/>
      <c r="I24" s="220"/>
      <c r="J24" s="220"/>
      <c r="K24" s="220"/>
      <c r="L24" s="220"/>
      <c r="M24" s="220"/>
      <c r="N24" s="220"/>
      <c r="O24" s="220"/>
    </row>
    <row r="25" spans="3:15" ht="14" x14ac:dyDescent="0.3">
      <c r="C25" s="442"/>
      <c r="D25" s="914"/>
      <c r="E25" s="443"/>
      <c r="G25" s="218"/>
      <c r="H25" s="215"/>
      <c r="I25" s="220"/>
      <c r="J25" s="220"/>
      <c r="K25" s="220"/>
      <c r="L25" s="220"/>
      <c r="M25" s="220"/>
      <c r="N25" s="220"/>
      <c r="O25" s="220"/>
    </row>
    <row r="26" spans="3:15" x14ac:dyDescent="0.3">
      <c r="C26" s="442" t="s">
        <v>626</v>
      </c>
      <c r="D26" s="914" t="s">
        <v>626</v>
      </c>
      <c r="E26" s="16" t="s">
        <v>627</v>
      </c>
      <c r="G26" s="461">
        <f>ANALYTICAL!E8+'BALANCES SHEET'!E21-'BALANCES SHEET'!D21</f>
        <v>28055</v>
      </c>
      <c r="H26" s="461">
        <f>ANALYTICAL!F8+'BALANCES SHEET'!F21-'BALANCES SHEET'!E21</f>
        <v>25959</v>
      </c>
      <c r="I26" s="461">
        <f>ANALYTICAL!G8+'BALANCES SHEET'!G21-'BALANCES SHEET'!F21</f>
        <v>102973</v>
      </c>
      <c r="J26" s="461">
        <f>ANALYTICAL!H8+'BALANCES SHEET'!H21-'BALANCES SHEET'!G21</f>
        <v>29765</v>
      </c>
      <c r="K26" s="461">
        <f>ANALYTICAL!I8+'BALANCES SHEET'!I21-'BALANCES SHEET'!H21</f>
        <v>51121.56101328932</v>
      </c>
      <c r="L26" s="461">
        <f>ANALYTICAL!J8+'BALANCES SHEET'!J21-'BALANCES SHEET'!I21</f>
        <v>57823.150051689125</v>
      </c>
      <c r="M26" s="461">
        <f>ANALYTICAL!K8+'BALANCES SHEET'!K21-'BALANCES SHEET'!J21</f>
        <v>50172.961633126368</v>
      </c>
      <c r="N26" s="461">
        <f>ANALYTICAL!L8+'BALANCES SHEET'!L21-'BALANCES SHEET'!K21</f>
        <v>50440.561528893595</v>
      </c>
      <c r="O26" s="461">
        <f>ANALYTICAL!M8+'BALANCES SHEET'!M21-'BALANCES SHEET'!L21</f>
        <v>50026.350019660313</v>
      </c>
    </row>
    <row r="27" spans="3:15" thickBot="1" x14ac:dyDescent="0.35">
      <c r="C27" s="442"/>
      <c r="D27" s="914"/>
      <c r="E27" s="443" t="s">
        <v>628</v>
      </c>
      <c r="G27" s="451">
        <f>SUM('BALANCES SHEET'!D50+'BALANCES SHEET'!E50)/2</f>
        <v>9178</v>
      </c>
      <c r="H27" s="452">
        <f>SUM('BALANCES SHEET'!E50+'BALANCES SHEET'!F50)/2</f>
        <v>11386</v>
      </c>
      <c r="I27" s="453">
        <f>SUM('BALANCES SHEET'!F50+'BALANCES SHEET'!G50)/2</f>
        <v>13036</v>
      </c>
      <c r="J27" s="453">
        <f>SUM('BALANCES SHEET'!G50+'BALANCES SHEET'!H50)/2</f>
        <v>12389.5</v>
      </c>
      <c r="K27" s="453">
        <f>SUM('BALANCES SHEET'!H50+'BALANCES SHEET'!I50)/2</f>
        <v>12408.362556197188</v>
      </c>
      <c r="L27" s="453">
        <f>SUM('BALANCES SHEET'!I50+'BALANCES SHEET'!J50)/2</f>
        <v>12812.579556197188</v>
      </c>
      <c r="M27" s="453">
        <f>SUM('BALANCES SHEET'!J50+'BALANCES SHEET'!K50)/2</f>
        <v>13067.951928709015</v>
      </c>
      <c r="N27" s="453">
        <f>SUM('BALANCES SHEET'!K50+'BALANCES SHEET'!L50)/2</f>
        <v>13094.630250709015</v>
      </c>
      <c r="O27" s="453">
        <f>SUM('BALANCES SHEET'!L50+'BALANCES SHEET'!M50)/2</f>
        <v>13111.484827294797</v>
      </c>
    </row>
    <row r="28" spans="3:15" thickBot="1" x14ac:dyDescent="0.35">
      <c r="C28" s="442"/>
      <c r="D28" s="914"/>
      <c r="E28" s="443"/>
      <c r="G28" s="454">
        <f>G26/G27</f>
        <v>3.0567661799956416</v>
      </c>
      <c r="H28" s="455">
        <f t="shared" ref="H28:I28" si="18">H26/H27</f>
        <v>2.2799051466713509</v>
      </c>
      <c r="I28" s="456">
        <f t="shared" si="18"/>
        <v>7.8991254986192088</v>
      </c>
      <c r="J28" s="456">
        <f t="shared" ref="J28:N28" si="19">J26/J27</f>
        <v>2.4024375479236451</v>
      </c>
      <c r="K28" s="456">
        <f t="shared" si="19"/>
        <v>4.1199280551129087</v>
      </c>
      <c r="L28" s="456">
        <f t="shared" si="19"/>
        <v>4.5129983230988975</v>
      </c>
      <c r="M28" s="456">
        <f t="shared" si="19"/>
        <v>3.8393898222797458</v>
      </c>
      <c r="N28" s="456">
        <f t="shared" si="19"/>
        <v>3.8520034978584041</v>
      </c>
      <c r="O28" s="456">
        <f t="shared" ref="O28" si="20">O26/O27</f>
        <v>3.815460314267237</v>
      </c>
    </row>
    <row r="29" spans="3:15" ht="14" x14ac:dyDescent="0.3">
      <c r="C29" s="442"/>
      <c r="D29" s="914"/>
      <c r="E29" s="443"/>
      <c r="G29" s="218"/>
      <c r="H29" s="215"/>
      <c r="I29" s="220"/>
      <c r="J29" s="220"/>
      <c r="K29" s="220"/>
      <c r="L29" s="220"/>
      <c r="M29" s="220"/>
      <c r="N29" s="220"/>
      <c r="O29" s="220"/>
    </row>
    <row r="30" spans="3:15" thickBot="1" x14ac:dyDescent="0.35">
      <c r="C30" s="442" t="s">
        <v>629</v>
      </c>
      <c r="D30" s="914" t="s">
        <v>629</v>
      </c>
      <c r="E30" s="448">
        <v>365</v>
      </c>
      <c r="G30" s="218">
        <v>365</v>
      </c>
      <c r="H30" s="215">
        <v>365</v>
      </c>
      <c r="I30" s="220">
        <v>365</v>
      </c>
      <c r="J30" s="220">
        <v>366</v>
      </c>
      <c r="K30" s="220">
        <v>367</v>
      </c>
      <c r="L30" s="220">
        <v>368</v>
      </c>
      <c r="M30" s="220">
        <v>369</v>
      </c>
      <c r="N30" s="220">
        <v>370</v>
      </c>
      <c r="O30" s="220">
        <v>371</v>
      </c>
    </row>
    <row r="31" spans="3:15" thickBot="1" x14ac:dyDescent="0.35">
      <c r="C31" s="442"/>
      <c r="D31" s="914"/>
      <c r="E31" s="443" t="s">
        <v>630</v>
      </c>
      <c r="G31" s="457">
        <f t="shared" ref="G31:I31" si="21">G28</f>
        <v>3.0567661799956416</v>
      </c>
      <c r="H31" s="458">
        <f t="shared" si="21"/>
        <v>2.2799051466713509</v>
      </c>
      <c r="I31" s="459">
        <f t="shared" si="21"/>
        <v>7.8991254986192088</v>
      </c>
      <c r="J31" s="459">
        <f t="shared" ref="J31:N31" si="22">J28</f>
        <v>2.4024375479236451</v>
      </c>
      <c r="K31" s="459">
        <f t="shared" si="22"/>
        <v>4.1199280551129087</v>
      </c>
      <c r="L31" s="459">
        <f t="shared" si="22"/>
        <v>4.5129983230988975</v>
      </c>
      <c r="M31" s="459">
        <f t="shared" si="22"/>
        <v>3.8393898222797458</v>
      </c>
      <c r="N31" s="459">
        <f t="shared" si="22"/>
        <v>3.8520034978584041</v>
      </c>
      <c r="O31" s="459">
        <f t="shared" ref="O31" si="23">O28</f>
        <v>3.815460314267237</v>
      </c>
    </row>
    <row r="32" spans="3:15" thickBot="1" x14ac:dyDescent="0.35">
      <c r="C32" s="442"/>
      <c r="D32" s="914"/>
      <c r="E32" s="443"/>
      <c r="G32" s="454">
        <f>G30/G31</f>
        <v>119.40723578684727</v>
      </c>
      <c r="H32" s="455">
        <f t="shared" ref="H32:I32" si="24">H30/H31</f>
        <v>160.09437959859778</v>
      </c>
      <c r="I32" s="456">
        <f t="shared" si="24"/>
        <v>46.207646664659663</v>
      </c>
      <c r="J32" s="456">
        <f t="shared" ref="J32:N32" si="25">J30/J31</f>
        <v>152.34527129178565</v>
      </c>
      <c r="K32" s="456">
        <f t="shared" si="25"/>
        <v>89.079225435634982</v>
      </c>
      <c r="L32" s="456">
        <f t="shared" si="25"/>
        <v>81.542241688073346</v>
      </c>
      <c r="M32" s="456">
        <f t="shared" si="25"/>
        <v>96.109021766613907</v>
      </c>
      <c r="N32" s="456">
        <f t="shared" si="25"/>
        <v>96.053910700161268</v>
      </c>
      <c r="O32" s="456">
        <f t="shared" ref="O32" si="26">O30/O31</f>
        <v>97.235974021984006</v>
      </c>
    </row>
    <row r="33" spans="3:15" ht="14" x14ac:dyDescent="0.3">
      <c r="C33" s="442"/>
      <c r="D33" s="914"/>
      <c r="E33" s="443"/>
      <c r="G33" s="218"/>
      <c r="H33" s="215"/>
      <c r="I33" s="220"/>
      <c r="J33" s="220"/>
      <c r="K33" s="220"/>
      <c r="L33" s="220"/>
      <c r="M33" s="220"/>
      <c r="N33" s="220"/>
      <c r="O33" s="220"/>
    </row>
    <row r="34" spans="3:15" ht="14" x14ac:dyDescent="0.3">
      <c r="C34" s="442"/>
      <c r="D34" s="914"/>
      <c r="E34" s="443"/>
      <c r="G34" s="218"/>
      <c r="H34" s="215"/>
      <c r="I34" s="220"/>
      <c r="J34" s="220"/>
      <c r="K34" s="220"/>
      <c r="L34" s="220"/>
      <c r="M34" s="220"/>
      <c r="N34" s="220"/>
      <c r="O34" s="220"/>
    </row>
    <row r="35" spans="3:15" thickBot="1" x14ac:dyDescent="0.35">
      <c r="C35" s="442" t="s">
        <v>631</v>
      </c>
      <c r="D35" s="914" t="s">
        <v>631</v>
      </c>
      <c r="E35" s="448" t="s">
        <v>464</v>
      </c>
      <c r="G35" s="218">
        <f>ANALYTICAL!E7</f>
        <v>47745</v>
      </c>
      <c r="H35" s="215">
        <f>ANALYTICAL!F7</f>
        <v>54986</v>
      </c>
      <c r="I35" s="220">
        <f>ANALYTICAL!G7</f>
        <v>51719</v>
      </c>
      <c r="J35" s="220">
        <f>ANALYTICAL!H7</f>
        <v>81248</v>
      </c>
      <c r="K35" s="220">
        <f>ANALYTICAL!I7</f>
        <v>83362.113636363632</v>
      </c>
      <c r="L35" s="220">
        <f>ANALYTICAL!J7</f>
        <v>86610.368000000002</v>
      </c>
      <c r="M35" s="220">
        <f>ANALYTICAL!K7</f>
        <v>86749.8995</v>
      </c>
      <c r="N35" s="220">
        <f>ANALYTICAL!L7</f>
        <v>86964.284287999995</v>
      </c>
      <c r="O35" s="220">
        <f>ANALYTICAL!M7</f>
        <v>86973.493367000003</v>
      </c>
    </row>
    <row r="36" spans="3:15" thickBot="1" x14ac:dyDescent="0.35">
      <c r="C36" s="442"/>
      <c r="D36" s="914"/>
      <c r="E36" s="443" t="s">
        <v>632</v>
      </c>
      <c r="G36" s="451">
        <f>('BALANCES SHEET'!D62+'BALANCES SHEET'!E62)/2</f>
        <v>101100</v>
      </c>
      <c r="H36" s="451">
        <f>('BALANCES SHEET'!E62+'BALANCES SHEET'!F62)/2</f>
        <v>102240</v>
      </c>
      <c r="I36" s="451">
        <f>('BALANCES SHEET'!F62+'BALANCES SHEET'!G62)/2</f>
        <v>150229.5</v>
      </c>
      <c r="J36" s="451">
        <f>('BALANCES SHEET'!G62+'BALANCES SHEET'!H62)/2</f>
        <v>189742.5</v>
      </c>
      <c r="K36" s="451">
        <f>('BALANCES SHEET'!H62+'BALANCES SHEET'!I62)/2</f>
        <v>185060.14725874673</v>
      </c>
      <c r="L36" s="451">
        <f>('BALANCES SHEET'!I62+'BALANCES SHEET'!J62)/2</f>
        <v>186915.83562500696</v>
      </c>
      <c r="M36" s="451">
        <f>('BALANCES SHEET'!J62+'BALANCES SHEET'!K62)/2</f>
        <v>194337.39311626877</v>
      </c>
      <c r="N36" s="451">
        <f>('BALANCES SHEET'!K62+'BALANCES SHEET'!L62)/2</f>
        <v>208375.86760823848</v>
      </c>
      <c r="O36" s="451">
        <f>('BALANCES SHEET'!L62+'BALANCES SHEET'!M62)/2</f>
        <v>211373.97582914738</v>
      </c>
    </row>
    <row r="37" spans="3:15" thickBot="1" x14ac:dyDescent="0.35">
      <c r="C37" s="442"/>
      <c r="D37" s="914"/>
      <c r="E37" s="443"/>
      <c r="G37" s="454">
        <f t="shared" ref="G37:I37" si="27">G35/G36</f>
        <v>0.47225519287833828</v>
      </c>
      <c r="H37" s="455">
        <f t="shared" si="27"/>
        <v>0.53781298904538344</v>
      </c>
      <c r="I37" s="456">
        <f t="shared" si="27"/>
        <v>0.34426660542702997</v>
      </c>
      <c r="J37" s="456">
        <f t="shared" ref="J37" si="28">J35/J36</f>
        <v>0.42820137818359094</v>
      </c>
      <c r="K37" s="456">
        <f t="shared" ref="K37:N37" si="29">K35/K36</f>
        <v>0.45045956609884619</v>
      </c>
      <c r="L37" s="456">
        <f t="shared" si="29"/>
        <v>0.46336559826722695</v>
      </c>
      <c r="M37" s="456">
        <f t="shared" si="29"/>
        <v>0.44638809911430172</v>
      </c>
      <c r="N37" s="456">
        <f t="shared" si="29"/>
        <v>0.41734335787625398</v>
      </c>
      <c r="O37" s="456">
        <f t="shared" ref="O37" si="30">O35/O36</f>
        <v>0.41146736737970185</v>
      </c>
    </row>
    <row r="38" spans="3:15" ht="14" x14ac:dyDescent="0.3">
      <c r="C38" s="442"/>
      <c r="D38" s="914"/>
      <c r="E38" s="443"/>
      <c r="G38" s="218"/>
      <c r="H38" s="215"/>
      <c r="I38" s="220"/>
      <c r="J38" s="220"/>
      <c r="K38" s="220"/>
      <c r="L38" s="220"/>
      <c r="M38" s="220"/>
      <c r="N38" s="220"/>
      <c r="O38" s="220"/>
    </row>
    <row r="39" spans="3:15" thickBot="1" x14ac:dyDescent="0.35">
      <c r="C39" s="442" t="s">
        <v>633</v>
      </c>
      <c r="D39" s="914" t="s">
        <v>633</v>
      </c>
      <c r="E39" s="448" t="s">
        <v>464</v>
      </c>
      <c r="G39" s="218">
        <f>ANALYTICAL!E7</f>
        <v>47745</v>
      </c>
      <c r="H39" s="215">
        <f>ANALYTICAL!F7</f>
        <v>54986</v>
      </c>
      <c r="I39" s="220">
        <f>ANALYTICAL!G7</f>
        <v>51719</v>
      </c>
      <c r="J39" s="220">
        <f>ANALYTICAL!H7</f>
        <v>81248</v>
      </c>
      <c r="K39" s="220">
        <f>ANALYTICAL!I7</f>
        <v>83362.113636363632</v>
      </c>
      <c r="L39" s="220">
        <f>ANALYTICAL!J7</f>
        <v>86610.368000000002</v>
      </c>
      <c r="M39" s="220">
        <f>ANALYTICAL!K7</f>
        <v>86749.8995</v>
      </c>
      <c r="N39" s="220">
        <f>ANALYTICAL!L7</f>
        <v>86964.284287999995</v>
      </c>
      <c r="O39" s="220">
        <f>ANALYTICAL!M7</f>
        <v>86973.493367000003</v>
      </c>
    </row>
    <row r="40" spans="3:15" thickBot="1" x14ac:dyDescent="0.35">
      <c r="C40" s="442"/>
      <c r="D40" s="914"/>
      <c r="E40" s="462" t="s">
        <v>634</v>
      </c>
      <c r="G40" s="451">
        <f>SUM('BALANCES SHEET'!D6+'BALANCES SHEET'!E6)/2</f>
        <v>6142.5</v>
      </c>
      <c r="H40" s="451">
        <f>SUM('BALANCES SHEET'!E6+'BALANCES SHEET'!F6)/2</f>
        <v>9411.5</v>
      </c>
      <c r="I40" s="451">
        <f>SUM('BALANCES SHEET'!F6+'BALANCES SHEET'!G6)/2</f>
        <v>16293.5</v>
      </c>
      <c r="J40" s="451">
        <f>SUM('BALANCES SHEET'!G6+'BALANCES SHEET'!H6)/2</f>
        <v>21301.5</v>
      </c>
      <c r="K40" s="451">
        <f>SUM('BALANCES SHEET'!H6+'BALANCES SHEET'!I6)/2</f>
        <v>23058.139317834957</v>
      </c>
      <c r="L40" s="451">
        <f>SUM('BALANCES SHEET'!I6+'BALANCES SHEET'!J6)/2</f>
        <v>23809.285317834958</v>
      </c>
      <c r="M40" s="451">
        <f>SUM('BALANCES SHEET'!J6+'BALANCES SHEET'!K6)/2</f>
        <v>24283.83719497711</v>
      </c>
      <c r="N40" s="451">
        <f>SUM('BALANCES SHEET'!K6+'BALANCES SHEET'!L6)/2</f>
        <v>24333.412830977108</v>
      </c>
      <c r="O40" s="451">
        <f>SUM('BALANCES SHEET'!L6+'BALANCES SHEET'!M6)/2</f>
        <v>24364.73325486849</v>
      </c>
    </row>
    <row r="41" spans="3:15" thickBot="1" x14ac:dyDescent="0.35">
      <c r="C41" s="442"/>
      <c r="D41" s="914"/>
      <c r="E41" s="443"/>
      <c r="G41" s="454">
        <f t="shared" ref="G41:I41" si="31">G39/G40</f>
        <v>7.7728937728937728</v>
      </c>
      <c r="H41" s="455">
        <f t="shared" si="31"/>
        <v>5.8424268182542631</v>
      </c>
      <c r="I41" s="456">
        <f t="shared" si="31"/>
        <v>3.1742105747690799</v>
      </c>
      <c r="J41" s="456">
        <f t="shared" ref="J41" si="32">J39/J40</f>
        <v>3.8141914888622868</v>
      </c>
      <c r="K41" s="456">
        <f t="shared" ref="K41:N41" si="33">K39/K40</f>
        <v>3.6153009784221788</v>
      </c>
      <c r="L41" s="456">
        <f t="shared" si="33"/>
        <v>3.6376718932895593</v>
      </c>
      <c r="M41" s="456">
        <f t="shared" si="33"/>
        <v>3.5723307977844385</v>
      </c>
      <c r="N41" s="456">
        <f t="shared" si="33"/>
        <v>3.5738630208620821</v>
      </c>
      <c r="O41" s="456">
        <f t="shared" ref="O41" si="34">O39/O40</f>
        <v>3.5696468521616675</v>
      </c>
    </row>
    <row r="42" spans="3:15" ht="14" x14ac:dyDescent="0.3">
      <c r="C42" s="442"/>
      <c r="D42" s="914"/>
      <c r="E42" s="443"/>
      <c r="G42" s="218"/>
      <c r="H42" s="215"/>
      <c r="I42" s="220"/>
      <c r="J42" s="220"/>
      <c r="K42" s="220"/>
      <c r="L42" s="220"/>
      <c r="M42" s="220"/>
      <c r="N42" s="220"/>
      <c r="O42" s="220"/>
    </row>
    <row r="43" spans="3:15" ht="14" x14ac:dyDescent="0.3">
      <c r="C43" s="442"/>
      <c r="D43" s="914"/>
      <c r="E43" s="443"/>
      <c r="G43" s="218"/>
      <c r="H43" s="215"/>
      <c r="I43" s="220"/>
      <c r="J43" s="220"/>
      <c r="K43" s="220"/>
      <c r="L43" s="220"/>
      <c r="M43" s="220"/>
      <c r="N43" s="220"/>
      <c r="O43" s="220"/>
    </row>
    <row r="44" spans="3:15" thickBot="1" x14ac:dyDescent="0.35">
      <c r="C44" s="442" t="s">
        <v>635</v>
      </c>
      <c r="D44" s="914" t="s">
        <v>635</v>
      </c>
      <c r="E44" s="448" t="s">
        <v>464</v>
      </c>
      <c r="G44" s="218">
        <f>ANALYTICAL!E7</f>
        <v>47745</v>
      </c>
      <c r="H44" s="215">
        <f>ANALYTICAL!F7</f>
        <v>54986</v>
      </c>
      <c r="I44" s="220">
        <f>ANALYTICAL!G7</f>
        <v>51719</v>
      </c>
      <c r="J44" s="220">
        <f>ANALYTICAL!H7</f>
        <v>81248</v>
      </c>
      <c r="K44" s="220">
        <f>ANALYTICAL!I7</f>
        <v>83362.113636363632</v>
      </c>
      <c r="L44" s="220">
        <f>ANALYTICAL!J7</f>
        <v>86610.368000000002</v>
      </c>
      <c r="M44" s="220">
        <f>ANALYTICAL!K7</f>
        <v>86749.8995</v>
      </c>
      <c r="N44" s="220">
        <f>ANALYTICAL!L7</f>
        <v>86964.284287999995</v>
      </c>
      <c r="O44" s="220">
        <f>ANALYTICAL!M7</f>
        <v>86973.493367000003</v>
      </c>
    </row>
    <row r="45" spans="3:15" thickBot="1" x14ac:dyDescent="0.35">
      <c r="C45" s="442"/>
      <c r="D45" s="914"/>
      <c r="E45" s="443" t="s">
        <v>636</v>
      </c>
      <c r="G45" s="463">
        <f>SUM('BALANCES SHEET'!D30:E30)-SUM('BALANCES SHEET'!D55:E55)/2</f>
        <v>109916</v>
      </c>
      <c r="H45" s="463">
        <f>SUM('BALANCES SHEET'!E30:F30)-SUM('BALANCES SHEET'!E55:F55)/2</f>
        <v>95496.5</v>
      </c>
      <c r="I45" s="463">
        <f>SUM('BALANCES SHEET'!F30:G30)-SUM('BALANCES SHEET'!F55:G55)/2</f>
        <v>117462</v>
      </c>
      <c r="J45" s="463">
        <f>SUM('BALANCES SHEET'!G30:H30)-SUM('BALANCES SHEET'!G55:H55)/2</f>
        <v>142466</v>
      </c>
      <c r="K45" s="463">
        <f>SUM('BALANCES SHEET'!H30:I30)-SUM('BALANCES SHEET'!H55:I55)/2</f>
        <v>135486.93098893823</v>
      </c>
      <c r="L45" s="463">
        <f>SUM('BALANCES SHEET'!I30:J30)-SUM('BALANCES SHEET'!I55:J55)/2</f>
        <v>133201.73843032768</v>
      </c>
      <c r="M45" s="463">
        <f>SUM('BALANCES SHEET'!J30:K30)-SUM('BALANCES SHEET'!J55:K55)/2</f>
        <v>144919.09130107414</v>
      </c>
      <c r="N45" s="463">
        <f>SUM('BALANCES SHEET'!K30:L30)-SUM('BALANCES SHEET'!K55:L55)/2</f>
        <v>170417.12535351407</v>
      </c>
      <c r="O45" s="463">
        <f>SUM('BALANCES SHEET'!L30:M30)-SUM('BALANCES SHEET'!L55:M55)/2</f>
        <v>176070.2516741883</v>
      </c>
    </row>
    <row r="46" spans="3:15" thickBot="1" x14ac:dyDescent="0.35">
      <c r="C46" s="442"/>
      <c r="D46" s="914"/>
      <c r="E46" s="443"/>
      <c r="G46" s="454">
        <f t="shared" ref="G46:I46" si="35">G44/G45</f>
        <v>0.43437716074092941</v>
      </c>
      <c r="H46" s="455">
        <f t="shared" si="35"/>
        <v>0.57579073578612827</v>
      </c>
      <c r="I46" s="456">
        <f t="shared" si="35"/>
        <v>0.44030409834669937</v>
      </c>
      <c r="J46" s="456">
        <f t="shared" ref="J46" si="36">J44/J45</f>
        <v>0.57029747448514034</v>
      </c>
      <c r="K46" s="456">
        <f t="shared" ref="K46:N46" si="37">K44/K45</f>
        <v>0.6152778945385492</v>
      </c>
      <c r="L46" s="456">
        <f t="shared" si="37"/>
        <v>0.65021950179203036</v>
      </c>
      <c r="M46" s="456">
        <f t="shared" si="37"/>
        <v>0.59860918752087855</v>
      </c>
      <c r="N46" s="456">
        <f t="shared" si="37"/>
        <v>0.51030249517236537</v>
      </c>
      <c r="O46" s="456">
        <f t="shared" ref="O46" si="38">O44/O45</f>
        <v>0.49397040408587217</v>
      </c>
    </row>
    <row r="47" spans="3:15" thickBot="1" x14ac:dyDescent="0.35">
      <c r="C47" s="464"/>
      <c r="D47" s="916"/>
      <c r="E47" s="448"/>
      <c r="G47" s="218"/>
      <c r="H47" s="215"/>
      <c r="I47" s="220"/>
      <c r="J47" s="220"/>
      <c r="K47" s="220"/>
      <c r="L47" s="220"/>
      <c r="M47" s="220"/>
      <c r="N47" s="220"/>
      <c r="O47" s="220"/>
    </row>
    <row r="48" spans="3:15" thickBot="1" x14ac:dyDescent="0.35">
      <c r="C48" s="442"/>
      <c r="D48" s="914"/>
      <c r="E48" s="443"/>
      <c r="G48" s="218"/>
      <c r="H48" s="215"/>
      <c r="I48" s="220"/>
      <c r="J48" s="220"/>
      <c r="K48" s="220"/>
      <c r="L48" s="220"/>
      <c r="M48" s="220"/>
      <c r="N48" s="220"/>
      <c r="O48" s="220"/>
    </row>
    <row r="49" spans="3:15" ht="15" x14ac:dyDescent="0.3">
      <c r="C49" s="465" t="s">
        <v>637</v>
      </c>
      <c r="D49" s="917" t="s">
        <v>637</v>
      </c>
      <c r="E49" s="466"/>
      <c r="G49" s="218"/>
      <c r="H49" s="215"/>
      <c r="I49" s="220"/>
      <c r="J49" s="220"/>
      <c r="K49" s="921"/>
      <c r="L49" s="921"/>
      <c r="M49" s="921"/>
      <c r="N49" s="921"/>
      <c r="O49" s="921"/>
    </row>
    <row r="50" spans="3:15" ht="14" x14ac:dyDescent="0.3">
      <c r="C50" s="442"/>
      <c r="D50" s="914"/>
      <c r="E50" s="443"/>
      <c r="G50" s="218"/>
      <c r="H50" s="215"/>
      <c r="I50" s="220"/>
      <c r="J50" s="220"/>
      <c r="K50" s="921"/>
      <c r="L50" s="921"/>
      <c r="M50" s="921"/>
      <c r="N50" s="921"/>
      <c r="O50" s="921"/>
    </row>
    <row r="51" spans="3:15" thickBot="1" x14ac:dyDescent="0.35">
      <c r="C51" s="442" t="s">
        <v>638</v>
      </c>
      <c r="D51" s="914" t="s">
        <v>638</v>
      </c>
      <c r="E51" s="448" t="s">
        <v>639</v>
      </c>
      <c r="G51" s="218">
        <f>'BALANCES SHEET'!E30</f>
        <v>94907</v>
      </c>
      <c r="H51" s="215">
        <f>'BALANCES SHEET'!F30</f>
        <v>90430</v>
      </c>
      <c r="I51" s="220">
        <f>'BALANCES SHEET'!G30</f>
        <v>171060</v>
      </c>
      <c r="J51" s="220">
        <f>'BALANCES SHEET'!H30</f>
        <v>150676</v>
      </c>
      <c r="K51" s="921">
        <f>'BALANCES SHEET'!I30</f>
        <v>153510.56700585276</v>
      </c>
      <c r="L51" s="921">
        <f>'BALANCES SHEET'!J30</f>
        <v>154567.18313484953</v>
      </c>
      <c r="M51" s="921">
        <f>'BALANCES SHEET'!K30</f>
        <v>168197.65309809279</v>
      </c>
      <c r="N51" s="921">
        <f>'BALANCES SHEET'!L30</f>
        <v>180375.46021928944</v>
      </c>
      <c r="O51" s="921">
        <f>'BALANCES SHEET'!M30</f>
        <v>174046.78181138562</v>
      </c>
    </row>
    <row r="52" spans="3:15" thickBot="1" x14ac:dyDescent="0.35">
      <c r="C52" s="442"/>
      <c r="D52" s="914"/>
      <c r="E52" s="443" t="s">
        <v>640</v>
      </c>
      <c r="G52" s="451">
        <f>'BALANCES SHEET'!E55</f>
        <v>83632</v>
      </c>
      <c r="H52" s="452">
        <f>'BALANCES SHEET'!F55</f>
        <v>96049</v>
      </c>
      <c r="I52" s="453">
        <f>'BALANCES SHEET'!G55</f>
        <v>192007</v>
      </c>
      <c r="J52" s="453">
        <f>'BALANCES SHEET'!H55</f>
        <v>166533</v>
      </c>
      <c r="K52" s="922">
        <f>'BALANCES SHEET'!I55</f>
        <v>170866.27203382907</v>
      </c>
      <c r="L52" s="922">
        <f>'BALANCES SHEET'!J55</f>
        <v>178885.75138692016</v>
      </c>
      <c r="M52" s="922">
        <f>'BALANCES SHEET'!K55</f>
        <v>176805.73847681619</v>
      </c>
      <c r="N52" s="922">
        <f>'BALANCES SHEET'!L55</f>
        <v>179506.23745092013</v>
      </c>
      <c r="O52" s="922">
        <f>'BALANCES SHEET'!M55</f>
        <v>177197.74326205335</v>
      </c>
    </row>
    <row r="53" spans="3:15" thickBot="1" x14ac:dyDescent="0.35">
      <c r="C53" s="442"/>
      <c r="D53" s="914"/>
      <c r="E53" s="443"/>
      <c r="G53" s="454">
        <f>G51/G52</f>
        <v>1.134816816529558</v>
      </c>
      <c r="H53" s="455">
        <f t="shared" ref="H53:I53" si="39">H51/H52</f>
        <v>0.94149861008443603</v>
      </c>
      <c r="I53" s="456">
        <f t="shared" si="39"/>
        <v>0.89090501908784581</v>
      </c>
      <c r="J53" s="456">
        <f t="shared" ref="J53:O53" si="40">J51/J52</f>
        <v>0.9047816348711667</v>
      </c>
      <c r="K53" s="923">
        <f t="shared" ref="K53:N53" si="41">K51/K52</f>
        <v>0.89842521393256525</v>
      </c>
      <c r="L53" s="923">
        <f t="shared" si="41"/>
        <v>0.86405530868989733</v>
      </c>
      <c r="M53" s="923">
        <f t="shared" si="41"/>
        <v>0.95131331452880341</v>
      </c>
      <c r="N53" s="923">
        <f t="shared" si="41"/>
        <v>1.0048422984109784</v>
      </c>
      <c r="O53" s="923">
        <f t="shared" si="40"/>
        <v>0.98221782403849323</v>
      </c>
    </row>
    <row r="54" spans="3:15" ht="14" x14ac:dyDescent="0.3">
      <c r="C54" s="442"/>
      <c r="D54" s="914"/>
      <c r="E54" s="443"/>
      <c r="G54" s="218"/>
      <c r="H54" s="215"/>
      <c r="I54" s="220"/>
      <c r="J54" s="220"/>
      <c r="K54" s="921"/>
      <c r="L54" s="921"/>
      <c r="M54" s="921"/>
      <c r="N54" s="921"/>
      <c r="O54" s="921"/>
    </row>
    <row r="55" spans="3:15" ht="28.5" thickBot="1" x14ac:dyDescent="0.35">
      <c r="C55" s="442" t="s">
        <v>641</v>
      </c>
      <c r="D55" s="914" t="s">
        <v>641</v>
      </c>
      <c r="E55" s="467" t="s">
        <v>642</v>
      </c>
      <c r="G55" s="218">
        <f>SUM('BALANCES SHEET'!E23:E26)</f>
        <v>14024</v>
      </c>
      <c r="H55" s="215">
        <f>SUM('BALANCES SHEET'!F23:F26)</f>
        <v>17141</v>
      </c>
      <c r="I55" s="220">
        <f>SUM('BALANCES SHEET'!G23:G26)</f>
        <v>23672</v>
      </c>
      <c r="J55" s="220">
        <f>SUM('BALANCES SHEET'!H23:H26)</f>
        <v>24278</v>
      </c>
      <c r="K55" s="921">
        <f>SUM('BALANCES SHEET'!I23:I26)</f>
        <v>23575.174489245124</v>
      </c>
      <c r="L55" s="921">
        <f>SUM('BALANCES SHEET'!J23:J26)</f>
        <v>19826.915134849525</v>
      </c>
      <c r="M55" s="921">
        <f>SUM('BALANCES SHEET'!K23:K26)</f>
        <v>33240.315108222247</v>
      </c>
      <c r="N55" s="921">
        <f>SUM('BALANCES SHEET'!L23:L26)</f>
        <v>45084.602531289456</v>
      </c>
      <c r="O55" s="921">
        <f>SUM('BALANCES SHEET'!M23:M26)</f>
        <v>38741.597504054211</v>
      </c>
    </row>
    <row r="56" spans="3:15" thickBot="1" x14ac:dyDescent="0.35">
      <c r="C56" s="442"/>
      <c r="D56" s="914"/>
      <c r="E56" s="443" t="s">
        <v>640</v>
      </c>
      <c r="G56" s="451">
        <f>'BALANCES SHEET'!D55</f>
        <v>85228</v>
      </c>
      <c r="H56" s="452">
        <f>'BALANCES SHEET'!E55</f>
        <v>83632</v>
      </c>
      <c r="I56" s="453">
        <f>'BALANCES SHEET'!F55</f>
        <v>96049</v>
      </c>
      <c r="J56" s="453">
        <f>'BALANCES SHEET'!G55</f>
        <v>192007</v>
      </c>
      <c r="K56" s="922">
        <f>'BALANCES SHEET'!H55</f>
        <v>166533</v>
      </c>
      <c r="L56" s="922">
        <f>'BALANCES SHEET'!I55</f>
        <v>170866.27203382907</v>
      </c>
      <c r="M56" s="922">
        <f>'BALANCES SHEET'!J55</f>
        <v>178885.75138692016</v>
      </c>
      <c r="N56" s="922">
        <f>'BALANCES SHEET'!K55</f>
        <v>176805.73847681619</v>
      </c>
      <c r="O56" s="922">
        <f>'BALANCES SHEET'!L55</f>
        <v>179506.23745092013</v>
      </c>
    </row>
    <row r="57" spans="3:15" thickBot="1" x14ac:dyDescent="0.35">
      <c r="C57" s="442"/>
      <c r="D57" s="914"/>
      <c r="E57" s="443"/>
      <c r="G57" s="454">
        <f t="shared" ref="G57:I57" si="42">G55/G56</f>
        <v>0.16454686253343973</v>
      </c>
      <c r="H57" s="455">
        <f t="shared" si="42"/>
        <v>0.20495743256169888</v>
      </c>
      <c r="I57" s="456">
        <f t="shared" si="42"/>
        <v>0.24645753729867048</v>
      </c>
      <c r="J57" s="456">
        <f t="shared" ref="J57:O57" si="43">J55/J56</f>
        <v>0.12644330675444124</v>
      </c>
      <c r="K57" s="923">
        <f t="shared" ref="K57:N57" si="44">K55/K56</f>
        <v>0.14156458173001821</v>
      </c>
      <c r="L57" s="923">
        <f t="shared" si="44"/>
        <v>0.11603761759912501</v>
      </c>
      <c r="M57" s="923">
        <f t="shared" si="44"/>
        <v>0.18581868511330032</v>
      </c>
      <c r="N57" s="923">
        <f t="shared" si="44"/>
        <v>0.2549951314911717</v>
      </c>
      <c r="O57" s="923">
        <f t="shared" si="43"/>
        <v>0.21582312711917201</v>
      </c>
    </row>
    <row r="58" spans="3:15" ht="14" x14ac:dyDescent="0.3">
      <c r="C58" s="442"/>
      <c r="D58" s="914"/>
      <c r="E58" s="443"/>
      <c r="G58" s="218"/>
      <c r="H58" s="215"/>
      <c r="I58" s="220"/>
      <c r="J58" s="220"/>
      <c r="K58" s="921"/>
      <c r="L58" s="921"/>
      <c r="M58" s="921"/>
      <c r="N58" s="921"/>
      <c r="O58" s="921"/>
    </row>
    <row r="59" spans="3:15" thickBot="1" x14ac:dyDescent="0.35">
      <c r="C59" s="442" t="s">
        <v>643</v>
      </c>
      <c r="D59" s="914" t="s">
        <v>643</v>
      </c>
      <c r="E59" s="448" t="s">
        <v>644</v>
      </c>
      <c r="G59" s="218">
        <f>SUM('BALANCES SHEET'!E23,'BALANCES SHEET'!E25,'BALANCES SHEET'!E26)</f>
        <v>3967</v>
      </c>
      <c r="H59" s="215">
        <f>SUM('BALANCES SHEET'!F23,'BALANCES SHEET'!F25,'BALANCES SHEET'!F26)</f>
        <v>7496</v>
      </c>
      <c r="I59" s="220">
        <f>SUM('BALANCES SHEET'!G23,'BALANCES SHEET'!G25,'BALANCES SHEET'!G26)</f>
        <v>7128</v>
      </c>
      <c r="J59" s="220">
        <f>SUM('BALANCES SHEET'!H23,'BALANCES SHEET'!H25,'BALANCES SHEET'!H26)</f>
        <v>9513</v>
      </c>
      <c r="K59" s="921">
        <f>SUM('BALANCES SHEET'!I23,'BALANCES SHEET'!I25,'BALANCES SHEET'!I26)</f>
        <v>8425.9817972292112</v>
      </c>
      <c r="L59" s="921">
        <f>SUM('BALANCES SHEET'!J23,'BALANCES SHEET'!J25,'BALANCES SHEET'!J26)</f>
        <v>4087.4251348495254</v>
      </c>
      <c r="M59" s="921">
        <f>SUM('BALANCES SHEET'!K23,'BALANCES SHEET'!K25,'BALANCES SHEET'!K26)</f>
        <v>17475.468390549195</v>
      </c>
      <c r="N59" s="921">
        <f>SUM('BALANCES SHEET'!L23,'BALANCES SHEET'!L25,'BALANCES SHEET'!L26)</f>
        <v>29280.796191289457</v>
      </c>
      <c r="O59" s="921">
        <f>SUM('BALANCES SHEET'!M23,'BALANCES SHEET'!M25,'BALANCES SHEET'!M26)</f>
        <v>22936.117620687786</v>
      </c>
    </row>
    <row r="60" spans="3:15" thickBot="1" x14ac:dyDescent="0.35">
      <c r="C60" s="442"/>
      <c r="D60" s="914"/>
      <c r="E60" s="443" t="s">
        <v>640</v>
      </c>
      <c r="G60" s="451">
        <f>'BALANCES SHEET'!D55</f>
        <v>85228</v>
      </c>
      <c r="H60" s="452">
        <f>'BALANCES SHEET'!E55</f>
        <v>83632</v>
      </c>
      <c r="I60" s="453">
        <f>'BALANCES SHEET'!F55</f>
        <v>96049</v>
      </c>
      <c r="J60" s="453">
        <f>'BALANCES SHEET'!G55</f>
        <v>192007</v>
      </c>
      <c r="K60" s="922">
        <f>'BALANCES SHEET'!H55</f>
        <v>166533</v>
      </c>
      <c r="L60" s="922">
        <f>'BALANCES SHEET'!I55</f>
        <v>170866.27203382907</v>
      </c>
      <c r="M60" s="922">
        <f>'BALANCES SHEET'!J55</f>
        <v>178885.75138692016</v>
      </c>
      <c r="N60" s="922">
        <f>'BALANCES SHEET'!K55</f>
        <v>176805.73847681619</v>
      </c>
      <c r="O60" s="922">
        <f>'BALANCES SHEET'!L55</f>
        <v>179506.23745092013</v>
      </c>
    </row>
    <row r="61" spans="3:15" thickBot="1" x14ac:dyDescent="0.35">
      <c r="C61" s="442"/>
      <c r="D61" s="914"/>
      <c r="E61" s="443"/>
      <c r="G61" s="454">
        <f t="shared" ref="G61:I61" si="45">G59/G60</f>
        <v>4.6545736143051582E-2</v>
      </c>
      <c r="H61" s="455">
        <f t="shared" si="45"/>
        <v>8.9630763344174483E-2</v>
      </c>
      <c r="I61" s="456">
        <f t="shared" si="45"/>
        <v>7.4212120896625683E-2</v>
      </c>
      <c r="J61" s="456">
        <f t="shared" ref="J61:O61" si="46">J59/J60</f>
        <v>4.9545068669371431E-2</v>
      </c>
      <c r="K61" s="923">
        <f t="shared" ref="K61:N61" si="47">K59/K60</f>
        <v>5.0596469151634876E-2</v>
      </c>
      <c r="L61" s="923">
        <f t="shared" si="47"/>
        <v>2.392177862954881E-2</v>
      </c>
      <c r="M61" s="923">
        <f t="shared" si="47"/>
        <v>9.7690667116078489E-2</v>
      </c>
      <c r="N61" s="923">
        <f t="shared" si="47"/>
        <v>0.16560998779532785</v>
      </c>
      <c r="O61" s="923">
        <f t="shared" si="46"/>
        <v>0.1277733740419961</v>
      </c>
    </row>
    <row r="62" spans="3:15" ht="14" x14ac:dyDescent="0.3">
      <c r="C62" s="442"/>
      <c r="D62" s="914"/>
      <c r="E62" s="443"/>
      <c r="G62" s="218"/>
      <c r="H62" s="215"/>
      <c r="I62" s="220"/>
      <c r="J62" s="220"/>
      <c r="K62" s="921"/>
      <c r="L62" s="921"/>
      <c r="M62" s="921"/>
      <c r="N62" s="921"/>
      <c r="O62" s="921"/>
    </row>
    <row r="63" spans="3:15" ht="28.5" thickBot="1" x14ac:dyDescent="0.35">
      <c r="C63" s="442" t="s">
        <v>645</v>
      </c>
      <c r="D63" s="914" t="s">
        <v>645</v>
      </c>
      <c r="E63" s="467" t="s">
        <v>642</v>
      </c>
      <c r="G63" s="218">
        <f>SUM('BALANCES SHEET'!E23+'BALANCES SHEET'!E24+'BALANCES SHEET'!E25+'BALANCES SHEET'!E26)</f>
        <v>14024</v>
      </c>
      <c r="H63" s="215">
        <f>SUM('BALANCES SHEET'!F23+'BALANCES SHEET'!F24+'BALANCES SHEET'!F25+'BALANCES SHEET'!F26)</f>
        <v>17141</v>
      </c>
      <c r="I63" s="220">
        <f>SUM('BALANCES SHEET'!G23+'BALANCES SHEET'!G24+'BALANCES SHEET'!G25+'BALANCES SHEET'!G26)</f>
        <v>23672</v>
      </c>
      <c r="J63" s="220">
        <f>SUM('BALANCES SHEET'!H23+'BALANCES SHEET'!H24+'BALANCES SHEET'!H25+'BALANCES SHEET'!H26)</f>
        <v>24278</v>
      </c>
      <c r="K63" s="921">
        <f>SUM('BALANCES SHEET'!I23+'BALANCES SHEET'!I24+'BALANCES SHEET'!I25+'BALANCES SHEET'!I26)</f>
        <v>23575.174489245124</v>
      </c>
      <c r="L63" s="921">
        <f>SUM('BALANCES SHEET'!J23+'BALANCES SHEET'!J24+'BALANCES SHEET'!J25+'BALANCES SHEET'!J26)</f>
        <v>19826.915134849525</v>
      </c>
      <c r="M63" s="921">
        <f>SUM('BALANCES SHEET'!K23+'BALANCES SHEET'!K24+'BALANCES SHEET'!K25+'BALANCES SHEET'!K26)</f>
        <v>33240.315108222247</v>
      </c>
      <c r="N63" s="921">
        <f>SUM('BALANCES SHEET'!L23+'BALANCES SHEET'!L24+'BALANCES SHEET'!L25+'BALANCES SHEET'!L26)</f>
        <v>45084.602531289456</v>
      </c>
      <c r="O63" s="921">
        <f>SUM('BALANCES SHEET'!M23+'BALANCES SHEET'!M24+'BALANCES SHEET'!M25+'BALANCES SHEET'!M26)</f>
        <v>38741.597504054211</v>
      </c>
    </row>
    <row r="64" spans="3:15" thickBot="1" x14ac:dyDescent="0.35">
      <c r="C64" s="442"/>
      <c r="D64" s="914"/>
      <c r="E64" s="443" t="s">
        <v>646</v>
      </c>
      <c r="G64" s="451">
        <f>SUM(ANALYTICAL!D8+ANALYTICAL!E8,ANALYTICAL!D10+ANALYTICAL!E10)/2</f>
        <v>41597.5</v>
      </c>
      <c r="H64" s="452">
        <f>SUM(ANALYTICAL!E8+ANALYTICAL!F8,ANALYTICAL!E10+ANALYTICAL!F10)/2</f>
        <v>40381.5</v>
      </c>
      <c r="I64" s="453">
        <f>SUM(ANALYTICAL!F8+ANALYTICAL!G8,ANALYTICAL!F10+ANALYTICAL!G10)/2</f>
        <v>39698.5</v>
      </c>
      <c r="J64" s="453">
        <f>SUM(ANALYTICAL!G8+ANALYTICAL!H8,ANALYTICAL!G10+ANALYTICAL!H10)/2</f>
        <v>47434.5</v>
      </c>
      <c r="K64" s="922">
        <f>SUM(ANALYTICAL!H8+ANALYTICAL!I8,ANALYTICAL!H10+ANALYTICAL!I10)/2</f>
        <v>57583.919804166333</v>
      </c>
      <c r="L64" s="922">
        <f>SUM(ANALYTICAL!I8+ANALYTICAL!J8,ANALYTICAL!I10+ANALYTICAL!J10)/2</f>
        <v>60799.336804166334</v>
      </c>
      <c r="M64" s="922">
        <f>SUM(ANALYTICAL!J8+ANALYTICAL!K8,ANALYTICAL!J10+ANALYTICAL!K10)/2</f>
        <v>62478.633819843264</v>
      </c>
      <c r="N64" s="922">
        <f>SUM(ANALYTICAL!K8+ANALYTICAL!L8,ANALYTICAL!K10+ANALYTICAL!L10)/2</f>
        <v>60933.255154584323</v>
      </c>
      <c r="O64" s="922">
        <f>SUM(ANALYTICAL!L8+ANALYTICAL!M8,ANALYTICAL!L10+ANALYTICAL!M10)/2</f>
        <v>60965.173920787689</v>
      </c>
    </row>
    <row r="65" spans="3:15" thickBot="1" x14ac:dyDescent="0.35">
      <c r="C65" s="442"/>
      <c r="D65" s="914"/>
      <c r="E65" s="443"/>
      <c r="G65" s="454">
        <f t="shared" ref="G65:I65" si="48">G63/G64</f>
        <v>0.33713564517098382</v>
      </c>
      <c r="H65" s="455">
        <f t="shared" si="48"/>
        <v>0.42447655485804142</v>
      </c>
      <c r="I65" s="456">
        <f t="shared" si="48"/>
        <v>0.59629457032381572</v>
      </c>
      <c r="J65" s="456">
        <f t="shared" ref="J65:O65" si="49">J63/J64</f>
        <v>0.51182156447311555</v>
      </c>
      <c r="K65" s="923">
        <f t="shared" ref="K65:N65" si="50">K63/K64</f>
        <v>0.40940551753719628</v>
      </c>
      <c r="L65" s="923">
        <f t="shared" si="50"/>
        <v>0.32610413496304563</v>
      </c>
      <c r="M65" s="923">
        <f t="shared" si="50"/>
        <v>0.53202691985984329</v>
      </c>
      <c r="N65" s="923">
        <f t="shared" si="50"/>
        <v>0.73990142848781493</v>
      </c>
      <c r="O65" s="923">
        <f t="shared" si="49"/>
        <v>0.6354709584588627</v>
      </c>
    </row>
    <row r="66" spans="3:15" ht="14" x14ac:dyDescent="0.3">
      <c r="C66" s="442"/>
      <c r="D66" s="914"/>
      <c r="E66" s="443"/>
      <c r="G66" s="218"/>
      <c r="H66" s="215"/>
      <c r="I66" s="220"/>
      <c r="J66" s="220"/>
      <c r="K66" s="921"/>
      <c r="L66" s="921"/>
      <c r="M66" s="921"/>
      <c r="N66" s="921"/>
      <c r="O66" s="921"/>
    </row>
    <row r="67" spans="3:15" ht="28" x14ac:dyDescent="0.3">
      <c r="C67" s="247" t="s">
        <v>647</v>
      </c>
      <c r="D67" s="247" t="s">
        <v>647</v>
      </c>
      <c r="E67" s="468" t="s">
        <v>648</v>
      </c>
      <c r="G67" s="461">
        <f>G14+G23-G32</f>
        <v>827.76458386160596</v>
      </c>
      <c r="H67" s="469">
        <f t="shared" ref="H67:I67" si="51">H14+H23-H32</f>
        <v>538.52118930238794</v>
      </c>
      <c r="I67" s="470">
        <f t="shared" si="51"/>
        <v>1249.9048343762495</v>
      </c>
      <c r="J67" s="470">
        <f t="shared" ref="J67:O67" si="52">J14+J23-J32</f>
        <v>862.71755142345683</v>
      </c>
      <c r="K67" s="924">
        <f t="shared" ref="K67:N67" si="53">K14+K23-K32</f>
        <v>854.83928713059368</v>
      </c>
      <c r="L67" s="924">
        <f t="shared" si="53"/>
        <v>805.95823298785854</v>
      </c>
      <c r="M67" s="924">
        <f t="shared" si="53"/>
        <v>866.89688401392891</v>
      </c>
      <c r="N67" s="924">
        <f t="shared" si="53"/>
        <v>868.44401384858543</v>
      </c>
      <c r="O67" s="924">
        <f t="shared" si="52"/>
        <v>873.39334343400276</v>
      </c>
    </row>
    <row r="68" spans="3:15" thickBot="1" x14ac:dyDescent="0.35">
      <c r="C68" s="471"/>
      <c r="D68" s="918"/>
      <c r="E68" s="448"/>
      <c r="G68" s="218"/>
      <c r="H68" s="215"/>
      <c r="I68" s="220"/>
      <c r="J68" s="220"/>
      <c r="K68" s="921"/>
      <c r="L68" s="921"/>
      <c r="M68" s="921"/>
      <c r="N68" s="921"/>
      <c r="O68" s="921"/>
    </row>
    <row r="69" spans="3:15" thickBot="1" x14ac:dyDescent="0.35">
      <c r="C69" s="472"/>
      <c r="D69" s="919"/>
      <c r="E69" s="448"/>
      <c r="G69" s="218"/>
      <c r="H69" s="215"/>
      <c r="I69" s="220"/>
      <c r="J69" s="220"/>
      <c r="K69" s="921"/>
      <c r="L69" s="921"/>
      <c r="M69" s="921"/>
      <c r="N69" s="921"/>
      <c r="O69" s="921"/>
    </row>
    <row r="70" spans="3:15" ht="15" x14ac:dyDescent="0.3">
      <c r="C70" s="473" t="s">
        <v>649</v>
      </c>
      <c r="D70" s="920" t="s">
        <v>649</v>
      </c>
      <c r="E70" s="474"/>
      <c r="G70" s="218"/>
      <c r="H70" s="215"/>
      <c r="I70" s="220"/>
      <c r="J70" s="220"/>
      <c r="K70" s="921"/>
      <c r="L70" s="921"/>
      <c r="M70" s="921"/>
      <c r="N70" s="921"/>
      <c r="O70" s="921"/>
    </row>
    <row r="71" spans="3:15" ht="14" x14ac:dyDescent="0.3">
      <c r="C71" s="442"/>
      <c r="D71" s="914"/>
      <c r="E71" s="443"/>
      <c r="G71" s="218"/>
      <c r="H71" s="215"/>
      <c r="I71" s="220"/>
      <c r="J71" s="220"/>
      <c r="K71" s="921"/>
      <c r="L71" s="921"/>
      <c r="M71" s="921"/>
      <c r="N71" s="921"/>
      <c r="O71" s="921"/>
    </row>
    <row r="72" spans="3:15" thickBot="1" x14ac:dyDescent="0.35">
      <c r="C72" s="442" t="s">
        <v>650</v>
      </c>
      <c r="D72" s="914" t="s">
        <v>650</v>
      </c>
      <c r="E72" s="475" t="s">
        <v>651</v>
      </c>
      <c r="G72" s="449">
        <f>'BALANCES SHEET'!E41+'BALANCES SHEET'!E49+NOTES!F806+NOTES!F805</f>
        <v>57657</v>
      </c>
      <c r="H72" s="449">
        <f>'BALANCES SHEET'!F41+'BALANCES SHEET'!F49+NOTES!G806+NOTES!G805</f>
        <v>74508</v>
      </c>
      <c r="I72" s="449">
        <f>'BALANCES SHEET'!G41+'BALANCES SHEET'!G49+NOTES!H806+NOTES!H805</f>
        <v>85313</v>
      </c>
      <c r="J72" s="449">
        <f>'BALANCES SHEET'!H41+'BALANCES SHEET'!H49+NOTES!I806+NOTES!I805</f>
        <v>93243</v>
      </c>
      <c r="K72" s="925">
        <f>'BALANCES SHEET'!I41+'BALANCES SHEET'!I49+NOTES!J806+NOTES!J805</f>
        <v>88513.762570099614</v>
      </c>
      <c r="L72" s="925">
        <f>'BALANCES SHEET'!J41+'BALANCES SHEET'!J49+NOTES!K806+NOTES!K805</f>
        <v>101389.07820872647</v>
      </c>
      <c r="M72" s="925">
        <f>'BALANCES SHEET'!K41+'BALANCES SHEET'!K49+NOTES!L806+NOTES!L805</f>
        <v>100999.02725804731</v>
      </c>
      <c r="N72" s="925">
        <f>'BALANCES SHEET'!L41+'BALANCES SHEET'!L49+NOTES!M806+NOTES!M805</f>
        <v>115939.11102598812</v>
      </c>
      <c r="O72" s="925">
        <f>'BALANCES SHEET'!M41+'BALANCES SHEET'!M49+NOTES!N806+NOTES!N805</f>
        <v>115927.6592136079</v>
      </c>
    </row>
    <row r="73" spans="3:15" thickBot="1" x14ac:dyDescent="0.35">
      <c r="C73" s="442"/>
      <c r="D73" s="914"/>
      <c r="E73" s="443" t="s">
        <v>652</v>
      </c>
      <c r="G73" s="451">
        <f>'BALANCES SHEET'!E38</f>
        <v>46175</v>
      </c>
      <c r="H73" s="452">
        <f>'BALANCES SHEET'!F38</f>
        <v>49627</v>
      </c>
      <c r="I73" s="453">
        <f>'BALANCES SHEET'!G38</f>
        <v>43386</v>
      </c>
      <c r="J73" s="453">
        <f>'BALANCES SHEET'!H38</f>
        <v>55886</v>
      </c>
      <c r="K73" s="922">
        <f>'BALANCES SHEET'!I38</f>
        <v>57170.165529459984</v>
      </c>
      <c r="L73" s="922">
        <f>'BALANCES SHEET'!J38</f>
        <v>40087.831504445756</v>
      </c>
      <c r="M73" s="922">
        <f>'BALANCES SHEET'!K38</f>
        <v>47083.618253277171</v>
      </c>
      <c r="N73" s="922">
        <f>'BALANCES SHEET'!L38</f>
        <v>47288.723641498807</v>
      </c>
      <c r="O73" s="922">
        <f>'BALANCES SHEET'!M38</f>
        <v>40929.108671037022</v>
      </c>
    </row>
    <row r="74" spans="3:15" thickBot="1" x14ac:dyDescent="0.35">
      <c r="C74" s="442"/>
      <c r="D74" s="914"/>
      <c r="E74" s="443"/>
      <c r="G74" s="454">
        <f t="shared" ref="G74:I74" si="54">G72/G73</f>
        <v>1.2486626962642122</v>
      </c>
      <c r="H74" s="455">
        <f t="shared" si="54"/>
        <v>1.5013601466943398</v>
      </c>
      <c r="I74" s="456">
        <f t="shared" si="54"/>
        <v>1.9663716406213987</v>
      </c>
      <c r="J74" s="456">
        <f t="shared" ref="J74:O74" si="55">J72/J73</f>
        <v>1.6684500590487779</v>
      </c>
      <c r="K74" s="923">
        <f t="shared" ref="K74:N74" si="56">K72/K73</f>
        <v>1.548250940859847</v>
      </c>
      <c r="L74" s="923">
        <f t="shared" si="56"/>
        <v>2.5291734275395359</v>
      </c>
      <c r="M74" s="923">
        <f t="shared" si="56"/>
        <v>2.1450991025104034</v>
      </c>
      <c r="N74" s="923">
        <f t="shared" si="56"/>
        <v>2.4517284903888656</v>
      </c>
      <c r="O74" s="923">
        <f t="shared" si="55"/>
        <v>2.8324012659391888</v>
      </c>
    </row>
    <row r="75" spans="3:15" ht="14" x14ac:dyDescent="0.3">
      <c r="C75" s="442"/>
      <c r="D75" s="914"/>
      <c r="E75" s="443"/>
      <c r="G75" s="218"/>
      <c r="H75" s="215"/>
      <c r="I75" s="220"/>
      <c r="J75" s="220"/>
      <c r="K75" s="921"/>
      <c r="L75" s="921"/>
      <c r="M75" s="921"/>
      <c r="N75" s="921"/>
      <c r="O75" s="921"/>
    </row>
    <row r="76" spans="3:15" thickBot="1" x14ac:dyDescent="0.35">
      <c r="C76" s="442" t="s">
        <v>653</v>
      </c>
      <c r="D76" s="914" t="s">
        <v>653</v>
      </c>
      <c r="E76" s="448" t="s">
        <v>651</v>
      </c>
      <c r="G76" s="449">
        <f>G72</f>
        <v>57657</v>
      </c>
      <c r="H76" s="449">
        <f t="shared" ref="H76:I76" si="57">H72</f>
        <v>74508</v>
      </c>
      <c r="I76" s="449">
        <f t="shared" si="57"/>
        <v>85313</v>
      </c>
      <c r="J76" s="449">
        <f t="shared" ref="J76:O76" si="58">J72</f>
        <v>93243</v>
      </c>
      <c r="K76" s="925">
        <f t="shared" ref="K76:N76" si="59">K72</f>
        <v>88513.762570099614</v>
      </c>
      <c r="L76" s="925">
        <f t="shared" si="59"/>
        <v>101389.07820872647</v>
      </c>
      <c r="M76" s="925">
        <f t="shared" si="59"/>
        <v>100999.02725804731</v>
      </c>
      <c r="N76" s="925">
        <f t="shared" si="59"/>
        <v>115939.11102598812</v>
      </c>
      <c r="O76" s="925">
        <f t="shared" si="58"/>
        <v>115927.6592136079</v>
      </c>
    </row>
    <row r="77" spans="3:15" thickBot="1" x14ac:dyDescent="0.35">
      <c r="C77" s="442"/>
      <c r="D77" s="914"/>
      <c r="E77" s="443" t="s">
        <v>654</v>
      </c>
      <c r="G77" s="476">
        <f>'BALANCES SHEET'!E41+ +'BALANCES SHEET'!E49+'BALANCES SHEET'!E38</f>
        <v>102585</v>
      </c>
      <c r="H77" s="477">
        <f>'BALANCES SHEET'!F41+ +'BALANCES SHEET'!F49+'BALANCES SHEET'!F38</f>
        <v>118705</v>
      </c>
      <c r="I77" s="478">
        <f>'BALANCES SHEET'!G41+ +'BALANCES SHEET'!G49+'BALANCES SHEET'!G38</f>
        <v>125494</v>
      </c>
      <c r="J77" s="478">
        <f>'BALANCES SHEET'!H41+ +'BALANCES SHEET'!H49+'BALANCES SHEET'!H38</f>
        <v>142155</v>
      </c>
      <c r="K77" s="926">
        <f>'BALANCES SHEET'!I41+ +'BALANCES SHEET'!I49+'BALANCES SHEET'!I38</f>
        <v>145683.92809955959</v>
      </c>
      <c r="L77" s="926">
        <f>'BALANCES SHEET'!J41+ +'BALANCES SHEET'!J49+'BALANCES SHEET'!J38</f>
        <v>141476.90971317224</v>
      </c>
      <c r="M77" s="926">
        <f>'BALANCES SHEET'!K41+ +'BALANCES SHEET'!K49+'BALANCES SHEET'!K38</f>
        <v>148082.64551132449</v>
      </c>
      <c r="N77" s="926">
        <f>'BALANCES SHEET'!L41+ +'BALANCES SHEET'!L49+'BALANCES SHEET'!L38</f>
        <v>163227.83466748692</v>
      </c>
      <c r="O77" s="926">
        <f>'BALANCES SHEET'!M41+ +'BALANCES SHEET'!M49+'BALANCES SHEET'!M38</f>
        <v>156856.76788464491</v>
      </c>
    </row>
    <row r="78" spans="3:15" thickBot="1" x14ac:dyDescent="0.35">
      <c r="C78" s="442"/>
      <c r="D78" s="914"/>
      <c r="E78" s="443"/>
      <c r="G78" s="454">
        <f>G76/G77</f>
        <v>0.56204123409855244</v>
      </c>
      <c r="H78" s="455">
        <f t="shared" ref="H78:I78" si="60">H76/H77</f>
        <v>0.62767364474958931</v>
      </c>
      <c r="I78" s="456">
        <f t="shared" si="60"/>
        <v>0.67981736178622088</v>
      </c>
      <c r="J78" s="456">
        <f t="shared" ref="J78:O78" si="61">J76/J77</f>
        <v>0.65592487073968553</v>
      </c>
      <c r="K78" s="923">
        <f t="shared" ref="K78:N78" si="62">K76/K77</f>
        <v>0.60757397006490521</v>
      </c>
      <c r="L78" s="923">
        <f t="shared" si="62"/>
        <v>0.71664753219646138</v>
      </c>
      <c r="M78" s="923">
        <f t="shared" si="62"/>
        <v>0.6820449952747738</v>
      </c>
      <c r="N78" s="923">
        <f t="shared" si="62"/>
        <v>0.71029007559996649</v>
      </c>
      <c r="O78" s="923">
        <f t="shared" si="61"/>
        <v>0.73906698943881743</v>
      </c>
    </row>
    <row r="79" spans="3:15" ht="14" x14ac:dyDescent="0.3">
      <c r="C79" s="442"/>
      <c r="D79" s="914"/>
      <c r="E79" s="443"/>
      <c r="G79" s="218"/>
      <c r="H79" s="215"/>
      <c r="I79" s="220"/>
      <c r="J79" s="220"/>
      <c r="K79" s="921"/>
      <c r="L79" s="921"/>
      <c r="M79" s="921"/>
      <c r="N79" s="921"/>
      <c r="O79" s="921"/>
    </row>
    <row r="80" spans="3:15" thickBot="1" x14ac:dyDescent="0.35">
      <c r="C80" s="442" t="s">
        <v>655</v>
      </c>
      <c r="D80" s="914" t="s">
        <v>655</v>
      </c>
      <c r="E80" s="448" t="s">
        <v>656</v>
      </c>
      <c r="G80" s="449">
        <f>G72</f>
        <v>57657</v>
      </c>
      <c r="H80" s="449">
        <f t="shared" ref="H80:I80" si="63">H72</f>
        <v>74508</v>
      </c>
      <c r="I80" s="449">
        <f t="shared" si="63"/>
        <v>85313</v>
      </c>
      <c r="J80" s="449">
        <f t="shared" ref="J80:O80" si="64">J72</f>
        <v>93243</v>
      </c>
      <c r="K80" s="925">
        <f t="shared" ref="K80:N80" si="65">K72</f>
        <v>88513.762570099614</v>
      </c>
      <c r="L80" s="925">
        <f t="shared" si="65"/>
        <v>101389.07820872647</v>
      </c>
      <c r="M80" s="925">
        <f t="shared" si="65"/>
        <v>100999.02725804731</v>
      </c>
      <c r="N80" s="925">
        <f t="shared" si="65"/>
        <v>115939.11102598812</v>
      </c>
      <c r="O80" s="925">
        <f t="shared" si="64"/>
        <v>115927.6592136079</v>
      </c>
    </row>
    <row r="81" spans="3:15" thickBot="1" x14ac:dyDescent="0.35">
      <c r="C81" s="442"/>
      <c r="D81" s="914"/>
      <c r="E81" s="443" t="s">
        <v>657</v>
      </c>
      <c r="G81" s="451">
        <f>'BALANCES SHEET'!E31</f>
        <v>169316</v>
      </c>
      <c r="H81" s="452">
        <f>'BALANCES SHEET'!F31</f>
        <v>189716</v>
      </c>
      <c r="I81" s="453">
        <f>'BALANCES SHEET'!G31</f>
        <v>286982</v>
      </c>
      <c r="J81" s="453">
        <f>'BALANCES SHEET'!H31</f>
        <v>297716</v>
      </c>
      <c r="K81" s="922">
        <f>'BALANCES SHEET'!I31</f>
        <v>305685.69210487785</v>
      </c>
      <c r="L81" s="922">
        <f>'BALANCES SHEET'!J31</f>
        <v>306565.25582269148</v>
      </c>
      <c r="M81" s="922">
        <f>'BALANCES SHEET'!K31</f>
        <v>314118.98058626603</v>
      </c>
      <c r="N81" s="922">
        <f>'BALANCES SHEET'!L31</f>
        <v>329666.57483885076</v>
      </c>
      <c r="O81" s="922">
        <f>'BALANCES SHEET'!M31</f>
        <v>323339.79339708283</v>
      </c>
    </row>
    <row r="82" spans="3:15" thickBot="1" x14ac:dyDescent="0.35">
      <c r="C82" s="442"/>
      <c r="D82" s="914"/>
      <c r="E82" s="443"/>
      <c r="G82" s="454">
        <f t="shared" ref="G82:I82" si="66">G80/G81</f>
        <v>0.34052895178246589</v>
      </c>
      <c r="H82" s="455">
        <f t="shared" si="66"/>
        <v>0.39273440300238249</v>
      </c>
      <c r="I82" s="456">
        <f t="shared" si="66"/>
        <v>0.29727648423942965</v>
      </c>
      <c r="J82" s="456">
        <f t="shared" ref="J82:O82" si="67">J80/J81</f>
        <v>0.31319445377473837</v>
      </c>
      <c r="K82" s="923">
        <f t="shared" ref="K82:N82" si="68">K80/K81</f>
        <v>0.28955808157266122</v>
      </c>
      <c r="L82" s="923">
        <f t="shared" si="68"/>
        <v>0.33072592631751785</v>
      </c>
      <c r="M82" s="923">
        <f t="shared" si="68"/>
        <v>0.32153111878035684</v>
      </c>
      <c r="N82" s="923">
        <f t="shared" si="68"/>
        <v>0.35168597569426641</v>
      </c>
      <c r="O82" s="923">
        <f t="shared" si="67"/>
        <v>0.35853198888897969</v>
      </c>
    </row>
    <row r="83" spans="3:15" ht="14" x14ac:dyDescent="0.3">
      <c r="C83" s="442"/>
      <c r="D83" s="914"/>
      <c r="E83" s="443"/>
      <c r="G83" s="218"/>
      <c r="H83" s="215"/>
      <c r="I83" s="220"/>
      <c r="J83" s="220"/>
      <c r="K83" s="921"/>
      <c r="L83" s="921"/>
      <c r="M83" s="921"/>
      <c r="N83" s="921"/>
      <c r="O83" s="921"/>
    </row>
    <row r="84" spans="3:15" thickBot="1" x14ac:dyDescent="0.35">
      <c r="C84" s="442" t="s">
        <v>702</v>
      </c>
      <c r="D84" s="914" t="s">
        <v>702</v>
      </c>
      <c r="E84" s="448" t="s">
        <v>658</v>
      </c>
      <c r="G84" s="218">
        <f>SUM('BALANCES SHEET'!D31+'BALANCES SHEET'!E31)/2</f>
        <v>167002</v>
      </c>
      <c r="H84" s="215">
        <f>SUM('BALANCES SHEET'!E31+'BALANCES SHEET'!F31)/2</f>
        <v>179516</v>
      </c>
      <c r="I84" s="220">
        <f>SUM('BALANCES SHEET'!F31+'BALANCES SHEET'!G31)/2</f>
        <v>238349</v>
      </c>
      <c r="J84" s="220">
        <f>SUM('BALANCES SHEET'!G31+'BALANCES SHEET'!H31)/2</f>
        <v>292349</v>
      </c>
      <c r="K84" s="921">
        <f>SUM('BALANCES SHEET'!H31+'BALANCES SHEET'!I31)/2</f>
        <v>301700.84605243895</v>
      </c>
      <c r="L84" s="921">
        <f>SUM('BALANCES SHEET'!I31+'BALANCES SHEET'!J31)/2</f>
        <v>306125.47396378464</v>
      </c>
      <c r="M84" s="921">
        <f>SUM('BALANCES SHEET'!J31+'BALANCES SHEET'!K31)/2</f>
        <v>310342.11820447876</v>
      </c>
      <c r="N84" s="921">
        <f>SUM('BALANCES SHEET'!K31+'BALANCES SHEET'!L31)/2</f>
        <v>321892.7777125584</v>
      </c>
      <c r="O84" s="921">
        <f>SUM('BALANCES SHEET'!L31+'BALANCES SHEET'!M31)/2</f>
        <v>326503.1841179668</v>
      </c>
    </row>
    <row r="85" spans="3:15" thickBot="1" x14ac:dyDescent="0.35">
      <c r="C85" s="442"/>
      <c r="D85" s="914"/>
      <c r="E85" s="443" t="s">
        <v>659</v>
      </c>
      <c r="G85" s="24">
        <f>SUM('BALANCES SHEET'!D38+'BALANCES SHEET'!E38)/2</f>
        <v>45220</v>
      </c>
      <c r="H85" s="242">
        <f>SUM('BALANCES SHEET'!E38+'BALANCES SHEET'!F38)/2</f>
        <v>47901</v>
      </c>
      <c r="I85" s="243">
        <f>SUM('BALANCES SHEET'!F38+'BALANCES SHEET'!G38)/2</f>
        <v>46506.5</v>
      </c>
      <c r="J85" s="243">
        <f>SUM('BALANCES SHEET'!G38+'BALANCES SHEET'!H38)/2</f>
        <v>49636</v>
      </c>
      <c r="K85" s="927">
        <f>SUM('BALANCES SHEET'!H38+'BALANCES SHEET'!I38)/2</f>
        <v>56528.082764729988</v>
      </c>
      <c r="L85" s="927">
        <f>SUM('BALANCES SHEET'!I38+'BALANCES SHEET'!J38)/2</f>
        <v>48628.998516952866</v>
      </c>
      <c r="M85" s="927">
        <f>SUM('BALANCES SHEET'!J38+'BALANCES SHEET'!K38)/2</f>
        <v>43585.724878861467</v>
      </c>
      <c r="N85" s="927">
        <f>SUM('BALANCES SHEET'!K38+'BALANCES SHEET'!L38)/2</f>
        <v>47186.170947387989</v>
      </c>
      <c r="O85" s="927">
        <f>SUM('BALANCES SHEET'!L38+'BALANCES SHEET'!M38)/2</f>
        <v>44108.916156267915</v>
      </c>
    </row>
    <row r="86" spans="3:15" thickBot="1" x14ac:dyDescent="0.35">
      <c r="C86" s="442"/>
      <c r="D86" s="914"/>
      <c r="E86" s="443"/>
      <c r="G86" s="454">
        <f t="shared" ref="G86:I86" si="69">G84/G85</f>
        <v>3.6931003980539585</v>
      </c>
      <c r="H86" s="455">
        <f t="shared" si="69"/>
        <v>3.747646186927204</v>
      </c>
      <c r="I86" s="456">
        <f t="shared" si="69"/>
        <v>5.1250685388064037</v>
      </c>
      <c r="J86" s="456">
        <f t="shared" ref="J86:O86" si="70">J84/J85</f>
        <v>5.889858167459102</v>
      </c>
      <c r="K86" s="923">
        <f t="shared" ref="K86:N86" si="71">K84/K85</f>
        <v>5.3371851882562265</v>
      </c>
      <c r="L86" s="923">
        <f t="shared" si="71"/>
        <v>6.2951219087323844</v>
      </c>
      <c r="M86" s="923">
        <f t="shared" si="71"/>
        <v>7.1202697458174162</v>
      </c>
      <c r="N86" s="923">
        <f t="shared" si="71"/>
        <v>6.8217609365138987</v>
      </c>
      <c r="O86" s="923">
        <f t="shared" si="70"/>
        <v>7.4022037395169686</v>
      </c>
    </row>
    <row r="87" spans="3:15" ht="14" x14ac:dyDescent="0.3">
      <c r="C87" s="442"/>
      <c r="D87" s="914"/>
      <c r="E87" s="443"/>
      <c r="G87" s="218"/>
      <c r="H87" s="215"/>
      <c r="I87" s="220"/>
      <c r="J87" s="220"/>
      <c r="K87" s="921"/>
      <c r="L87" s="921"/>
      <c r="M87" s="921"/>
      <c r="N87" s="921"/>
      <c r="O87" s="921"/>
    </row>
    <row r="88" spans="3:15" thickBot="1" x14ac:dyDescent="0.35">
      <c r="C88" s="442" t="s">
        <v>660</v>
      </c>
      <c r="D88" s="914" t="s">
        <v>660</v>
      </c>
      <c r="E88" s="448" t="s">
        <v>661</v>
      </c>
      <c r="G88" s="218">
        <f>ANALYTICAL!E13</f>
        <v>7561</v>
      </c>
      <c r="H88" s="215">
        <f>ANALYTICAL!F13</f>
        <v>11223</v>
      </c>
      <c r="I88" s="220">
        <f>ANALYTICAL!G13</f>
        <v>11309</v>
      </c>
      <c r="J88" s="220">
        <f>ANALYTICAL!H13</f>
        <v>16893</v>
      </c>
      <c r="K88" s="921">
        <f>ANALYTICAL!I13</f>
        <v>19282.274028030966</v>
      </c>
      <c r="L88" s="921">
        <f>ANALYTICAL!J13</f>
        <v>14338.213362733732</v>
      </c>
      <c r="M88" s="921">
        <f>ANALYTICAL!K13</f>
        <v>17745.010016665234</v>
      </c>
      <c r="N88" s="921">
        <f>ANALYTICAL!L13</f>
        <v>17749.570035007768</v>
      </c>
      <c r="O88" s="921">
        <f>ANALYTICAL!M13</f>
        <v>17883.717687775425</v>
      </c>
    </row>
    <row r="89" spans="3:15" thickBot="1" x14ac:dyDescent="0.35">
      <c r="C89" s="442"/>
      <c r="D89" s="914"/>
      <c r="E89" s="443" t="s">
        <v>662</v>
      </c>
      <c r="G89" s="476">
        <f>ANALYTICAL!E14</f>
        <v>3160</v>
      </c>
      <c r="H89" s="477">
        <f>ANALYTICAL!F14</f>
        <v>5657</v>
      </c>
      <c r="I89" s="478">
        <f>ANALYTICAL!G14</f>
        <v>7228</v>
      </c>
      <c r="J89" s="478">
        <f>ANALYTICAL!H14</f>
        <v>10233</v>
      </c>
      <c r="K89" s="926">
        <f>ANALYTICAL!I14</f>
        <v>11045.07703855955</v>
      </c>
      <c r="L89" s="926">
        <f>ANALYTICAL!J14</f>
        <v>12026.503579616061</v>
      </c>
      <c r="M89" s="926">
        <f>ANALYTICAL!K14</f>
        <v>12635.972588662469</v>
      </c>
      <c r="N89" s="926">
        <f>ANALYTICAL!L14</f>
        <v>12587.361108924808</v>
      </c>
      <c r="O89" s="926">
        <f>ANALYTICAL!M14</f>
        <v>14449.321906865793</v>
      </c>
    </row>
    <row r="90" spans="3:15" thickBot="1" x14ac:dyDescent="0.35">
      <c r="C90" s="442"/>
      <c r="D90" s="914"/>
      <c r="E90" s="443"/>
      <c r="G90" s="454">
        <f t="shared" ref="G90:I90" si="72">G88/G89</f>
        <v>2.3927215189873419</v>
      </c>
      <c r="H90" s="455">
        <f t="shared" si="72"/>
        <v>1.9839137351953333</v>
      </c>
      <c r="I90" s="456">
        <f t="shared" si="72"/>
        <v>1.5646098505810737</v>
      </c>
      <c r="J90" s="456">
        <f t="shared" ref="J90:O90" si="73">J88/J89</f>
        <v>1.6508355321020229</v>
      </c>
      <c r="K90" s="923">
        <f t="shared" ref="K90:N90" si="74">K88/K89</f>
        <v>1.7457799489052432</v>
      </c>
      <c r="L90" s="923">
        <f t="shared" si="74"/>
        <v>1.192217943296157</v>
      </c>
      <c r="M90" s="923">
        <f t="shared" si="74"/>
        <v>1.404324826771689</v>
      </c>
      <c r="N90" s="923">
        <f t="shared" si="74"/>
        <v>1.4101104974594558</v>
      </c>
      <c r="O90" s="923">
        <f t="shared" si="73"/>
        <v>1.2376856023449607</v>
      </c>
    </row>
    <row r="91" spans="3:15" thickBot="1" x14ac:dyDescent="0.35">
      <c r="C91" s="464"/>
      <c r="D91" s="916"/>
      <c r="E91" s="448"/>
      <c r="G91" s="218"/>
      <c r="H91" s="215"/>
      <c r="I91" s="220"/>
      <c r="J91" s="220"/>
      <c r="K91" s="921"/>
      <c r="L91" s="921"/>
      <c r="M91" s="921"/>
      <c r="N91" s="921"/>
      <c r="O91" s="921"/>
    </row>
    <row r="92" spans="3:15" thickBot="1" x14ac:dyDescent="0.35">
      <c r="C92" s="442"/>
      <c r="D92" s="914"/>
      <c r="E92" s="443"/>
      <c r="G92" s="218"/>
      <c r="H92" s="215"/>
      <c r="I92" s="220"/>
      <c r="J92" s="220"/>
      <c r="K92" s="921"/>
      <c r="L92" s="921"/>
      <c r="M92" s="921"/>
      <c r="N92" s="921"/>
      <c r="O92" s="921"/>
    </row>
    <row r="93" spans="3:15" ht="15" x14ac:dyDescent="0.3">
      <c r="C93" s="465" t="s">
        <v>603</v>
      </c>
      <c r="D93" s="917" t="s">
        <v>603</v>
      </c>
      <c r="E93" s="466"/>
      <c r="G93" s="218"/>
      <c r="H93" s="215"/>
      <c r="I93" s="220"/>
      <c r="J93" s="220"/>
      <c r="K93" s="921"/>
      <c r="L93" s="921"/>
      <c r="M93" s="921"/>
      <c r="N93" s="921"/>
      <c r="O93" s="921"/>
    </row>
    <row r="94" spans="3:15" ht="14" x14ac:dyDescent="0.3">
      <c r="C94" s="442"/>
      <c r="D94" s="442"/>
      <c r="E94" s="443"/>
      <c r="G94" s="218"/>
      <c r="H94" s="215"/>
      <c r="I94" s="220"/>
      <c r="J94" s="220"/>
      <c r="K94" s="921"/>
      <c r="L94" s="921"/>
      <c r="M94" s="921"/>
      <c r="N94" s="921"/>
      <c r="O94" s="921"/>
    </row>
    <row r="95" spans="3:15" thickBot="1" x14ac:dyDescent="0.35">
      <c r="C95" s="442" t="s">
        <v>663</v>
      </c>
      <c r="D95" s="442" t="s">
        <v>663</v>
      </c>
      <c r="E95" s="448" t="s">
        <v>414</v>
      </c>
      <c r="G95" s="218">
        <f>ANALYTICAL!E20</f>
        <v>2074</v>
      </c>
      <c r="H95" s="215">
        <f>ANALYTICAL!F20</f>
        <v>2111</v>
      </c>
      <c r="I95" s="220">
        <f>ANALYTICAL!G20</f>
        <v>2434</v>
      </c>
      <c r="J95" s="220">
        <f>ANALYTICAL!H20</f>
        <v>2703.1849999999995</v>
      </c>
      <c r="K95" s="921">
        <f>ANALYTICAL!I20</f>
        <v>3146.4595307470754</v>
      </c>
      <c r="L95" s="921">
        <f>ANALYTICAL!J20</f>
        <v>51.556496713678825</v>
      </c>
      <c r="M95" s="921">
        <f>ANALYTICAL!K20</f>
        <v>1311.5766791766091</v>
      </c>
      <c r="N95" s="921">
        <f>ANALYTICAL!L20</f>
        <v>1347.4531195672553</v>
      </c>
      <c r="O95" s="921">
        <f>ANALYTICAL!M20</f>
        <v>201.32541314966875</v>
      </c>
    </row>
    <row r="96" spans="3:15" thickBot="1" x14ac:dyDescent="0.35">
      <c r="C96" s="442"/>
      <c r="D96" s="442"/>
      <c r="E96" s="443" t="s">
        <v>664</v>
      </c>
      <c r="G96" s="451">
        <f>ANALYTICAL!E7</f>
        <v>47745</v>
      </c>
      <c r="H96" s="452">
        <f>ANALYTICAL!F7</f>
        <v>54986</v>
      </c>
      <c r="I96" s="453">
        <f>ANALYTICAL!G7</f>
        <v>51719</v>
      </c>
      <c r="J96" s="453">
        <f>ANALYTICAL!H7</f>
        <v>81248</v>
      </c>
      <c r="K96" s="922">
        <f>ANALYTICAL!I7</f>
        <v>83362.113636363632</v>
      </c>
      <c r="L96" s="922">
        <f>ANALYTICAL!J7</f>
        <v>86610.368000000002</v>
      </c>
      <c r="M96" s="922">
        <f>ANALYTICAL!K7</f>
        <v>86749.8995</v>
      </c>
      <c r="N96" s="922">
        <f>ANALYTICAL!L7</f>
        <v>86964.284287999995</v>
      </c>
      <c r="O96" s="922">
        <f>ANALYTICAL!M7</f>
        <v>86973.493367000003</v>
      </c>
    </row>
    <row r="97" spans="3:15" thickBot="1" x14ac:dyDescent="0.35">
      <c r="C97" s="442"/>
      <c r="D97" s="442"/>
      <c r="E97" s="443"/>
      <c r="G97" s="479">
        <f t="shared" ref="G97:I97" si="75">G95/G96</f>
        <v>4.3439103571054558E-2</v>
      </c>
      <c r="H97" s="480">
        <f t="shared" si="75"/>
        <v>3.8391590586694793E-2</v>
      </c>
      <c r="I97" s="481">
        <f t="shared" si="75"/>
        <v>4.7062008159477177E-2</v>
      </c>
      <c r="J97" s="481">
        <f t="shared" ref="J97:O97" si="76">J95/J96</f>
        <v>3.3270788204017326E-2</v>
      </c>
      <c r="K97" s="928">
        <f t="shared" ref="K97:N97" si="77">K95/K96</f>
        <v>3.7744478798514398E-2</v>
      </c>
      <c r="L97" s="928">
        <f t="shared" si="77"/>
        <v>5.9526934135274451E-4</v>
      </c>
      <c r="M97" s="928">
        <f t="shared" si="77"/>
        <v>1.5119057044862733E-2</v>
      </c>
      <c r="N97" s="928">
        <f t="shared" si="77"/>
        <v>1.5494327707049126E-2</v>
      </c>
      <c r="O97" s="928">
        <f t="shared" si="76"/>
        <v>2.3147904649539674E-3</v>
      </c>
    </row>
    <row r="98" spans="3:15" ht="14" x14ac:dyDescent="0.3">
      <c r="C98" s="442"/>
      <c r="D98" s="442"/>
      <c r="E98" s="443"/>
      <c r="G98" s="218"/>
      <c r="H98" s="215"/>
      <c r="I98" s="220"/>
      <c r="J98" s="220"/>
      <c r="K98" s="921"/>
      <c r="L98" s="921"/>
      <c r="M98" s="921"/>
      <c r="N98" s="921"/>
      <c r="O98" s="921"/>
    </row>
    <row r="99" spans="3:15" thickBot="1" x14ac:dyDescent="0.35">
      <c r="C99" s="442" t="s">
        <v>665</v>
      </c>
      <c r="D99" s="442" t="s">
        <v>665</v>
      </c>
      <c r="E99" s="448" t="s">
        <v>666</v>
      </c>
      <c r="G99" s="218">
        <f>ANALYTICAL!E9</f>
        <v>19461</v>
      </c>
      <c r="H99" s="215">
        <f>ANALYTICAL!F9</f>
        <v>19235</v>
      </c>
      <c r="I99" s="220">
        <f>ANALYTICAL!G9</f>
        <v>23120</v>
      </c>
      <c r="J99" s="220">
        <f>ANALYTICAL!H9</f>
        <v>33732</v>
      </c>
      <c r="K99" s="921">
        <f>ANALYTICAL!I9</f>
        <v>35200.384571385192</v>
      </c>
      <c r="L99" s="921">
        <f>ANALYTICAL!J9</f>
        <v>33334.885999999999</v>
      </c>
      <c r="M99" s="921">
        <f>ANALYTICAL!K9</f>
        <v>36772.286775462155</v>
      </c>
      <c r="N99" s="921">
        <f>ANALYTICAL!L9</f>
        <v>36823.868850517872</v>
      </c>
      <c r="O99" s="921">
        <f>ANALYTICAL!M9</f>
        <v>36960.036375306554</v>
      </c>
    </row>
    <row r="100" spans="3:15" thickBot="1" x14ac:dyDescent="0.35">
      <c r="C100" s="442"/>
      <c r="D100" s="442"/>
      <c r="E100" s="443" t="s">
        <v>664</v>
      </c>
      <c r="G100" s="451">
        <f>ANALYTICAL!E7</f>
        <v>47745</v>
      </c>
      <c r="H100" s="452">
        <f>ANALYTICAL!F7</f>
        <v>54986</v>
      </c>
      <c r="I100" s="453">
        <f>ANALYTICAL!G7</f>
        <v>51719</v>
      </c>
      <c r="J100" s="453">
        <f>ANALYTICAL!H7</f>
        <v>81248</v>
      </c>
      <c r="K100" s="922">
        <f>ANALYTICAL!I7</f>
        <v>83362.113636363632</v>
      </c>
      <c r="L100" s="922">
        <f>ANALYTICAL!J7</f>
        <v>86610.368000000002</v>
      </c>
      <c r="M100" s="922">
        <f>ANALYTICAL!K7</f>
        <v>86749.8995</v>
      </c>
      <c r="N100" s="922">
        <f>ANALYTICAL!L7</f>
        <v>86964.284287999995</v>
      </c>
      <c r="O100" s="922">
        <f>ANALYTICAL!M7</f>
        <v>86973.493367000003</v>
      </c>
    </row>
    <row r="101" spans="3:15" thickBot="1" x14ac:dyDescent="0.35">
      <c r="C101" s="442"/>
      <c r="D101" s="442"/>
      <c r="E101" s="443"/>
      <c r="G101" s="479">
        <f t="shared" ref="G101:I101" si="78">G99/G100</f>
        <v>0.40760289035501102</v>
      </c>
      <c r="H101" s="480">
        <f t="shared" si="78"/>
        <v>0.34981631688066051</v>
      </c>
      <c r="I101" s="481">
        <f t="shared" si="78"/>
        <v>0.44703107175312745</v>
      </c>
      <c r="J101" s="481">
        <f t="shared" ref="J101:O101" si="79">J99/J100</f>
        <v>0.41517329657345414</v>
      </c>
      <c r="K101" s="928">
        <f t="shared" ref="K101:N101" si="80">K99/K100</f>
        <v>0.42225878202817457</v>
      </c>
      <c r="L101" s="928">
        <f t="shared" si="80"/>
        <v>0.38488332020480504</v>
      </c>
      <c r="M101" s="928">
        <f t="shared" si="80"/>
        <v>0.42388852306926483</v>
      </c>
      <c r="N101" s="928">
        <f t="shared" si="80"/>
        <v>0.42343669187879596</v>
      </c>
      <c r="O101" s="928">
        <f t="shared" si="79"/>
        <v>0.42495747778403198</v>
      </c>
    </row>
    <row r="102" spans="3:15" ht="14" x14ac:dyDescent="0.3">
      <c r="C102" s="442"/>
      <c r="D102" s="442"/>
      <c r="E102" s="443"/>
      <c r="G102" s="218"/>
      <c r="H102" s="215"/>
      <c r="I102" s="220"/>
      <c r="J102" s="220"/>
      <c r="K102" s="921"/>
      <c r="L102" s="921"/>
      <c r="M102" s="921"/>
      <c r="N102" s="921"/>
      <c r="O102" s="921"/>
    </row>
    <row r="103" spans="3:15" thickBot="1" x14ac:dyDescent="0.35">
      <c r="C103" s="442" t="s">
        <v>667</v>
      </c>
      <c r="D103" s="442" t="s">
        <v>667</v>
      </c>
      <c r="E103" s="448" t="s">
        <v>661</v>
      </c>
      <c r="G103" s="218">
        <f>ANALYTICAL!E13</f>
        <v>7561</v>
      </c>
      <c r="H103" s="215">
        <f>ANALYTICAL!F13</f>
        <v>11223</v>
      </c>
      <c r="I103" s="220">
        <f>ANALYTICAL!G13</f>
        <v>11309</v>
      </c>
      <c r="J103" s="220">
        <f>ANALYTICAL!H13</f>
        <v>16893</v>
      </c>
      <c r="K103" s="921">
        <f>ANALYTICAL!I13</f>
        <v>19282.274028030966</v>
      </c>
      <c r="L103" s="921">
        <f>ANALYTICAL!J13</f>
        <v>14338.213362733732</v>
      </c>
      <c r="M103" s="921">
        <f>ANALYTICAL!K13</f>
        <v>17745.010016665234</v>
      </c>
      <c r="N103" s="921">
        <f>ANALYTICAL!L13</f>
        <v>17749.570035007768</v>
      </c>
      <c r="O103" s="921">
        <f>ANALYTICAL!M13</f>
        <v>17883.717687775425</v>
      </c>
    </row>
    <row r="104" spans="3:15" thickBot="1" x14ac:dyDescent="0.35">
      <c r="C104" s="442"/>
      <c r="D104" s="442"/>
      <c r="E104" s="443" t="s">
        <v>464</v>
      </c>
      <c r="G104" s="451">
        <f>ANALYTICAL!E7</f>
        <v>47745</v>
      </c>
      <c r="H104" s="452">
        <f>ANALYTICAL!F7</f>
        <v>54986</v>
      </c>
      <c r="I104" s="453">
        <f>ANALYTICAL!G7</f>
        <v>51719</v>
      </c>
      <c r="J104" s="453">
        <f>ANALYTICAL!H7</f>
        <v>81248</v>
      </c>
      <c r="K104" s="922">
        <f>ANALYTICAL!I7</f>
        <v>83362.113636363632</v>
      </c>
      <c r="L104" s="922">
        <f>ANALYTICAL!J7</f>
        <v>86610.368000000002</v>
      </c>
      <c r="M104" s="922">
        <f>ANALYTICAL!K7</f>
        <v>86749.8995</v>
      </c>
      <c r="N104" s="922">
        <f>ANALYTICAL!L7</f>
        <v>86964.284287999995</v>
      </c>
      <c r="O104" s="922">
        <f>ANALYTICAL!M7</f>
        <v>86973.493367000003</v>
      </c>
    </row>
    <row r="105" spans="3:15" thickBot="1" x14ac:dyDescent="0.35">
      <c r="C105" s="442"/>
      <c r="D105" s="442"/>
      <c r="E105" s="443"/>
      <c r="G105" s="479">
        <f t="shared" ref="G105:I105" si="81">G103/G104</f>
        <v>0.15836213216043565</v>
      </c>
      <c r="H105" s="480">
        <f t="shared" si="81"/>
        <v>0.20410649983632198</v>
      </c>
      <c r="I105" s="481">
        <f t="shared" si="81"/>
        <v>0.21866238713045497</v>
      </c>
      <c r="J105" s="481">
        <f t="shared" ref="J105:O105" si="82">J103/J104</f>
        <v>0.20791896415911776</v>
      </c>
      <c r="K105" s="928">
        <f t="shared" ref="K105:N105" si="83">K103/K104</f>
        <v>0.23130740317049481</v>
      </c>
      <c r="L105" s="928">
        <f t="shared" si="83"/>
        <v>0.16554846369817677</v>
      </c>
      <c r="M105" s="928">
        <f t="shared" si="83"/>
        <v>0.20455366656263657</v>
      </c>
      <c r="N105" s="928">
        <f t="shared" si="83"/>
        <v>0.20410183537216772</v>
      </c>
      <c r="O105" s="928">
        <f t="shared" si="82"/>
        <v>0.20562262127740369</v>
      </c>
    </row>
    <row r="106" spans="3:15" ht="14" x14ac:dyDescent="0.3">
      <c r="C106" s="442"/>
      <c r="D106" s="442"/>
      <c r="E106" s="443"/>
      <c r="G106" s="218"/>
      <c r="H106" s="215"/>
      <c r="I106" s="220"/>
      <c r="J106" s="220"/>
      <c r="K106" s="921"/>
      <c r="L106" s="921"/>
      <c r="M106" s="921"/>
      <c r="N106" s="921"/>
      <c r="O106" s="921"/>
    </row>
    <row r="107" spans="3:15" thickBot="1" x14ac:dyDescent="0.35">
      <c r="C107" s="442" t="s">
        <v>668</v>
      </c>
      <c r="D107" s="442" t="s">
        <v>668</v>
      </c>
      <c r="E107" s="448" t="s">
        <v>669</v>
      </c>
      <c r="G107" s="218">
        <f>ANALYTICAL!E18</f>
        <v>5394</v>
      </c>
      <c r="H107" s="215">
        <f>ANALYTICAL!F18</f>
        <v>6381</v>
      </c>
      <c r="I107" s="220">
        <f>ANALYTICAL!G18</f>
        <v>6404</v>
      </c>
      <c r="J107" s="220">
        <f>ANALYTICAL!H18</f>
        <v>8269</v>
      </c>
      <c r="K107" s="921">
        <f>ANALYTICAL!I18</f>
        <v>9718.8367769187062</v>
      </c>
      <c r="L107" s="921">
        <f>ANALYTICAL!J18</f>
        <v>3709.9197831176707</v>
      </c>
      <c r="M107" s="921">
        <f>ANALYTICAL!K18</f>
        <v>6509.2824913581699</v>
      </c>
      <c r="N107" s="921">
        <f>ANALYTICAL!L18</f>
        <v>6565.58078608296</v>
      </c>
      <c r="O107" s="921">
        <f>ANALYTICAL!M18</f>
        <v>4837.9019550910889</v>
      </c>
    </row>
    <row r="108" spans="3:15" thickBot="1" x14ac:dyDescent="0.35">
      <c r="C108" s="442"/>
      <c r="D108" s="442"/>
      <c r="E108" s="443" t="s">
        <v>664</v>
      </c>
      <c r="G108" s="451">
        <f>ANALYTICAL!E7</f>
        <v>47745</v>
      </c>
      <c r="H108" s="452">
        <f>ANALYTICAL!F7</f>
        <v>54986</v>
      </c>
      <c r="I108" s="453">
        <f>ANALYTICAL!G7</f>
        <v>51719</v>
      </c>
      <c r="J108" s="453">
        <f>ANALYTICAL!H7</f>
        <v>81248</v>
      </c>
      <c r="K108" s="922">
        <f>ANALYTICAL!I7</f>
        <v>83362.113636363632</v>
      </c>
      <c r="L108" s="922">
        <f>ANALYTICAL!J7</f>
        <v>86610.368000000002</v>
      </c>
      <c r="M108" s="922">
        <f>ANALYTICAL!K7</f>
        <v>86749.8995</v>
      </c>
      <c r="N108" s="922">
        <f>ANALYTICAL!L7</f>
        <v>86964.284287999995</v>
      </c>
      <c r="O108" s="922">
        <f>ANALYTICAL!M7</f>
        <v>86973.493367000003</v>
      </c>
    </row>
    <row r="109" spans="3:15" thickBot="1" x14ac:dyDescent="0.35">
      <c r="C109" s="442"/>
      <c r="D109" s="442"/>
      <c r="E109" s="443"/>
      <c r="G109" s="479">
        <f t="shared" ref="G109:I109" si="84">G107/G108</f>
        <v>0.11297518064718819</v>
      </c>
      <c r="H109" s="480">
        <f t="shared" si="84"/>
        <v>0.11604772123813334</v>
      </c>
      <c r="I109" s="481">
        <f t="shared" si="84"/>
        <v>0.12382296641466385</v>
      </c>
      <c r="J109" s="481">
        <f t="shared" ref="J109:O109" si="85">J107/J108</f>
        <v>0.10177481291847183</v>
      </c>
      <c r="K109" s="928">
        <f t="shared" ref="K109:N109" si="86">K107/K108</f>
        <v>0.11658577683518839</v>
      </c>
      <c r="L109" s="928">
        <f t="shared" si="86"/>
        <v>4.2834592079295526E-2</v>
      </c>
      <c r="M109" s="928">
        <f t="shared" si="86"/>
        <v>7.5035043600922793E-2</v>
      </c>
      <c r="N109" s="928">
        <f t="shared" si="86"/>
        <v>7.5497439435477876E-2</v>
      </c>
      <c r="O109" s="928">
        <f t="shared" si="85"/>
        <v>5.5625015942233201E-2</v>
      </c>
    </row>
    <row r="110" spans="3:15" ht="14" x14ac:dyDescent="0.3">
      <c r="C110" s="442"/>
      <c r="D110" s="442"/>
      <c r="E110" s="443"/>
      <c r="G110" s="218"/>
      <c r="H110" s="215"/>
      <c r="I110" s="220"/>
      <c r="J110" s="220"/>
      <c r="K110" s="921"/>
      <c r="L110" s="921"/>
      <c r="M110" s="921"/>
      <c r="N110" s="921"/>
      <c r="O110" s="921"/>
    </row>
    <row r="111" spans="3:15" thickBot="1" x14ac:dyDescent="0.35">
      <c r="C111" s="442" t="s">
        <v>670</v>
      </c>
      <c r="D111" s="442" t="s">
        <v>670</v>
      </c>
      <c r="E111" s="448" t="s">
        <v>414</v>
      </c>
      <c r="G111" s="461">
        <f>ANALYTICAL!E20+ANALYTICAL!E14*1-ANALYTICAL!E19</f>
        <v>1914</v>
      </c>
      <c r="H111" s="469">
        <f>ANALYTICAL!F20+ANALYTICAL!F14*1-ANALYTICAL!F19</f>
        <v>3498</v>
      </c>
      <c r="I111" s="470">
        <f>ANALYTICAL!G20+ANALYTICAL!G14*1-ANALYTICAL!G19</f>
        <v>5692</v>
      </c>
      <c r="J111" s="470">
        <f>ANALYTICAL!H20+ANALYTICAL!H14*1-ANALYTICAL!H19</f>
        <v>7370.369999999999</v>
      </c>
      <c r="K111" s="924">
        <f>ANALYTICAL!I20+ANALYTICAL!I14*1-ANALYTICAL!I19</f>
        <v>7619.1593231349943</v>
      </c>
      <c r="L111" s="924">
        <f>ANALYTICAL!J20+ANALYTICAL!J14*1-ANALYTICAL!J19</f>
        <v>8419.6967899257488</v>
      </c>
      <c r="M111" s="924">
        <f>ANALYTICAL!K20+ANALYTICAL!K14*1-ANALYTICAL!K19</f>
        <v>8749.8434556575176</v>
      </c>
      <c r="N111" s="924">
        <f>ANALYTICAL!L20+ANALYTICAL!L14*1-ANALYTICAL!L19</f>
        <v>8716.6865619763594</v>
      </c>
      <c r="O111" s="924">
        <f>ANALYTICAL!M20+ANALYTICAL!M14*1-ANALYTICAL!M19</f>
        <v>10014.070778074041</v>
      </c>
    </row>
    <row r="112" spans="3:15" ht="14" x14ac:dyDescent="0.3">
      <c r="C112" s="442"/>
      <c r="D112" s="442"/>
      <c r="E112" s="443" t="s">
        <v>671</v>
      </c>
      <c r="G112" s="451">
        <f>SUM('BALANCES SHEET'!D31+'BALANCES SHEET'!E31)/2</f>
        <v>167002</v>
      </c>
      <c r="H112" s="452">
        <f>SUM('BALANCES SHEET'!E31+'BALANCES SHEET'!F31)/2</f>
        <v>179516</v>
      </c>
      <c r="I112" s="453">
        <f>SUM('BALANCES SHEET'!F31+'BALANCES SHEET'!G31)/2</f>
        <v>238349</v>
      </c>
      <c r="J112" s="453">
        <f>SUM('BALANCES SHEET'!G31+'BALANCES SHEET'!H31)/2</f>
        <v>292349</v>
      </c>
      <c r="K112" s="922">
        <f>SUM('BALANCES SHEET'!H31+'BALANCES SHEET'!I31)/2</f>
        <v>301700.84605243895</v>
      </c>
      <c r="L112" s="922">
        <f>SUM('BALANCES SHEET'!I31+'BALANCES SHEET'!J31)/2</f>
        <v>306125.47396378464</v>
      </c>
      <c r="M112" s="922">
        <f>SUM('BALANCES SHEET'!J31+'BALANCES SHEET'!K31)/2</f>
        <v>310342.11820447876</v>
      </c>
      <c r="N112" s="922">
        <f>SUM('BALANCES SHEET'!K31+'BALANCES SHEET'!L31)/2</f>
        <v>321892.7777125584</v>
      </c>
      <c r="O112" s="922">
        <f>SUM('BALANCES SHEET'!L31+'BALANCES SHEET'!M31)/2</f>
        <v>326503.1841179668</v>
      </c>
    </row>
    <row r="113" spans="3:15" ht="14" x14ac:dyDescent="0.3">
      <c r="C113" s="442"/>
      <c r="D113" s="442"/>
      <c r="E113" s="296" t="s">
        <v>604</v>
      </c>
      <c r="G113" s="482">
        <f t="shared" ref="G113:I113" si="87">G111/G112</f>
        <v>1.1460940587537874E-2</v>
      </c>
      <c r="H113" s="483">
        <f t="shared" si="87"/>
        <v>1.9485728291628601E-2</v>
      </c>
      <c r="I113" s="484">
        <f t="shared" si="87"/>
        <v>2.3880947685956309E-2</v>
      </c>
      <c r="J113" s="484">
        <f t="shared" ref="J113:O113" si="88">J111/J112</f>
        <v>2.52108609914862E-2</v>
      </c>
      <c r="K113" s="929">
        <f t="shared" ref="K113:N113" si="89">K111/K112</f>
        <v>2.5254020407389575E-2</v>
      </c>
      <c r="L113" s="929">
        <f t="shared" si="89"/>
        <v>2.7504071062448787E-2</v>
      </c>
      <c r="M113" s="929">
        <f t="shared" si="89"/>
        <v>2.8194186165515587E-2</v>
      </c>
      <c r="N113" s="929">
        <f t="shared" si="89"/>
        <v>2.7079472313479881E-2</v>
      </c>
      <c r="O113" s="929">
        <f t="shared" si="88"/>
        <v>3.0670668052216975E-2</v>
      </c>
    </row>
    <row r="114" spans="3:15" ht="14" x14ac:dyDescent="0.3">
      <c r="C114" s="442"/>
      <c r="D114" s="442"/>
      <c r="E114" s="443"/>
      <c r="G114" s="218"/>
      <c r="H114" s="215"/>
      <c r="I114" s="220"/>
      <c r="J114" s="220"/>
      <c r="K114" s="921"/>
      <c r="L114" s="921"/>
      <c r="M114" s="921"/>
      <c r="N114" s="921"/>
      <c r="O114" s="921"/>
    </row>
    <row r="115" spans="3:15" thickBot="1" x14ac:dyDescent="0.35">
      <c r="C115" s="442" t="s">
        <v>672</v>
      </c>
      <c r="D115" s="442" t="s">
        <v>672</v>
      </c>
      <c r="E115" s="448" t="s">
        <v>661</v>
      </c>
      <c r="G115" s="218">
        <f>ANALYTICAL!E13</f>
        <v>7561</v>
      </c>
      <c r="H115" s="215">
        <f>ANALYTICAL!F13</f>
        <v>11223</v>
      </c>
      <c r="I115" s="220">
        <f>ANALYTICAL!G13</f>
        <v>11309</v>
      </c>
      <c r="J115" s="220">
        <f>ANALYTICAL!H13</f>
        <v>16893</v>
      </c>
      <c r="K115" s="921">
        <f>ANALYTICAL!I13</f>
        <v>19282.274028030966</v>
      </c>
      <c r="L115" s="921">
        <f>ANALYTICAL!J13</f>
        <v>14338.213362733732</v>
      </c>
      <c r="M115" s="921">
        <f>ANALYTICAL!K13</f>
        <v>17745.010016665234</v>
      </c>
      <c r="N115" s="921">
        <f>ANALYTICAL!L13</f>
        <v>17749.570035007768</v>
      </c>
      <c r="O115" s="921">
        <f>ANALYTICAL!M13</f>
        <v>17883.717687775425</v>
      </c>
    </row>
    <row r="116" spans="3:15" thickBot="1" x14ac:dyDescent="0.35">
      <c r="C116" s="442"/>
      <c r="D116" s="442"/>
      <c r="E116" s="443" t="s">
        <v>671</v>
      </c>
      <c r="G116" s="451">
        <f>SUM('BALANCES SHEET'!D31+'BALANCES SHEET'!E31)/2</f>
        <v>167002</v>
      </c>
      <c r="H116" s="452">
        <f>SUM('BALANCES SHEET'!E31+'BALANCES SHEET'!F31)/2</f>
        <v>179516</v>
      </c>
      <c r="I116" s="453">
        <f>SUM('BALANCES SHEET'!F31+'BALANCES SHEET'!G31)/2</f>
        <v>238349</v>
      </c>
      <c r="J116" s="453">
        <f>SUM('BALANCES SHEET'!G31+'BALANCES SHEET'!H31)/2</f>
        <v>292349</v>
      </c>
      <c r="K116" s="922">
        <f>SUM('BALANCES SHEET'!H31+'BALANCES SHEET'!I31)/2</f>
        <v>301700.84605243895</v>
      </c>
      <c r="L116" s="922">
        <f>SUM('BALANCES SHEET'!I31+'BALANCES SHEET'!J31)/2</f>
        <v>306125.47396378464</v>
      </c>
      <c r="M116" s="922">
        <f>SUM('BALANCES SHEET'!J31+'BALANCES SHEET'!K31)/2</f>
        <v>310342.11820447876</v>
      </c>
      <c r="N116" s="922">
        <f>SUM('BALANCES SHEET'!K31+'BALANCES SHEET'!L31)/2</f>
        <v>321892.7777125584</v>
      </c>
      <c r="O116" s="922">
        <f>SUM('BALANCES SHEET'!L31+'BALANCES SHEET'!M31)/2</f>
        <v>326503.1841179668</v>
      </c>
    </row>
    <row r="117" spans="3:15" thickBot="1" x14ac:dyDescent="0.35">
      <c r="C117" s="442"/>
      <c r="D117" s="442"/>
      <c r="E117" s="443"/>
      <c r="G117" s="479">
        <f t="shared" ref="G117:I117" si="90">G115/G116</f>
        <v>4.5274906887342668E-2</v>
      </c>
      <c r="H117" s="480">
        <f t="shared" si="90"/>
        <v>6.2518104235834135E-2</v>
      </c>
      <c r="I117" s="481">
        <f t="shared" si="90"/>
        <v>4.7447230741475735E-2</v>
      </c>
      <c r="J117" s="481">
        <f t="shared" ref="J117:O117" si="91">J115/J116</f>
        <v>5.7783676359419736E-2</v>
      </c>
      <c r="K117" s="928">
        <f t="shared" ref="K117:N117" si="92">K115/K116</f>
        <v>6.3911899089204055E-2</v>
      </c>
      <c r="L117" s="928">
        <f t="shared" si="92"/>
        <v>4.6837700819468475E-2</v>
      </c>
      <c r="M117" s="928">
        <f t="shared" si="92"/>
        <v>5.7178864793896167E-2</v>
      </c>
      <c r="N117" s="928">
        <f t="shared" si="92"/>
        <v>5.5141249707869051E-2</v>
      </c>
      <c r="O117" s="928">
        <f t="shared" si="91"/>
        <v>5.4773486317101189E-2</v>
      </c>
    </row>
    <row r="118" spans="3:15" ht="14" x14ac:dyDescent="0.3">
      <c r="C118" s="442"/>
      <c r="D118" s="442"/>
      <c r="E118" s="443"/>
      <c r="G118" s="218"/>
      <c r="H118" s="215"/>
      <c r="I118" s="220"/>
      <c r="J118" s="220"/>
      <c r="K118" s="921"/>
      <c r="L118" s="921"/>
      <c r="M118" s="921"/>
      <c r="N118" s="921"/>
      <c r="O118" s="921"/>
    </row>
    <row r="119" spans="3:15" thickBot="1" x14ac:dyDescent="0.35">
      <c r="C119" s="442" t="s">
        <v>673</v>
      </c>
      <c r="D119" s="442" t="s">
        <v>673</v>
      </c>
      <c r="E119" s="448" t="s">
        <v>661</v>
      </c>
      <c r="G119" s="218">
        <f>ANALYTICAL!E13</f>
        <v>7561</v>
      </c>
      <c r="H119" s="215">
        <f>ANALYTICAL!F13</f>
        <v>11223</v>
      </c>
      <c r="I119" s="220">
        <f>ANALYTICAL!G13</f>
        <v>11309</v>
      </c>
      <c r="J119" s="220">
        <f>ANALYTICAL!H13</f>
        <v>16893</v>
      </c>
      <c r="K119" s="921">
        <f>ANALYTICAL!I13</f>
        <v>19282.274028030966</v>
      </c>
      <c r="L119" s="921">
        <f>ANALYTICAL!J13</f>
        <v>14338.213362733732</v>
      </c>
      <c r="M119" s="921">
        <f>ANALYTICAL!K13</f>
        <v>17745.010016665234</v>
      </c>
      <c r="N119" s="921">
        <f>ANALYTICAL!L13</f>
        <v>17749.570035007768</v>
      </c>
      <c r="O119" s="921">
        <f>ANALYTICAL!M13</f>
        <v>17883.717687775425</v>
      </c>
    </row>
    <row r="120" spans="3:15" thickBot="1" x14ac:dyDescent="0.35">
      <c r="C120" s="442"/>
      <c r="D120" s="442"/>
      <c r="E120" s="443" t="s">
        <v>674</v>
      </c>
      <c r="G120" s="463" cm="1">
        <f t="array" ref="G120">SUM('BALANCES SHEET'!D62:E62-'BALANCES SHEET'!D63:E63)/2</f>
        <v>40218</v>
      </c>
      <c r="H120" s="463" cm="1">
        <f t="array" ref="H120">SUM('BALANCES SHEET'!E62:F62-'BALANCES SHEET'!E63:F63)/2</f>
        <v>44844.5</v>
      </c>
      <c r="I120" s="463" cm="1">
        <f t="array" ref="I120">SUM('BALANCES SHEET'!F62:G62-'BALANCES SHEET'!F63:G63)/2</f>
        <v>49146</v>
      </c>
      <c r="J120" s="463" cm="1">
        <f t="array" ref="J120">SUM('BALANCES SHEET'!G62:H62-'BALANCES SHEET'!G63:H63)/2</f>
        <v>49330.5</v>
      </c>
      <c r="K120" s="930" cm="1">
        <f t="array" ref="K120">SUM('BALANCES SHEET'!H62:I62-'BALANCES SHEET'!H63:I63)/2</f>
        <v>49188.794123615837</v>
      </c>
      <c r="L120" s="930" cm="1">
        <f t="array" ref="L120">SUM('BALANCES SHEET'!I62:J62-'BALANCES SHEET'!I63:J63)/2</f>
        <v>46944.83090931378</v>
      </c>
      <c r="M120" s="930" cm="1">
        <f t="array" ref="M120">SUM('BALANCES SHEET'!J62:K62-'BALANCES SHEET'!J63:K63)/2</f>
        <v>51769.634611681366</v>
      </c>
      <c r="N120" s="930" cm="1">
        <f t="array" ref="N120">SUM('BALANCES SHEET'!K62:L62-'BALANCES SHEET'!K63:L63)/2</f>
        <v>65224.419596982843</v>
      </c>
      <c r="O120" s="930" cm="1">
        <f t="array" ref="O120">SUM('BALANCES SHEET'!L62:M62-'BALANCES SHEET'!L63:M63)/2</f>
        <v>68030.136510248572</v>
      </c>
    </row>
    <row r="121" spans="3:15" thickBot="1" x14ac:dyDescent="0.35">
      <c r="C121" s="442"/>
      <c r="D121" s="442"/>
      <c r="E121" s="443"/>
      <c r="G121" s="479">
        <f t="shared" ref="G121:I121" si="93">G119/G120</f>
        <v>0.1880003978318166</v>
      </c>
      <c r="H121" s="480">
        <f t="shared" si="93"/>
        <v>0.25026480393359274</v>
      </c>
      <c r="I121" s="481">
        <f t="shared" si="93"/>
        <v>0.23011028364465064</v>
      </c>
      <c r="J121" s="481">
        <f t="shared" ref="J121:O121" si="94">J119/J120</f>
        <v>0.34244534314470765</v>
      </c>
      <c r="K121" s="928">
        <f t="shared" ref="K121:N121" si="95">K119/K120</f>
        <v>0.3920054226085089</v>
      </c>
      <c r="L121" s="928">
        <f t="shared" si="95"/>
        <v>0.30542688268345758</v>
      </c>
      <c r="M121" s="928">
        <f t="shared" si="95"/>
        <v>0.34276869345840866</v>
      </c>
      <c r="N121" s="928">
        <f t="shared" si="95"/>
        <v>0.27213074711405832</v>
      </c>
      <c r="O121" s="928">
        <f t="shared" si="94"/>
        <v>0.26287934443702443</v>
      </c>
    </row>
    <row r="122" spans="3:15" ht="14" x14ac:dyDescent="0.3">
      <c r="C122" s="442"/>
      <c r="D122" s="442"/>
      <c r="E122" s="443"/>
      <c r="G122" s="218"/>
      <c r="H122" s="215"/>
      <c r="I122" s="220"/>
      <c r="J122" s="220"/>
      <c r="K122" s="921"/>
      <c r="L122" s="921"/>
      <c r="M122" s="921"/>
      <c r="N122" s="921"/>
      <c r="O122" s="921"/>
    </row>
    <row r="123" spans="3:15" thickBot="1" x14ac:dyDescent="0.35">
      <c r="C123" s="442" t="s">
        <v>675</v>
      </c>
      <c r="D123" s="442" t="s">
        <v>675</v>
      </c>
      <c r="E123" s="485" t="s">
        <v>676</v>
      </c>
      <c r="G123" s="461">
        <f>ANALYTICAL!E13*1-ANALYTICAL!E19</f>
        <v>4241</v>
      </c>
      <c r="H123" s="469">
        <f>ANALYTICAL!F13*1-ANALYTICAL!F19</f>
        <v>6953</v>
      </c>
      <c r="I123" s="470">
        <f>ANALYTICAL!G13*1-ANALYTICAL!G19</f>
        <v>7339</v>
      </c>
      <c r="J123" s="470">
        <f>ANALYTICAL!H13*1-ANALYTICAL!H19</f>
        <v>11327.184999999999</v>
      </c>
      <c r="K123" s="924">
        <f>ANALYTICAL!I13*1-ANALYTICAL!I19</f>
        <v>12709.896781859336</v>
      </c>
      <c r="L123" s="924">
        <f>ANALYTICAL!J13*1-ANALYTICAL!J19</f>
        <v>10679.85007632974</v>
      </c>
      <c r="M123" s="924">
        <f>ANALYTICAL!K13*1-ANALYTICAL!K19</f>
        <v>12547.304204483673</v>
      </c>
      <c r="N123" s="924">
        <f>ANALYTICAL!L13*1-ANALYTICAL!L19</f>
        <v>12531.442368492062</v>
      </c>
      <c r="O123" s="924">
        <f>ANALYTICAL!M13*1-ANALYTICAL!M19</f>
        <v>13247.141145834004</v>
      </c>
    </row>
    <row r="124" spans="3:15" thickBot="1" x14ac:dyDescent="0.35">
      <c r="C124" s="442"/>
      <c r="D124" s="442"/>
      <c r="E124" s="443" t="s">
        <v>674</v>
      </c>
      <c r="G124" s="463" cm="1">
        <f t="array" ref="G124">SUM('BALANCES SHEET'!D62:E62-'BALANCES SHEET'!D63:E63)/2</f>
        <v>40218</v>
      </c>
      <c r="H124" s="463" cm="1">
        <f t="array" ref="H124">SUM('BALANCES SHEET'!E62:F62-'BALANCES SHEET'!E63:F63)/2</f>
        <v>44844.5</v>
      </c>
      <c r="I124" s="463" cm="1">
        <f t="array" ref="I124">SUM('BALANCES SHEET'!F62:G62-'BALANCES SHEET'!F63:G63)/2</f>
        <v>49146</v>
      </c>
      <c r="J124" s="463" cm="1">
        <f t="array" ref="J124">SUM('BALANCES SHEET'!G62:H62-'BALANCES SHEET'!G63:H63)/2</f>
        <v>49330.5</v>
      </c>
      <c r="K124" s="930" cm="1">
        <f t="array" ref="K124">SUM('BALANCES SHEET'!H62:I62-'BALANCES SHEET'!H63:I63)/2</f>
        <v>49188.794123615837</v>
      </c>
      <c r="L124" s="930" cm="1">
        <f t="array" ref="L124">SUM('BALANCES SHEET'!I62:J62-'BALANCES SHEET'!I63:J63)/2</f>
        <v>46944.83090931378</v>
      </c>
      <c r="M124" s="930" cm="1">
        <f t="array" ref="M124">SUM('BALANCES SHEET'!J62:K62-'BALANCES SHEET'!J63:K63)/2</f>
        <v>51769.634611681366</v>
      </c>
      <c r="N124" s="930" cm="1">
        <f t="array" ref="N124">SUM('BALANCES SHEET'!K62:L62-'BALANCES SHEET'!K63:L63)/2</f>
        <v>65224.419596982843</v>
      </c>
      <c r="O124" s="930" cm="1">
        <f t="array" ref="O124">SUM('BALANCES SHEET'!L62:M62-'BALANCES SHEET'!L63:M63)/2</f>
        <v>68030.136510248572</v>
      </c>
    </row>
    <row r="125" spans="3:15" thickBot="1" x14ac:dyDescent="0.35">
      <c r="C125" s="442"/>
      <c r="D125" s="442"/>
      <c r="E125" s="443"/>
      <c r="G125" s="479">
        <f t="shared" ref="G125:I125" si="96">G123/G124</f>
        <v>0.1054502958874136</v>
      </c>
      <c r="H125" s="480">
        <f t="shared" si="96"/>
        <v>0.15504688423329505</v>
      </c>
      <c r="I125" s="481">
        <f t="shared" si="96"/>
        <v>0.14933056606844911</v>
      </c>
      <c r="J125" s="481">
        <f t="shared" ref="J125:O125" si="97">J123/J124</f>
        <v>0.22961828888821317</v>
      </c>
      <c r="K125" s="928">
        <f t="shared" ref="K125:N125" si="98">K123/K124</f>
        <v>0.25839008677297981</v>
      </c>
      <c r="L125" s="928">
        <f t="shared" si="98"/>
        <v>0.22749789208870863</v>
      </c>
      <c r="M125" s="928">
        <f t="shared" si="98"/>
        <v>0.24236802709927729</v>
      </c>
      <c r="N125" s="928">
        <f t="shared" si="98"/>
        <v>0.19212807788743808</v>
      </c>
      <c r="O125" s="928">
        <f t="shared" si="97"/>
        <v>0.19472460038116129</v>
      </c>
    </row>
    <row r="126" spans="3:15" ht="14" x14ac:dyDescent="0.3">
      <c r="C126" s="442"/>
      <c r="D126" s="442"/>
      <c r="E126" s="443"/>
      <c r="G126" s="218"/>
      <c r="H126" s="215"/>
      <c r="I126" s="220"/>
      <c r="J126" s="220"/>
      <c r="K126" s="921"/>
      <c r="L126" s="921"/>
      <c r="M126" s="921"/>
      <c r="N126" s="921"/>
      <c r="O126" s="921"/>
    </row>
    <row r="127" spans="3:15" ht="14" x14ac:dyDescent="0.3">
      <c r="C127" s="442" t="s">
        <v>677</v>
      </c>
      <c r="D127" s="442" t="s">
        <v>677</v>
      </c>
      <c r="E127" s="486" t="s">
        <v>678</v>
      </c>
      <c r="G127" s="218">
        <f>ANALYTICAL!E20</f>
        <v>2074</v>
      </c>
      <c r="H127" s="215">
        <f>ANALYTICAL!F20</f>
        <v>2111</v>
      </c>
      <c r="I127" s="220">
        <f>ANALYTICAL!G20</f>
        <v>2434</v>
      </c>
      <c r="J127" s="220">
        <f>ANALYTICAL!H20</f>
        <v>2703.1849999999995</v>
      </c>
      <c r="K127" s="921">
        <f>ANALYTICAL!I20</f>
        <v>3146.4595307470754</v>
      </c>
      <c r="L127" s="921">
        <f>ANALYTICAL!J20</f>
        <v>51.556496713678825</v>
      </c>
      <c r="M127" s="921">
        <f>ANALYTICAL!K20</f>
        <v>1311.5766791766091</v>
      </c>
      <c r="N127" s="921">
        <f>ANALYTICAL!L20</f>
        <v>1347.4531195672553</v>
      </c>
      <c r="O127" s="921">
        <f>ANALYTICAL!M20</f>
        <v>201.32541314966875</v>
      </c>
    </row>
    <row r="128" spans="3:15" thickBot="1" x14ac:dyDescent="0.35">
      <c r="C128" s="442" t="s">
        <v>679</v>
      </c>
      <c r="D128" s="442" t="s">
        <v>679</v>
      </c>
      <c r="E128" s="443" t="s">
        <v>680</v>
      </c>
      <c r="G128" s="451">
        <f>(('BALANCES SHEET'!D34+'BALANCES SHEET'!D35)+('BALANCES SHEET'!E34+'BALANCES SHEET'!E35))/2</f>
        <v>43073.5</v>
      </c>
      <c r="H128" s="451">
        <f>(('BALANCES SHEET'!E34+'BALANCES SHEET'!E35)+('BALANCES SHEET'!F34+'BALANCES SHEET'!F35))/2</f>
        <v>45737.5</v>
      </c>
      <c r="I128" s="451">
        <f>(('BALANCES SHEET'!F34+'BALANCES SHEET'!F35)+('BALANCES SHEET'!G34+'BALANCES SHEET'!G35))/2</f>
        <v>44796.5</v>
      </c>
      <c r="J128" s="451">
        <f>(('BALANCES SHEET'!G34+'BALANCES SHEET'!G35)+('BALANCES SHEET'!H34+'BALANCES SHEET'!H35))/2</f>
        <v>47934</v>
      </c>
      <c r="K128" s="931">
        <f>(('BALANCES SHEET'!H34+'BALANCES SHEET'!H35)+('BALANCES SHEET'!I34+'BALANCES SHEET'!I35))/2</f>
        <v>54214.367352993984</v>
      </c>
      <c r="L128" s="931">
        <f>(('BALANCES SHEET'!I34+'BALANCES SHEET'!I35)+('BALANCES SHEET'!J34+'BALANCES SHEET'!J35))/2</f>
        <v>46239.911105216859</v>
      </c>
      <c r="M128" s="931">
        <f>(('BALANCES SHEET'!J34+'BALANCES SHEET'!J35)+('BALANCES SHEET'!K34+'BALANCES SHEET'!K35))/2</f>
        <v>41149.019661686893</v>
      </c>
      <c r="N128" s="931">
        <f>(('BALANCES SHEET'!K34+'BALANCES SHEET'!K35)+('BALANCES SHEET'!L34+'BALANCES SHEET'!L35))/2</f>
        <v>44744.491178213415</v>
      </c>
      <c r="O128" s="931">
        <f>(('BALANCES SHEET'!L34+'BALANCES SHEET'!L35)+('BALANCES SHEET'!M34+'BALANCES SHEET'!M35))/2</f>
        <v>41664.093611934397</v>
      </c>
    </row>
    <row r="129" spans="3:15" thickBot="1" x14ac:dyDescent="0.35">
      <c r="C129" s="442"/>
      <c r="D129" s="442"/>
      <c r="E129" s="443"/>
      <c r="G129" s="487">
        <f>G127/G128</f>
        <v>4.8150254797032978E-2</v>
      </c>
      <c r="H129" s="487">
        <f t="shared" ref="H129:I129" si="99">H127/H128</f>
        <v>4.6154687072970754E-2</v>
      </c>
      <c r="I129" s="21">
        <f t="shared" si="99"/>
        <v>5.4334602033641023E-2</v>
      </c>
      <c r="J129" s="21">
        <f t="shared" ref="J129:O129" si="100">J127/J128</f>
        <v>5.6393895773355018E-2</v>
      </c>
      <c r="K129" s="932">
        <f t="shared" ref="K129:N129" si="101">K127/K128</f>
        <v>5.8037374304494439E-2</v>
      </c>
      <c r="L129" s="932">
        <f t="shared" si="101"/>
        <v>1.1149782835084678E-3</v>
      </c>
      <c r="M129" s="932">
        <f t="shared" si="101"/>
        <v>3.1873825669722924E-2</v>
      </c>
      <c r="N129" s="932">
        <f t="shared" si="101"/>
        <v>3.0114391382851283E-2</v>
      </c>
      <c r="O129" s="932">
        <f t="shared" si="100"/>
        <v>4.8321083142920081E-3</v>
      </c>
    </row>
    <row r="130" spans="3:15" ht="14" x14ac:dyDescent="0.3">
      <c r="C130" s="442"/>
      <c r="D130" s="442"/>
      <c r="E130" s="443"/>
      <c r="G130" s="218"/>
      <c r="H130" s="215"/>
      <c r="I130" s="220"/>
      <c r="J130" s="220"/>
      <c r="K130" s="921"/>
      <c r="L130" s="921"/>
      <c r="M130" s="921"/>
      <c r="N130" s="921"/>
      <c r="O130" s="921"/>
    </row>
    <row r="131" spans="3:15" thickBot="1" x14ac:dyDescent="0.35">
      <c r="C131" s="464"/>
      <c r="D131" s="916"/>
      <c r="E131" s="448"/>
      <c r="G131" s="488"/>
      <c r="H131" s="489"/>
      <c r="I131" s="123"/>
      <c r="J131" s="123"/>
      <c r="K131" s="933"/>
      <c r="L131" s="933"/>
      <c r="M131" s="933"/>
      <c r="N131" s="933"/>
      <c r="O131" s="933"/>
    </row>
    <row r="133" spans="3:15" x14ac:dyDescent="0.35">
      <c r="E133"/>
      <c r="F133"/>
      <c r="G133"/>
      <c r="H133"/>
    </row>
    <row r="135" spans="3:15" ht="15" thickBot="1" x14ac:dyDescent="0.4">
      <c r="E135"/>
      <c r="G135" s="46"/>
      <c r="H135" s="46"/>
      <c r="I135" s="46"/>
    </row>
    <row r="136" spans="3:15" ht="15" thickBot="1" x14ac:dyDescent="0.4">
      <c r="C136" s="249"/>
      <c r="E136" s="490" t="s">
        <v>777</v>
      </c>
      <c r="G136" s="491">
        <f>'INCOME STATEMENT'!I31*'INCOME STATEMENT'!I3*'BALANCES SHEET'!E31</f>
        <v>16766200279080</v>
      </c>
      <c r="H136" s="491">
        <f>'INCOME STATEMENT'!J31*'INCOME STATEMENT'!J3*'BALANCES SHEET'!F31</f>
        <v>22021369313336</v>
      </c>
      <c r="I136" s="491">
        <f>'INCOME STATEMENT'!K31*'INCOME STATEMENT'!K3*'BALANCES SHEET'!G31</f>
        <v>36126455289172</v>
      </c>
      <c r="J136" s="492">
        <f>'INCOME STATEMENT'!L31*'INCOME STATEMENT'!L3*'BALANCES SHEET'!H31</f>
        <v>65386881255774.07</v>
      </c>
      <c r="K136" s="492">
        <f>'INCOME STATEMENT'!M31*'INCOME STATEMENT'!M3*'BALANCES SHEET'!I31</f>
        <v>80179986636199.281</v>
      </c>
      <c r="L136" s="492">
        <f>'INCOME STATEMENT'!N31*'INCOME STATEMENT'!N3*'BALANCES SHEET'!J31</f>
        <v>1368914161041.301</v>
      </c>
      <c r="M136" s="492">
        <f>'INCOME STATEMENT'!O31*'INCOME STATEMENT'!O3*'BALANCES SHEET'!K31</f>
        <v>35740189072395.086</v>
      </c>
      <c r="N136" s="492">
        <f>'INCOME STATEMENT'!P31*'INCOME STATEMENT'!P3*'BALANCES SHEET'!L31</f>
        <v>38630426871954.586</v>
      </c>
      <c r="O136" s="492">
        <f>'INCOME STATEMENT'!Q31*'INCOME STATEMENT'!Q3*'BALANCES SHEET'!M31</f>
        <v>5661671532426.6973</v>
      </c>
    </row>
    <row r="137" spans="3:15" x14ac:dyDescent="0.35">
      <c r="C137" s="250" t="s">
        <v>776</v>
      </c>
      <c r="E137" s="493" t="s">
        <v>778</v>
      </c>
      <c r="G137" s="494">
        <f>'INCOME STATEMENT'!I3*'BALANCES SHEET'!E31*'BALANCES SHEET'!E38</f>
        <v>373278349993500</v>
      </c>
      <c r="H137" s="494">
        <f>'INCOME STATEMENT'!J3*'BALANCES SHEET'!F31*'BALANCES SHEET'!F38</f>
        <v>517695165756952</v>
      </c>
      <c r="I137" s="494">
        <f>'INCOME STATEMENT'!K3*'BALANCES SHEET'!G31*'BALANCES SHEET'!G38</f>
        <v>643953323408388</v>
      </c>
      <c r="J137" s="495">
        <f>'INCOME STATEMENT'!L3*'BALANCES SHEET'!H31*'BALANCES SHEET'!H38</f>
        <v>1351816929237248</v>
      </c>
      <c r="K137" s="495">
        <f>'INCOME STATEMENT'!M3*'BALANCES SHEET'!I31*'BALANCES SHEET'!I38</f>
        <v>1456844768968960.8</v>
      </c>
      <c r="L137" s="495">
        <f>'INCOME STATEMENT'!N3*'BALANCES SHEET'!J31*'BALANCES SHEET'!J38</f>
        <v>1064401263271107</v>
      </c>
      <c r="M137" s="495">
        <f>'INCOME STATEMENT'!O3*'BALANCES SHEET'!K31*'BALANCES SHEET'!K38</f>
        <v>1283018709696059</v>
      </c>
      <c r="N137" s="495">
        <f>'INCOME STATEMENT'!P3*'BALANCES SHEET'!L31*'BALANCES SHEET'!L38</f>
        <v>1355730714466478.8</v>
      </c>
      <c r="O137" s="495">
        <f>'INCOME STATEMENT'!Q3*'BALANCES SHEET'!M31*'BALANCES SHEET'!M38</f>
        <v>1151008041086889.8</v>
      </c>
    </row>
    <row r="138" spans="3:15" ht="15" thickBot="1" x14ac:dyDescent="0.4">
      <c r="C138" s="250"/>
      <c r="E138" s="220"/>
      <c r="G138" s="496">
        <f>G136/G137</f>
        <v>4.4916080129940444E-2</v>
      </c>
      <c r="H138" s="496">
        <f t="shared" ref="H138:J138" si="102">H136/H137</f>
        <v>4.2537328470389102E-2</v>
      </c>
      <c r="I138" s="496">
        <f t="shared" si="102"/>
        <v>5.6101046420504314E-2</v>
      </c>
      <c r="J138" s="497">
        <f t="shared" si="102"/>
        <v>4.8369627455892343E-2</v>
      </c>
      <c r="K138" s="497">
        <f t="shared" ref="K138:N138" si="103">K136/K137</f>
        <v>5.5036739908085282E-2</v>
      </c>
      <c r="L138" s="497">
        <f t="shared" si="103"/>
        <v>1.2860884407769003E-3</v>
      </c>
      <c r="M138" s="497">
        <f t="shared" si="103"/>
        <v>2.7856327271222541E-2</v>
      </c>
      <c r="N138" s="497">
        <f t="shared" si="103"/>
        <v>2.8494173997641436E-2</v>
      </c>
      <c r="O138" s="497">
        <f t="shared" ref="O138" si="104">O136/O137</f>
        <v>4.9188809550630213E-3</v>
      </c>
    </row>
    <row r="139" spans="3:15" x14ac:dyDescent="0.35">
      <c r="C139" s="250"/>
      <c r="E139" s="220"/>
      <c r="G139" s="177"/>
      <c r="H139" s="118"/>
      <c r="I139" s="179"/>
      <c r="J139" s="220"/>
      <c r="K139" s="220"/>
      <c r="L139" s="220"/>
      <c r="M139" s="220"/>
      <c r="N139" s="220"/>
      <c r="O139" s="220"/>
    </row>
    <row r="140" spans="3:15" x14ac:dyDescent="0.35">
      <c r="C140" s="250"/>
      <c r="E140" s="220"/>
      <c r="G140" s="3"/>
      <c r="H140" s="19"/>
      <c r="I140" s="23"/>
      <c r="J140" s="220"/>
      <c r="K140" s="220"/>
      <c r="L140" s="220"/>
      <c r="M140" s="220"/>
      <c r="N140" s="220"/>
      <c r="O140" s="220"/>
    </row>
    <row r="141" spans="3:15" ht="15" thickBot="1" x14ac:dyDescent="0.4">
      <c r="C141" s="250" t="s">
        <v>781</v>
      </c>
      <c r="E141" s="498" t="s">
        <v>779</v>
      </c>
      <c r="G141" s="499">
        <f>ANALYTICAL!E20*ANALYTICAL!E18*ANALYTICAL!E13*ANALYTICAL!E7*'BALANCES SHEET'!E31</f>
        <v>6.8379328223280824E+20</v>
      </c>
      <c r="H141" s="499">
        <f>ANALYTICAL!F20*ANALYTICAL!F18*ANALYTICAL!F13*ANALYTICAL!F7*'BALANCES SHEET'!F31</f>
        <v>1.5770375272145798E+21</v>
      </c>
      <c r="I141" s="499">
        <f>ANALYTICAL!G20*ANALYTICAL!G18*ANALYTICAL!G13*ANALYTICAL!G7*'BALANCES SHEET'!G31</f>
        <v>2.6163803466690362E+21</v>
      </c>
      <c r="J141" s="500">
        <f>ANALYTICAL!H20*ANALYTICAL!H18*ANALYTICAL!H13*ANALYTICAL!H7*'BALANCES SHEET'!H31</f>
        <v>9.1337768578098009E+21</v>
      </c>
      <c r="K141" s="500">
        <f>ANALYTICAL!I20*ANALYTICAL!I18*ANALYTICAL!I13*ANALYTICAL!I7*'BALANCES SHEET'!I31</f>
        <v>1.5025831642220802E+22</v>
      </c>
      <c r="L141" s="500">
        <f>ANALYTICAL!J20*ANALYTICAL!J18*ANALYTICAL!J13*ANALYTICAL!J7*'BALANCES SHEET'!J31</f>
        <v>7.2817501623804748E+19</v>
      </c>
      <c r="M141" s="500">
        <f>ANALYTICAL!K20*ANALYTICAL!K18*ANALYTICAL!K13*ANALYTICAL!K7*'BALANCES SHEET'!K31</f>
        <v>4.1282521340323273E+21</v>
      </c>
      <c r="N141" s="500">
        <f>ANALYTICAL!L20*ANALYTICAL!L18*ANALYTICAL!L13*ANALYTICAL!L7*'BALANCES SHEET'!L31</f>
        <v>4.5018445420772742E+21</v>
      </c>
      <c r="O141" s="500">
        <f>ANALYTICAL!M20*ANALYTICAL!M18*ANALYTICAL!M13*ANALYTICAL!M7*'BALANCES SHEET'!M31</f>
        <v>4.8984596829405531E+20</v>
      </c>
    </row>
    <row r="142" spans="3:15" ht="15" thickBot="1" x14ac:dyDescent="0.4">
      <c r="C142" s="250"/>
      <c r="E142" s="501" t="s">
        <v>780</v>
      </c>
      <c r="G142" s="502">
        <f>ANALYTICAL!E18*ANALYTICAL!E13*ANALYTICAL!E7*'BALANCES SHEET'!E31*'BALANCES SHEET'!E38</f>
        <v>1.5223796917598803E+22</v>
      </c>
      <c r="H142" s="502">
        <f>ANALYTICAL!F18*ANALYTICAL!F13*ANALYTICAL!F7*'BALANCES SHEET'!F31*'BALANCES SHEET'!F38</f>
        <v>3.7074202445797227E+22</v>
      </c>
      <c r="I142" s="502">
        <f>ANALYTICAL!G18*ANALYTICAL!G13*ANALYTICAL!G7*'BALANCES SHEET'!G31*'BALANCES SHEET'!G38</f>
        <v>4.6636925932860648E+22</v>
      </c>
      <c r="J142" s="503">
        <f>ANALYTICAL!H18*ANALYTICAL!H13*ANALYTICAL!H7*'BALANCES SHEET'!H31*'BALANCES SHEET'!H38</f>
        <v>1.8883289655556635E+23</v>
      </c>
      <c r="K142" s="503">
        <f>ANALYTICAL!I18*ANALYTICAL!I13*ANALYTICAL!I7*'BALANCES SHEET'!I31*'BALANCES SHEET'!I38</f>
        <v>2.7301456567585293E+23</v>
      </c>
      <c r="L142" s="503">
        <f>ANALYTICAL!J18*ANALYTICAL!J13*ANALYTICAL!J7*'BALANCES SHEET'!J31*'BALANCES SHEET'!J38</f>
        <v>5.6619357825670568E+22</v>
      </c>
      <c r="M142" s="503">
        <f>ANALYTICAL!K18*ANALYTICAL!K13*ANALYTICAL!K7*'BALANCES SHEET'!K31*'BALANCES SHEET'!K38</f>
        <v>1.4819800520857066E+23</v>
      </c>
      <c r="N142" s="503">
        <f>ANALYTICAL!L18*ANALYTICAL!L13*ANALYTICAL!L7*'BALANCES SHEET'!L31*'BALANCES SHEET'!L38</f>
        <v>1.579917544705764E+23</v>
      </c>
      <c r="O142" s="503">
        <f>ANALYTICAL!M18*ANALYTICAL!M13*ANALYTICAL!M7*'BALANCES SHEET'!M31*'BALANCES SHEET'!M38</f>
        <v>9.9584839065856066E+22</v>
      </c>
    </row>
    <row r="143" spans="3:15" ht="15" thickBot="1" x14ac:dyDescent="0.4">
      <c r="C143" s="120"/>
      <c r="E143" s="504"/>
      <c r="F143" s="505"/>
      <c r="G143" s="506">
        <f>G141/G142</f>
        <v>4.4916080129940451E-2</v>
      </c>
      <c r="H143" s="506">
        <f t="shared" ref="H143:J143" si="105">H141/H142</f>
        <v>4.2537328470389109E-2</v>
      </c>
      <c r="I143" s="506">
        <f t="shared" si="105"/>
        <v>5.6101046420504307E-2</v>
      </c>
      <c r="J143" s="507">
        <f t="shared" si="105"/>
        <v>4.8369627455892343E-2</v>
      </c>
      <c r="K143" s="507">
        <f t="shared" ref="K143:N143" si="106">K141/K142</f>
        <v>5.5036739908085344E-2</v>
      </c>
      <c r="L143" s="507">
        <f t="shared" si="106"/>
        <v>1.2860884407768774E-3</v>
      </c>
      <c r="M143" s="507">
        <f t="shared" si="106"/>
        <v>2.7856327271222812E-2</v>
      </c>
      <c r="N143" s="507">
        <f t="shared" si="106"/>
        <v>2.8494173997641602E-2</v>
      </c>
      <c r="O143" s="507">
        <f t="shared" ref="O143" si="107">O141/O142</f>
        <v>4.9188809550630205E-3</v>
      </c>
    </row>
    <row r="144" spans="3:15" x14ac:dyDescent="0.35">
      <c r="E144"/>
      <c r="G144"/>
      <c r="H144"/>
      <c r="I144"/>
    </row>
    <row r="145" spans="7:9" x14ac:dyDescent="0.35">
      <c r="G145"/>
      <c r="H145"/>
      <c r="I145"/>
    </row>
    <row r="146" spans="7:9" x14ac:dyDescent="0.35">
      <c r="G146"/>
      <c r="H146"/>
      <c r="I146"/>
    </row>
    <row r="147" spans="7:9" x14ac:dyDescent="0.35">
      <c r="G147"/>
      <c r="H147"/>
      <c r="I147"/>
    </row>
    <row r="148" spans="7:9" x14ac:dyDescent="0.35">
      <c r="G148"/>
      <c r="H148"/>
      <c r="I148"/>
    </row>
  </sheetData>
  <mergeCells count="1">
    <mergeCell ref="D1:E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93D6-5A00-41C1-ACFE-0BF7D12631EB}">
  <dimension ref="B2:G59"/>
  <sheetViews>
    <sheetView workbookViewId="0">
      <selection activeCell="B2" sqref="B2:G2"/>
    </sheetView>
  </sheetViews>
  <sheetFormatPr defaultRowHeight="14.5" x14ac:dyDescent="0.35"/>
  <cols>
    <col min="2" max="2" width="32" bestFit="1" customWidth="1"/>
    <col min="3" max="6" width="9.81640625" bestFit="1" customWidth="1"/>
    <col min="7" max="7" width="10.81640625" bestFit="1" customWidth="1"/>
  </cols>
  <sheetData>
    <row r="2" spans="2:7" ht="19" thickBot="1" x14ac:dyDescent="0.5">
      <c r="B2" s="1149" t="s">
        <v>213</v>
      </c>
      <c r="C2" s="1149"/>
      <c r="D2" s="1149"/>
      <c r="E2" s="1149"/>
      <c r="F2" s="1149"/>
      <c r="G2" s="1149"/>
    </row>
    <row r="3" spans="2:7" ht="15" thickBot="1" x14ac:dyDescent="0.4">
      <c r="B3" s="964" t="s">
        <v>49</v>
      </c>
      <c r="C3" s="965">
        <v>2015</v>
      </c>
      <c r="D3" s="965">
        <v>2016</v>
      </c>
      <c r="E3" s="965">
        <v>2017</v>
      </c>
      <c r="F3" s="965">
        <v>2018</v>
      </c>
      <c r="G3" s="966">
        <v>2019</v>
      </c>
    </row>
    <row r="4" spans="2:7" x14ac:dyDescent="0.35">
      <c r="B4" s="961" t="s">
        <v>1120</v>
      </c>
      <c r="C4" s="962"/>
      <c r="D4" s="962"/>
      <c r="E4" s="962"/>
      <c r="F4" s="962"/>
      <c r="G4" s="963"/>
    </row>
    <row r="5" spans="2:7" x14ac:dyDescent="0.35">
      <c r="B5" s="957" t="s">
        <v>458</v>
      </c>
      <c r="C5" s="956"/>
      <c r="D5" s="956"/>
      <c r="E5" s="956"/>
      <c r="F5" s="956"/>
      <c r="G5" s="958"/>
    </row>
    <row r="6" spans="2:7" x14ac:dyDescent="0.35">
      <c r="B6" s="959" t="s">
        <v>442</v>
      </c>
      <c r="C6" s="956">
        <v>412777.89</v>
      </c>
      <c r="D6" s="956">
        <v>435115.13</v>
      </c>
      <c r="E6" s="956">
        <v>417130.15</v>
      </c>
      <c r="F6" s="956">
        <v>529393.06999999995</v>
      </c>
      <c r="G6" s="958">
        <v>614885.12</v>
      </c>
    </row>
    <row r="7" spans="2:7" x14ac:dyDescent="0.35">
      <c r="B7" s="959" t="s">
        <v>1121</v>
      </c>
      <c r="C7" s="956">
        <v>21377.73</v>
      </c>
      <c r="D7" s="956">
        <v>19486.12</v>
      </c>
      <c r="E7" s="956">
        <v>32774.639999999999</v>
      </c>
      <c r="F7" s="956">
        <v>50250.66</v>
      </c>
      <c r="G7" s="958">
        <v>89603.85</v>
      </c>
    </row>
    <row r="8" spans="2:7" x14ac:dyDescent="0.35">
      <c r="B8" s="959" t="s">
        <v>1122</v>
      </c>
      <c r="C8" s="956">
        <v>2071.29</v>
      </c>
      <c r="D8" s="956">
        <v>19308.63</v>
      </c>
      <c r="E8" s="956">
        <v>258.92</v>
      </c>
      <c r="F8" s="956">
        <v>252.42</v>
      </c>
      <c r="G8" s="958">
        <v>249.28</v>
      </c>
    </row>
    <row r="9" spans="2:7" x14ac:dyDescent="0.35">
      <c r="B9" s="959" t="s">
        <v>1123</v>
      </c>
      <c r="C9" s="956">
        <v>253.49</v>
      </c>
      <c r="D9" s="956">
        <v>373.25</v>
      </c>
      <c r="E9" s="956">
        <v>72</v>
      </c>
      <c r="F9" s="956">
        <v>0.31</v>
      </c>
      <c r="G9" s="958">
        <v>21.58</v>
      </c>
    </row>
    <row r="10" spans="2:7" x14ac:dyDescent="0.35">
      <c r="B10" s="959" t="s">
        <v>1124</v>
      </c>
      <c r="C10" s="956">
        <v>0</v>
      </c>
      <c r="D10" s="956">
        <v>0</v>
      </c>
      <c r="E10" s="956">
        <v>32727.71</v>
      </c>
      <c r="F10" s="956">
        <v>37106.949999999997</v>
      </c>
      <c r="G10" s="958">
        <v>37106.949999999997</v>
      </c>
    </row>
    <row r="11" spans="2:7" x14ac:dyDescent="0.35">
      <c r="B11" s="959" t="s">
        <v>1125</v>
      </c>
      <c r="C11" s="956"/>
      <c r="D11" s="956"/>
      <c r="E11" s="956"/>
      <c r="F11" s="956"/>
      <c r="G11" s="958"/>
    </row>
    <row r="12" spans="2:7" x14ac:dyDescent="0.35">
      <c r="B12" s="959" t="s">
        <v>445</v>
      </c>
      <c r="C12" s="956">
        <v>18219.96</v>
      </c>
      <c r="D12" s="956">
        <v>13974.06</v>
      </c>
      <c r="E12" s="956">
        <v>40957.4</v>
      </c>
      <c r="F12" s="956">
        <v>49783.67</v>
      </c>
      <c r="G12" s="958">
        <v>47220.59</v>
      </c>
    </row>
    <row r="13" spans="2:7" x14ac:dyDescent="0.35">
      <c r="B13" s="959" t="s">
        <v>1126</v>
      </c>
      <c r="C13" s="956">
        <v>1493.21</v>
      </c>
      <c r="D13" s="956">
        <v>6914.26</v>
      </c>
      <c r="E13" s="956">
        <v>889.76</v>
      </c>
      <c r="F13" s="956">
        <v>630.39</v>
      </c>
      <c r="G13" s="958">
        <v>630.25</v>
      </c>
    </row>
    <row r="14" spans="2:7" x14ac:dyDescent="0.35">
      <c r="B14" s="959" t="s">
        <v>1127</v>
      </c>
      <c r="C14" s="956">
        <v>6264.66</v>
      </c>
      <c r="D14" s="956">
        <v>7288.85</v>
      </c>
      <c r="E14" s="956">
        <v>11641.26</v>
      </c>
      <c r="F14" s="956">
        <v>9432.83</v>
      </c>
      <c r="G14" s="958">
        <v>10600.42</v>
      </c>
    </row>
    <row r="15" spans="2:7" x14ac:dyDescent="0.35">
      <c r="B15" s="959" t="s">
        <v>1128</v>
      </c>
      <c r="C15" s="956">
        <v>12877.5</v>
      </c>
      <c r="D15" s="956">
        <v>14506.68</v>
      </c>
      <c r="E15" s="956">
        <v>12517.17</v>
      </c>
      <c r="F15" s="956">
        <v>13942.68</v>
      </c>
      <c r="G15" s="958">
        <v>13898.12</v>
      </c>
    </row>
    <row r="16" spans="2:7" ht="15" thickBot="1" x14ac:dyDescent="0.4">
      <c r="B16" s="967" t="s">
        <v>1129</v>
      </c>
      <c r="C16" s="968">
        <v>19858.77</v>
      </c>
      <c r="D16" s="968">
        <v>24099.82</v>
      </c>
      <c r="E16" s="968">
        <v>11274.47</v>
      </c>
      <c r="F16" s="968">
        <v>14442.71</v>
      </c>
      <c r="G16" s="969">
        <v>10783.81</v>
      </c>
    </row>
    <row r="17" spans="2:7" ht="15" thickBot="1" x14ac:dyDescent="0.4">
      <c r="B17" s="964" t="s">
        <v>1148</v>
      </c>
      <c r="C17" s="965">
        <f t="shared" ref="C17:G17" si="0">SUM(C6:C16)</f>
        <v>495194.5</v>
      </c>
      <c r="D17" s="965">
        <f t="shared" si="0"/>
        <v>541066.79999999993</v>
      </c>
      <c r="E17" s="965">
        <f t="shared" si="0"/>
        <v>560243.4800000001</v>
      </c>
      <c r="F17" s="965">
        <f t="shared" si="0"/>
        <v>705235.69000000006</v>
      </c>
      <c r="G17" s="966">
        <f t="shared" si="0"/>
        <v>824999.97</v>
      </c>
    </row>
    <row r="18" spans="2:7" x14ac:dyDescent="0.35">
      <c r="B18" s="961" t="s">
        <v>459</v>
      </c>
      <c r="C18" s="962"/>
      <c r="D18" s="962"/>
      <c r="E18" s="962"/>
      <c r="F18" s="962"/>
      <c r="G18" s="963"/>
    </row>
    <row r="19" spans="2:7" x14ac:dyDescent="0.35">
      <c r="B19" s="959" t="s">
        <v>419</v>
      </c>
      <c r="C19" s="956">
        <v>117830.86</v>
      </c>
      <c r="D19" s="956">
        <v>132396.19</v>
      </c>
      <c r="E19" s="956">
        <v>94549.67</v>
      </c>
      <c r="F19" s="956">
        <v>66149.52</v>
      </c>
      <c r="G19" s="958">
        <v>89864.86</v>
      </c>
    </row>
    <row r="20" spans="2:7" x14ac:dyDescent="0.35">
      <c r="B20" s="959" t="s">
        <v>1125</v>
      </c>
      <c r="C20" s="956"/>
      <c r="D20" s="956"/>
      <c r="E20" s="956"/>
      <c r="F20" s="956"/>
      <c r="G20" s="958"/>
    </row>
    <row r="21" spans="2:7" x14ac:dyDescent="0.35">
      <c r="B21" s="959" t="s">
        <v>445</v>
      </c>
      <c r="C21" s="956">
        <v>1900</v>
      </c>
      <c r="D21" s="956">
        <v>2135.34</v>
      </c>
      <c r="E21" s="956">
        <v>0</v>
      </c>
      <c r="F21" s="956">
        <v>33116.71</v>
      </c>
      <c r="G21" s="958">
        <v>27280.99</v>
      </c>
    </row>
    <row r="22" spans="2:7" x14ac:dyDescent="0.35">
      <c r="B22" s="959" t="s">
        <v>1130</v>
      </c>
      <c r="C22" s="956">
        <v>21251.37</v>
      </c>
      <c r="D22" s="956">
        <v>27858.46</v>
      </c>
      <c r="E22" s="956">
        <v>14701.15</v>
      </c>
      <c r="F22" s="956">
        <v>12915.33</v>
      </c>
      <c r="G22" s="958">
        <v>19552.38</v>
      </c>
    </row>
    <row r="23" spans="2:7" x14ac:dyDescent="0.35">
      <c r="B23" s="959" t="s">
        <v>1131</v>
      </c>
      <c r="C23" s="956">
        <v>5696.66</v>
      </c>
      <c r="D23" s="956">
        <v>10682.6</v>
      </c>
      <c r="E23" s="956">
        <v>6412.83</v>
      </c>
      <c r="F23" s="956">
        <v>3082.96</v>
      </c>
      <c r="G23" s="958">
        <v>3958.19</v>
      </c>
    </row>
    <row r="24" spans="2:7" x14ac:dyDescent="0.35">
      <c r="B24" s="959" t="s">
        <v>1132</v>
      </c>
      <c r="C24" s="956">
        <v>1076.8499999999999</v>
      </c>
      <c r="D24" s="956">
        <v>5620.85</v>
      </c>
      <c r="E24" s="956">
        <v>1711.37</v>
      </c>
      <c r="F24" s="956">
        <v>978.45</v>
      </c>
      <c r="G24" s="958">
        <v>15238.83</v>
      </c>
    </row>
    <row r="25" spans="2:7" x14ac:dyDescent="0.35">
      <c r="B25" s="959" t="s">
        <v>446</v>
      </c>
      <c r="C25" s="956">
        <v>4247.63</v>
      </c>
      <c r="D25" s="956">
        <v>1891.33</v>
      </c>
      <c r="E25" s="956">
        <v>3397.81</v>
      </c>
      <c r="F25" s="956">
        <v>3164.03</v>
      </c>
      <c r="G25" s="958">
        <v>2120.59</v>
      </c>
    </row>
    <row r="26" spans="2:7" x14ac:dyDescent="0.35">
      <c r="B26" s="959" t="s">
        <v>1127</v>
      </c>
      <c r="C26" s="956">
        <v>3034.52</v>
      </c>
      <c r="D26" s="956">
        <v>1734.61</v>
      </c>
      <c r="E26" s="956">
        <v>2291.1799999999998</v>
      </c>
      <c r="F26" s="956">
        <v>8070.34</v>
      </c>
      <c r="G26" s="958">
        <v>8167.75</v>
      </c>
    </row>
    <row r="27" spans="2:7" x14ac:dyDescent="0.35">
      <c r="B27" s="959" t="s">
        <v>1133</v>
      </c>
      <c r="C27" s="956">
        <v>8490.43</v>
      </c>
      <c r="D27" s="956">
        <v>13859.21</v>
      </c>
      <c r="E27" s="956">
        <v>12196.33</v>
      </c>
      <c r="F27" s="956">
        <v>9280.82</v>
      </c>
      <c r="G27" s="958">
        <v>9291.6200000000008</v>
      </c>
    </row>
    <row r="28" spans="2:7" ht="15" thickBot="1" x14ac:dyDescent="0.4">
      <c r="B28" s="967" t="s">
        <v>1134</v>
      </c>
      <c r="C28" s="968">
        <v>9147.0300000000007</v>
      </c>
      <c r="D28" s="968">
        <v>8693.08</v>
      </c>
      <c r="E28" s="968">
        <f>5419.74-113.59</f>
        <v>5306.15</v>
      </c>
      <c r="F28" s="968">
        <v>7740.61</v>
      </c>
      <c r="G28" s="969">
        <v>11115.31</v>
      </c>
    </row>
    <row r="29" spans="2:7" ht="15" thickBot="1" x14ac:dyDescent="0.4">
      <c r="B29" s="964" t="s">
        <v>1149</v>
      </c>
      <c r="C29" s="965">
        <f t="shared" ref="C29:G29" si="1">SUM(C19:C28)</f>
        <v>172675.35</v>
      </c>
      <c r="D29" s="965">
        <f t="shared" si="1"/>
        <v>204871.66999999995</v>
      </c>
      <c r="E29" s="965">
        <f t="shared" si="1"/>
        <v>140566.48999999996</v>
      </c>
      <c r="F29" s="965">
        <f t="shared" si="1"/>
        <v>144498.76999999999</v>
      </c>
      <c r="G29" s="966">
        <f t="shared" si="1"/>
        <v>186590.52</v>
      </c>
    </row>
    <row r="30" spans="2:7" ht="15" thickBot="1" x14ac:dyDescent="0.4">
      <c r="B30" s="964" t="s">
        <v>1135</v>
      </c>
      <c r="C30" s="965">
        <f t="shared" ref="C30:G30" si="2">C29+C17</f>
        <v>667869.85</v>
      </c>
      <c r="D30" s="965">
        <f t="shared" si="2"/>
        <v>745938.46999999986</v>
      </c>
      <c r="E30" s="965">
        <f t="shared" si="2"/>
        <v>700809.97000000009</v>
      </c>
      <c r="F30" s="965">
        <f t="shared" si="2"/>
        <v>849734.46000000008</v>
      </c>
      <c r="G30" s="966">
        <f t="shared" si="2"/>
        <v>1011590.49</v>
      </c>
    </row>
    <row r="31" spans="2:7" x14ac:dyDescent="0.35">
      <c r="B31" s="961" t="s">
        <v>1136</v>
      </c>
      <c r="C31" s="962"/>
      <c r="D31" s="962"/>
      <c r="E31" s="962"/>
      <c r="F31" s="962"/>
      <c r="G31" s="963"/>
    </row>
    <row r="32" spans="2:7" x14ac:dyDescent="0.35">
      <c r="B32" s="957" t="s">
        <v>1137</v>
      </c>
      <c r="C32" s="956"/>
      <c r="D32" s="956"/>
      <c r="E32" s="956"/>
      <c r="F32" s="956"/>
      <c r="G32" s="958"/>
    </row>
    <row r="33" spans="2:7" x14ac:dyDescent="0.35">
      <c r="B33" s="959" t="s">
        <v>1138</v>
      </c>
      <c r="C33" s="956">
        <v>2899.13</v>
      </c>
      <c r="D33" s="956">
        <v>3059.78</v>
      </c>
      <c r="E33" s="956">
        <v>3061.34</v>
      </c>
      <c r="F33" s="956">
        <v>3062.83</v>
      </c>
      <c r="G33" s="958">
        <v>3065.8</v>
      </c>
    </row>
    <row r="34" spans="2:7" ht="15" thickBot="1" x14ac:dyDescent="0.4">
      <c r="B34" s="967" t="s">
        <v>448</v>
      </c>
      <c r="C34" s="968">
        <v>167129.22</v>
      </c>
      <c r="D34" s="968">
        <v>199670.68</v>
      </c>
      <c r="E34" s="968">
        <v>211944.42</v>
      </c>
      <c r="F34" s="968">
        <v>282128.48</v>
      </c>
      <c r="G34" s="969">
        <v>344346.01</v>
      </c>
    </row>
    <row r="35" spans="2:7" ht="15" thickBot="1" x14ac:dyDescent="0.4">
      <c r="B35" s="964" t="s">
        <v>1139</v>
      </c>
      <c r="C35" s="965">
        <f t="shared" ref="C35:G35" si="3">C34+C33</f>
        <v>170028.35</v>
      </c>
      <c r="D35" s="965">
        <f t="shared" si="3"/>
        <v>202730.46</v>
      </c>
      <c r="E35" s="965">
        <f t="shared" si="3"/>
        <v>215005.76</v>
      </c>
      <c r="F35" s="965">
        <f t="shared" si="3"/>
        <v>285191.31</v>
      </c>
      <c r="G35" s="966">
        <f t="shared" si="3"/>
        <v>347411.81</v>
      </c>
    </row>
    <row r="36" spans="2:7" ht="15" thickBot="1" x14ac:dyDescent="0.4">
      <c r="B36" s="972" t="s">
        <v>1140</v>
      </c>
      <c r="C36" s="973">
        <v>66765.289999999994</v>
      </c>
      <c r="D36" s="973">
        <v>47894.11</v>
      </c>
      <c r="E36" s="973">
        <v>27965.33</v>
      </c>
      <c r="F36" s="973">
        <v>46610.36</v>
      </c>
      <c r="G36" s="974">
        <v>122330.2</v>
      </c>
    </row>
    <row r="37" spans="2:7" ht="15" thickBot="1" x14ac:dyDescent="0.4">
      <c r="B37" s="964" t="s">
        <v>1150</v>
      </c>
      <c r="C37" s="965">
        <f t="shared" ref="C37:G37" si="4">SUM(C35:C36)</f>
        <v>236793.64</v>
      </c>
      <c r="D37" s="965">
        <f t="shared" si="4"/>
        <v>250624.57</v>
      </c>
      <c r="E37" s="965">
        <f t="shared" si="4"/>
        <v>242971.09000000003</v>
      </c>
      <c r="F37" s="965">
        <f t="shared" si="4"/>
        <v>331801.67</v>
      </c>
      <c r="G37" s="966">
        <f t="shared" si="4"/>
        <v>469742.01</v>
      </c>
    </row>
    <row r="38" spans="2:7" x14ac:dyDescent="0.35">
      <c r="B38" s="961" t="s">
        <v>1151</v>
      </c>
      <c r="C38" s="962"/>
      <c r="D38" s="962"/>
      <c r="E38" s="962"/>
      <c r="F38" s="962"/>
      <c r="G38" s="963"/>
    </row>
    <row r="39" spans="2:7" x14ac:dyDescent="0.35">
      <c r="B39" s="959" t="s">
        <v>460</v>
      </c>
      <c r="C39" s="956"/>
      <c r="D39" s="956"/>
      <c r="E39" s="956"/>
      <c r="F39" s="956"/>
      <c r="G39" s="958"/>
    </row>
    <row r="40" spans="2:7" x14ac:dyDescent="0.35">
      <c r="B40" s="959" t="s">
        <v>1141</v>
      </c>
      <c r="C40" s="956"/>
      <c r="D40" s="956"/>
      <c r="E40" s="956"/>
      <c r="F40" s="956"/>
      <c r="G40" s="958"/>
    </row>
    <row r="41" spans="2:7" x14ac:dyDescent="0.35">
      <c r="B41" s="959" t="s">
        <v>1142</v>
      </c>
      <c r="C41" s="956">
        <v>280100.89</v>
      </c>
      <c r="D41" s="956">
        <v>338009.34</v>
      </c>
      <c r="E41" s="956">
        <v>310657.55</v>
      </c>
      <c r="F41" s="956">
        <v>319719.15000000002</v>
      </c>
      <c r="G41" s="958">
        <v>343194.14</v>
      </c>
    </row>
    <row r="42" spans="2:7" x14ac:dyDescent="0.35">
      <c r="B42" s="959" t="s">
        <v>423</v>
      </c>
      <c r="C42" s="956">
        <v>812.01</v>
      </c>
      <c r="D42" s="956">
        <v>567.58000000000004</v>
      </c>
      <c r="E42" s="956">
        <v>388.78</v>
      </c>
      <c r="F42" s="956">
        <v>44.04</v>
      </c>
      <c r="G42" s="958">
        <v>15.25</v>
      </c>
    </row>
    <row r="43" spans="2:7" x14ac:dyDescent="0.35">
      <c r="B43" s="959" t="s">
        <v>440</v>
      </c>
      <c r="C43" s="956">
        <v>126.99</v>
      </c>
      <c r="D43" s="956">
        <v>290.56</v>
      </c>
      <c r="E43" s="956">
        <v>966.46</v>
      </c>
      <c r="F43" s="956">
        <v>17672.61</v>
      </c>
      <c r="G43" s="958">
        <v>16074.09</v>
      </c>
    </row>
    <row r="44" spans="2:7" x14ac:dyDescent="0.35">
      <c r="B44" s="959" t="s">
        <v>449</v>
      </c>
      <c r="C44" s="956">
        <v>2223.27</v>
      </c>
      <c r="D44" s="956">
        <v>3120.3</v>
      </c>
      <c r="E44" s="956">
        <v>4426.1499999999996</v>
      </c>
      <c r="F44" s="956">
        <v>5348.17</v>
      </c>
      <c r="G44" s="958">
        <v>780.61</v>
      </c>
    </row>
    <row r="45" spans="2:7" x14ac:dyDescent="0.35">
      <c r="B45" s="959" t="s">
        <v>1143</v>
      </c>
      <c r="C45" s="956">
        <v>2313.02</v>
      </c>
      <c r="D45" s="956">
        <v>3548.13</v>
      </c>
      <c r="E45" s="956">
        <v>0</v>
      </c>
      <c r="F45" s="956">
        <v>18.079999999999998</v>
      </c>
      <c r="G45" s="958">
        <v>33.21</v>
      </c>
    </row>
    <row r="46" spans="2:7" ht="15" thickBot="1" x14ac:dyDescent="0.4">
      <c r="B46" s="967" t="s">
        <v>1144</v>
      </c>
      <c r="C46" s="968">
        <v>28742.71</v>
      </c>
      <c r="D46" s="968">
        <v>28157.17</v>
      </c>
      <c r="E46" s="968">
        <v>28964.37</v>
      </c>
      <c r="F46" s="968">
        <v>1303.58</v>
      </c>
      <c r="G46" s="969">
        <v>1554.84</v>
      </c>
    </row>
    <row r="47" spans="2:7" ht="15" thickBot="1" x14ac:dyDescent="0.4">
      <c r="B47" s="964" t="s">
        <v>1152</v>
      </c>
      <c r="C47" s="965">
        <f t="shared" ref="C47:G47" si="5">SUM(C41:C46)</f>
        <v>314318.89000000007</v>
      </c>
      <c r="D47" s="965">
        <f t="shared" si="5"/>
        <v>373693.08</v>
      </c>
      <c r="E47" s="965">
        <f t="shared" si="5"/>
        <v>345403.31000000006</v>
      </c>
      <c r="F47" s="965">
        <f t="shared" si="5"/>
        <v>344105.63</v>
      </c>
      <c r="G47" s="966">
        <f t="shared" si="5"/>
        <v>361652.14000000007</v>
      </c>
    </row>
    <row r="48" spans="2:7" x14ac:dyDescent="0.35">
      <c r="B48" s="961" t="s">
        <v>461</v>
      </c>
      <c r="C48" s="962"/>
      <c r="D48" s="962"/>
      <c r="E48" s="962"/>
      <c r="F48" s="962"/>
      <c r="G48" s="963"/>
    </row>
    <row r="49" spans="2:7" x14ac:dyDescent="0.35">
      <c r="B49" s="959" t="s">
        <v>1141</v>
      </c>
      <c r="C49" s="956"/>
      <c r="D49" s="956"/>
      <c r="E49" s="956"/>
      <c r="F49" s="956"/>
      <c r="G49" s="958"/>
    </row>
    <row r="50" spans="2:7" x14ac:dyDescent="0.35">
      <c r="B50" s="959" t="s">
        <v>1142</v>
      </c>
      <c r="C50" s="956">
        <v>22712.29</v>
      </c>
      <c r="D50" s="956">
        <v>24319.040000000001</v>
      </c>
      <c r="E50" s="956">
        <v>24763.88</v>
      </c>
      <c r="F50" s="956">
        <v>25371.919999999998</v>
      </c>
      <c r="G50" s="958">
        <v>54909.48</v>
      </c>
    </row>
    <row r="51" spans="2:7" x14ac:dyDescent="0.35">
      <c r="B51" s="959" t="s">
        <v>423</v>
      </c>
      <c r="C51" s="956">
        <v>10507.95</v>
      </c>
      <c r="D51" s="956">
        <v>12100.79</v>
      </c>
      <c r="E51" s="956">
        <v>10770.89</v>
      </c>
      <c r="F51" s="956">
        <v>10944.71</v>
      </c>
      <c r="G51" s="958">
        <v>14771</v>
      </c>
    </row>
    <row r="52" spans="2:7" x14ac:dyDescent="0.35">
      <c r="B52" s="959" t="s">
        <v>440</v>
      </c>
      <c r="C52" s="956">
        <v>42050.32</v>
      </c>
      <c r="D52" s="956">
        <v>33013.72</v>
      </c>
      <c r="E52" s="956">
        <v>30304.99</v>
      </c>
      <c r="F52" s="956">
        <v>101022.75</v>
      </c>
      <c r="G52" s="958">
        <v>61774.86</v>
      </c>
    </row>
    <row r="53" spans="2:7" x14ac:dyDescent="0.35">
      <c r="B53" s="959" t="s">
        <v>1145</v>
      </c>
      <c r="C53" s="956">
        <v>40100.19</v>
      </c>
      <c r="D53" s="956">
        <v>49801.26</v>
      </c>
      <c r="E53" s="956">
        <v>3452.03</v>
      </c>
      <c r="F53" s="956">
        <v>31390.38</v>
      </c>
      <c r="G53" s="958">
        <v>43016.3</v>
      </c>
    </row>
    <row r="54" spans="2:7" x14ac:dyDescent="0.35">
      <c r="B54" s="959" t="s">
        <v>449</v>
      </c>
      <c r="C54" s="956">
        <v>1204.9100000000001</v>
      </c>
      <c r="D54" s="956">
        <v>2375.63</v>
      </c>
      <c r="E54" s="956">
        <v>42590.44</v>
      </c>
      <c r="F54" s="956">
        <v>5084.49</v>
      </c>
      <c r="G54" s="958">
        <v>5518.84</v>
      </c>
    </row>
    <row r="55" spans="2:7" ht="15" thickBot="1" x14ac:dyDescent="0.4">
      <c r="B55" s="967" t="s">
        <v>1146</v>
      </c>
      <c r="C55" s="968">
        <v>181.66</v>
      </c>
      <c r="D55" s="968">
        <v>10.38</v>
      </c>
      <c r="E55" s="968">
        <v>553.34</v>
      </c>
      <c r="F55" s="968">
        <v>12.91</v>
      </c>
      <c r="G55" s="969">
        <v>205.86</v>
      </c>
    </row>
    <row r="56" spans="2:7" ht="15" thickBot="1" x14ac:dyDescent="0.4">
      <c r="B56" s="964" t="s">
        <v>1153</v>
      </c>
      <c r="C56" s="965">
        <f t="shared" ref="C56:G56" si="6">SUM(C50:C55)</f>
        <v>116757.32</v>
      </c>
      <c r="D56" s="965">
        <f t="shared" si="6"/>
        <v>121620.82</v>
      </c>
      <c r="E56" s="965">
        <f t="shared" si="6"/>
        <v>112435.57</v>
      </c>
      <c r="F56" s="965">
        <f t="shared" si="6"/>
        <v>173827.16</v>
      </c>
      <c r="G56" s="966">
        <f t="shared" si="6"/>
        <v>180196.34</v>
      </c>
    </row>
    <row r="57" spans="2:7" ht="15" thickBot="1" x14ac:dyDescent="0.4">
      <c r="B57" s="964" t="s">
        <v>1147</v>
      </c>
      <c r="C57" s="965">
        <f t="shared" ref="C57:G57" si="7">C37+C47+C56</f>
        <v>667869.85000000009</v>
      </c>
      <c r="D57" s="965">
        <f t="shared" si="7"/>
        <v>745938.47</v>
      </c>
      <c r="E57" s="965">
        <f t="shared" si="7"/>
        <v>700809.9700000002</v>
      </c>
      <c r="F57" s="965">
        <f t="shared" si="7"/>
        <v>849734.46000000008</v>
      </c>
      <c r="G57" s="966">
        <f t="shared" si="7"/>
        <v>1011590.4900000001</v>
      </c>
    </row>
    <row r="58" spans="2:7" x14ac:dyDescent="0.35">
      <c r="B58" s="954"/>
      <c r="C58" s="954"/>
      <c r="D58" s="954"/>
      <c r="E58" s="954"/>
      <c r="F58" s="954"/>
      <c r="G58" s="954"/>
    </row>
    <row r="59" spans="2:7" x14ac:dyDescent="0.35">
      <c r="B59" s="954"/>
      <c r="C59" s="954">
        <f t="shared" ref="C59:G59" si="8">C30-C57</f>
        <v>0</v>
      </c>
      <c r="D59" s="954">
        <f t="shared" si="8"/>
        <v>0</v>
      </c>
      <c r="E59" s="954">
        <f t="shared" si="8"/>
        <v>0</v>
      </c>
      <c r="F59" s="954">
        <f t="shared" si="8"/>
        <v>0</v>
      </c>
      <c r="G59" s="954">
        <f t="shared" si="8"/>
        <v>0</v>
      </c>
    </row>
  </sheetData>
  <mergeCells count="1">
    <mergeCell ref="B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Cover</vt:lpstr>
      <vt:lpstr>INCOME STATEMENT</vt:lpstr>
      <vt:lpstr>BALANCES SHEET</vt:lpstr>
      <vt:lpstr>ANALYTICAL</vt:lpstr>
      <vt:lpstr>CASH FLOW</vt:lpstr>
      <vt:lpstr>Qauterly Data.</vt:lpstr>
      <vt:lpstr>NOTES</vt:lpstr>
      <vt:lpstr>RATIO</vt:lpstr>
      <vt:lpstr>BALANCESHEET PHOENIX Peer 1</vt:lpstr>
      <vt:lpstr>INCOMESTATEMENT PHOENIX Peer1</vt:lpstr>
      <vt:lpstr>CASHFLOW PHOENIX Peer1</vt:lpstr>
      <vt:lpstr>company wacc</vt:lpstr>
      <vt:lpstr>Comparbles</vt:lpstr>
      <vt:lpstr>valuations</vt:lpstr>
      <vt:lpstr>perform</vt:lpstr>
      <vt:lpstr>portfolio</vt:lpstr>
      <vt:lpstr>NOTES!NOTE_NO.10_PROPERTY_AND_FACILITIES_OPERATING_EXPENSES</vt:lpstr>
      <vt:lpstr>'BALANCES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cp:lastPrinted>2021-01-06T19:17:12Z</cp:lastPrinted>
  <dcterms:created xsi:type="dcterms:W3CDTF">2020-02-10T23:58:32Z</dcterms:created>
  <dcterms:modified xsi:type="dcterms:W3CDTF">2023-01-14T17:02:22Z</dcterms:modified>
</cp:coreProperties>
</file>