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kolenko\Desktop\QS\institute rating\"/>
    </mc:Choice>
  </mc:AlternateContent>
  <bookViews>
    <workbookView xWindow="0" yWindow="0" windowWidth="28800" windowHeight="12330" activeTab="1"/>
  </bookViews>
  <sheets>
    <sheet name="0-40-100 среднее" sheetId="17" r:id="rId1"/>
    <sheet name="Лист1" sheetId="18" r:id="rId2"/>
  </sheets>
  <definedNames>
    <definedName name="_xlnm._FilterDatabase" localSheetId="1" hidden="1">Лист1!$A$67:$B$77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8" l="1"/>
  <c r="D70" i="18"/>
  <c r="D71" i="18"/>
  <c r="D72" i="18"/>
  <c r="D73" i="18"/>
  <c r="D74" i="18"/>
  <c r="D75" i="18"/>
  <c r="D76" i="18"/>
  <c r="D77" i="18"/>
  <c r="D68" i="18"/>
  <c r="A77" i="18"/>
  <c r="A76" i="18"/>
  <c r="A75" i="18"/>
  <c r="A74" i="18"/>
  <c r="A73" i="18"/>
  <c r="A72" i="18"/>
  <c r="A71" i="18"/>
  <c r="A70" i="18"/>
  <c r="A69" i="18"/>
  <c r="A68" i="18"/>
  <c r="D54" i="17"/>
  <c r="AH49" i="17"/>
  <c r="AH50" i="17"/>
  <c r="AH51" i="17"/>
  <c r="AH52" i="17"/>
  <c r="AH53" i="17"/>
  <c r="AH54" i="17"/>
  <c r="AH55" i="17"/>
  <c r="AH56" i="17"/>
  <c r="AH57" i="17"/>
  <c r="AH48" i="17"/>
  <c r="AK57" i="17"/>
  <c r="AK56" i="17"/>
  <c r="AK55" i="17"/>
  <c r="AK54" i="17"/>
  <c r="AK53" i="17"/>
  <c r="AK52" i="17"/>
  <c r="AK51" i="17"/>
  <c r="AK50" i="17"/>
  <c r="AK49" i="17"/>
  <c r="AK48" i="17"/>
  <c r="AI57" i="17"/>
  <c r="AI56" i="17"/>
  <c r="AI55" i="17"/>
  <c r="AI54" i="17"/>
  <c r="AI53" i="17"/>
  <c r="AJ53" i="17" s="1"/>
  <c r="AI52" i="17"/>
  <c r="AI51" i="17"/>
  <c r="AI50" i="17"/>
  <c r="AJ50" i="17" s="1"/>
  <c r="AI49" i="17"/>
  <c r="AJ49" i="17" s="1"/>
  <c r="AI48" i="17"/>
  <c r="AJ48" i="17" s="1"/>
  <c r="AJ54" i="17"/>
  <c r="AF57" i="17"/>
  <c r="AG57" i="17" s="1"/>
  <c r="AF56" i="17"/>
  <c r="AG56" i="17" s="1"/>
  <c r="AF55" i="17"/>
  <c r="AG55" i="17" s="1"/>
  <c r="AF54" i="17"/>
  <c r="AG54" i="17" s="1"/>
  <c r="AF53" i="17"/>
  <c r="AF52" i="17"/>
  <c r="AF51" i="17"/>
  <c r="AF50" i="17"/>
  <c r="AF49" i="17"/>
  <c r="AG49" i="17" s="1"/>
  <c r="AF48" i="17"/>
  <c r="AG48" i="17" s="1"/>
  <c r="AG53" i="17"/>
  <c r="AG51" i="17"/>
  <c r="AE57" i="17"/>
  <c r="AE56" i="17"/>
  <c r="AE55" i="17"/>
  <c r="AE54" i="17"/>
  <c r="AE53" i="17"/>
  <c r="AE52" i="17"/>
  <c r="AE51" i="17"/>
  <c r="AE50" i="17"/>
  <c r="AE49" i="17"/>
  <c r="AE48" i="17"/>
  <c r="AG50" i="17"/>
  <c r="AG52" i="17"/>
  <c r="AC57" i="17"/>
  <c r="AC56" i="17"/>
  <c r="AC55" i="17"/>
  <c r="AC54" i="17"/>
  <c r="AD54" i="17" s="1"/>
  <c r="AC53" i="17"/>
  <c r="AD53" i="17" s="1"/>
  <c r="AC52" i="17"/>
  <c r="AC51" i="17"/>
  <c r="AC50" i="17"/>
  <c r="AC49" i="17"/>
  <c r="AD49" i="17" s="1"/>
  <c r="AC48" i="17"/>
  <c r="AD55" i="17"/>
  <c r="AB57" i="17"/>
  <c r="AB56" i="17"/>
  <c r="AB55" i="17"/>
  <c r="AB54" i="17"/>
  <c r="AB53" i="17"/>
  <c r="AB52" i="17"/>
  <c r="AB51" i="17"/>
  <c r="AB50" i="17"/>
  <c r="AB49" i="17"/>
  <c r="AB48" i="17"/>
  <c r="Z57" i="17"/>
  <c r="AA57" i="17" s="1"/>
  <c r="Z56" i="17"/>
  <c r="Z55" i="17"/>
  <c r="Z54" i="17"/>
  <c r="AA54" i="17" s="1"/>
  <c r="Z53" i="17"/>
  <c r="Z52" i="17"/>
  <c r="AA52" i="17" s="1"/>
  <c r="Z51" i="17"/>
  <c r="AA51" i="17" s="1"/>
  <c r="Z50" i="17"/>
  <c r="Z49" i="17"/>
  <c r="Z48" i="17"/>
  <c r="AA56" i="17"/>
  <c r="AA55" i="17"/>
  <c r="AA50" i="17"/>
  <c r="AA49" i="17"/>
  <c r="AA48" i="17"/>
  <c r="Y56" i="17"/>
  <c r="W57" i="17"/>
  <c r="X57" i="17" s="1"/>
  <c r="Y57" i="17" s="1"/>
  <c r="W56" i="17"/>
  <c r="W55" i="17"/>
  <c r="W54" i="17"/>
  <c r="X54" i="17" s="1"/>
  <c r="Y54" i="17" s="1"/>
  <c r="W53" i="17"/>
  <c r="W52" i="17"/>
  <c r="X52" i="17" s="1"/>
  <c r="Y52" i="17" s="1"/>
  <c r="AL52" i="17" s="1"/>
  <c r="W51" i="17"/>
  <c r="X51" i="17" s="1"/>
  <c r="Y51" i="17" s="1"/>
  <c r="AL51" i="17" s="1"/>
  <c r="W50" i="17"/>
  <c r="W49" i="17"/>
  <c r="X49" i="17" s="1"/>
  <c r="Y49" i="17" s="1"/>
  <c r="AL49" i="17" s="1"/>
  <c r="W48" i="17"/>
  <c r="X48" i="17" s="1"/>
  <c r="Y48" i="17" s="1"/>
  <c r="AL48" i="17" s="1"/>
  <c r="V57" i="17"/>
  <c r="V56" i="17"/>
  <c r="V55" i="17"/>
  <c r="V54" i="17"/>
  <c r="V53" i="17"/>
  <c r="V52" i="17"/>
  <c r="V51" i="17"/>
  <c r="V50" i="17"/>
  <c r="V49" i="17"/>
  <c r="V48" i="17"/>
  <c r="T57" i="17"/>
  <c r="U57" i="17" s="1"/>
  <c r="T56" i="17"/>
  <c r="U56" i="17" s="1"/>
  <c r="T55" i="17"/>
  <c r="T54" i="17"/>
  <c r="T53" i="17"/>
  <c r="U53" i="17" s="1"/>
  <c r="T52" i="17"/>
  <c r="T51" i="17"/>
  <c r="T50" i="17"/>
  <c r="U50" i="17" s="1"/>
  <c r="T49" i="17"/>
  <c r="T48" i="17"/>
  <c r="U55" i="17"/>
  <c r="U54" i="17"/>
  <c r="U49" i="17"/>
  <c r="U48" i="17"/>
  <c r="S57" i="17"/>
  <c r="S56" i="17"/>
  <c r="S55" i="17"/>
  <c r="S54" i="17"/>
  <c r="S53" i="17"/>
  <c r="S52" i="17"/>
  <c r="S51" i="17"/>
  <c r="S50" i="17"/>
  <c r="S49" i="17"/>
  <c r="S48" i="17"/>
  <c r="Q57" i="17"/>
  <c r="Q56" i="17"/>
  <c r="Q55" i="17"/>
  <c r="Q54" i="17"/>
  <c r="Q53" i="17"/>
  <c r="Q52" i="17"/>
  <c r="Q51" i="17"/>
  <c r="Q50" i="17"/>
  <c r="Q49" i="17"/>
  <c r="Q48" i="17"/>
  <c r="N57" i="17"/>
  <c r="O57" i="17" s="1"/>
  <c r="P57" i="17" s="1"/>
  <c r="N56" i="17"/>
  <c r="O56" i="17" s="1"/>
  <c r="P56" i="17" s="1"/>
  <c r="N55" i="17"/>
  <c r="O55" i="17" s="1"/>
  <c r="P55" i="17" s="1"/>
  <c r="N54" i="17"/>
  <c r="N53" i="17"/>
  <c r="N52" i="17"/>
  <c r="N51" i="17"/>
  <c r="N50" i="17"/>
  <c r="O50" i="17" s="1"/>
  <c r="P50" i="17" s="1"/>
  <c r="N49" i="17"/>
  <c r="O49" i="17" s="1"/>
  <c r="P49" i="17" s="1"/>
  <c r="N48" i="17"/>
  <c r="M57" i="17"/>
  <c r="M56" i="17"/>
  <c r="M55" i="17"/>
  <c r="M54" i="17"/>
  <c r="M53" i="17"/>
  <c r="M52" i="17"/>
  <c r="M51" i="17"/>
  <c r="M50" i="17"/>
  <c r="M49" i="17"/>
  <c r="M48" i="17"/>
  <c r="K57" i="17"/>
  <c r="K56" i="17"/>
  <c r="L56" i="17" s="1"/>
  <c r="K55" i="17"/>
  <c r="L55" i="17" s="1"/>
  <c r="K54" i="17"/>
  <c r="K53" i="17"/>
  <c r="K52" i="17"/>
  <c r="K51" i="17"/>
  <c r="K50" i="17"/>
  <c r="K49" i="17"/>
  <c r="L49" i="17" s="1"/>
  <c r="K48" i="17"/>
  <c r="L53" i="17"/>
  <c r="J57" i="17"/>
  <c r="J56" i="17"/>
  <c r="J55" i="17"/>
  <c r="J54" i="17"/>
  <c r="J53" i="17"/>
  <c r="J52" i="17"/>
  <c r="J51" i="17"/>
  <c r="J50" i="17"/>
  <c r="J49" i="17"/>
  <c r="J48" i="17"/>
  <c r="H57" i="17"/>
  <c r="I57" i="17" s="1"/>
  <c r="H56" i="17"/>
  <c r="I56" i="17" s="1"/>
  <c r="H55" i="17"/>
  <c r="H54" i="17"/>
  <c r="H53" i="17"/>
  <c r="H52" i="17"/>
  <c r="H51" i="17"/>
  <c r="H50" i="17"/>
  <c r="I50" i="17" s="1"/>
  <c r="H49" i="17"/>
  <c r="H48" i="17"/>
  <c r="I55" i="17"/>
  <c r="I54" i="17"/>
  <c r="I53" i="17"/>
  <c r="I49" i="17"/>
  <c r="I48" i="17"/>
  <c r="G57" i="17"/>
  <c r="G56" i="17"/>
  <c r="G55" i="17"/>
  <c r="G54" i="17"/>
  <c r="G53" i="17"/>
  <c r="G52" i="17"/>
  <c r="G51" i="17"/>
  <c r="G50" i="17"/>
  <c r="G49" i="17"/>
  <c r="G48" i="17"/>
  <c r="E57" i="17"/>
  <c r="E56" i="17"/>
  <c r="E55" i="17"/>
  <c r="E54" i="17"/>
  <c r="E53" i="17"/>
  <c r="E52" i="17"/>
  <c r="E51" i="17"/>
  <c r="E50" i="17"/>
  <c r="E49" i="17"/>
  <c r="E48" i="17"/>
  <c r="F48" i="17"/>
  <c r="D49" i="17"/>
  <c r="D50" i="17"/>
  <c r="D51" i="17"/>
  <c r="D52" i="17"/>
  <c r="D53" i="17"/>
  <c r="D55" i="17"/>
  <c r="D56" i="17"/>
  <c r="D57" i="17"/>
  <c r="D48" i="17"/>
  <c r="B55" i="17"/>
  <c r="B57" i="17"/>
  <c r="C57" i="17" s="1"/>
  <c r="B56" i="17"/>
  <c r="C56" i="17" s="1"/>
  <c r="B54" i="17"/>
  <c r="C54" i="17" s="1"/>
  <c r="B53" i="17"/>
  <c r="C53" i="17" s="1"/>
  <c r="B52" i="17"/>
  <c r="C52" i="17" s="1"/>
  <c r="B51" i="17"/>
  <c r="C51" i="17"/>
  <c r="B48" i="17"/>
  <c r="C48" i="17" s="1"/>
  <c r="B50" i="17"/>
  <c r="B49" i="17"/>
  <c r="C49" i="17" s="1"/>
  <c r="AJ51" i="17"/>
  <c r="AJ56" i="17"/>
  <c r="AJ57" i="17"/>
  <c r="AJ55" i="17"/>
  <c r="AJ52" i="17"/>
  <c r="AD57" i="17"/>
  <c r="AD56" i="17"/>
  <c r="AD52" i="17"/>
  <c r="AD51" i="17"/>
  <c r="AD50" i="17"/>
  <c r="AD48" i="17"/>
  <c r="AA53" i="17"/>
  <c r="X56" i="17"/>
  <c r="X55" i="17"/>
  <c r="Y55" i="17" s="1"/>
  <c r="AL55" i="17" s="1"/>
  <c r="X53" i="17"/>
  <c r="Y53" i="17" s="1"/>
  <c r="X50" i="17"/>
  <c r="Y50" i="17" s="1"/>
  <c r="AL50" i="17" s="1"/>
  <c r="U52" i="17"/>
  <c r="U51" i="17"/>
  <c r="R57" i="17"/>
  <c r="R56" i="17"/>
  <c r="R55" i="17"/>
  <c r="R54" i="17"/>
  <c r="R53" i="17"/>
  <c r="R52" i="17"/>
  <c r="R51" i="17"/>
  <c r="R50" i="17"/>
  <c r="R49" i="17"/>
  <c r="R48" i="17"/>
  <c r="O54" i="17"/>
  <c r="P54" i="17" s="1"/>
  <c r="O53" i="17"/>
  <c r="P53" i="17" s="1"/>
  <c r="O52" i="17"/>
  <c r="P52" i="17" s="1"/>
  <c r="O51" i="17"/>
  <c r="P51" i="17" s="1"/>
  <c r="O48" i="17"/>
  <c r="P48" i="17" s="1"/>
  <c r="L57" i="17"/>
  <c r="L54" i="17"/>
  <c r="L52" i="17"/>
  <c r="L51" i="17"/>
  <c r="L50" i="17"/>
  <c r="L48" i="17"/>
  <c r="I52" i="17"/>
  <c r="I51" i="17"/>
  <c r="F57" i="17"/>
  <c r="F56" i="17"/>
  <c r="F55" i="17"/>
  <c r="F54" i="17"/>
  <c r="F53" i="17"/>
  <c r="F52" i="17"/>
  <c r="F51" i="17"/>
  <c r="F50" i="17"/>
  <c r="F49" i="17"/>
  <c r="C50" i="17"/>
  <c r="C55" i="17"/>
  <c r="AL54" i="17" l="1"/>
  <c r="AL53" i="17"/>
  <c r="AL57" i="17"/>
  <c r="AL56" i="17"/>
  <c r="B16" i="18"/>
  <c r="D16" i="18"/>
  <c r="E16" i="18" s="1"/>
  <c r="B13" i="18"/>
  <c r="D13" i="18"/>
  <c r="E13" i="18" s="1"/>
  <c r="B14" i="18"/>
  <c r="D14" i="18"/>
  <c r="E14" i="18"/>
  <c r="B15" i="18"/>
  <c r="D15" i="18"/>
  <c r="E15" i="18"/>
  <c r="E2" i="18"/>
  <c r="D2" i="18"/>
  <c r="B2" i="18"/>
  <c r="D41" i="17" l="1"/>
  <c r="AK32" i="17"/>
  <c r="AJ44" i="17" s="1"/>
  <c r="AK44" i="17" s="1"/>
  <c r="AJ45" i="17" s="1"/>
  <c r="AJ32" i="17"/>
  <c r="AG32" i="17"/>
  <c r="AD32" i="17"/>
  <c r="AB32" i="17"/>
  <c r="AA44" i="17" s="1"/>
  <c r="AB44" i="17" s="1"/>
  <c r="AA45" i="17" s="1"/>
  <c r="Y32" i="17"/>
  <c r="X44" i="17" s="1"/>
  <c r="Y44" i="17" s="1"/>
  <c r="X45" i="17" s="1"/>
  <c r="V32" i="17"/>
  <c r="U44" i="17" s="1"/>
  <c r="V44" i="17" s="1"/>
  <c r="U45" i="17" s="1"/>
  <c r="R32" i="17"/>
  <c r="O32" i="17"/>
  <c r="M32" i="17"/>
  <c r="L44" i="17" s="1"/>
  <c r="M44" i="17" s="1"/>
  <c r="L45" i="17" s="1"/>
  <c r="J32" i="17"/>
  <c r="I44" i="17" s="1"/>
  <c r="J44" i="17" s="1"/>
  <c r="I45" i="17" s="1"/>
  <c r="AI32" i="17"/>
  <c r="AC32" i="17"/>
  <c r="Z32" i="17"/>
  <c r="W32" i="17"/>
  <c r="T32" i="17"/>
  <c r="Q32" i="17"/>
  <c r="N32" i="17"/>
  <c r="K32" i="17"/>
  <c r="B32" i="17"/>
  <c r="F32" i="17"/>
  <c r="C32" i="17"/>
  <c r="AC14" i="17"/>
  <c r="AB14" i="17"/>
  <c r="AA14" i="17"/>
  <c r="Z14" i="17"/>
  <c r="Y14" i="17"/>
  <c r="X14" i="17"/>
  <c r="W14" i="17"/>
  <c r="V14" i="17"/>
  <c r="T14" i="17"/>
  <c r="S14" i="17"/>
  <c r="R14" i="17"/>
  <c r="U13" i="17"/>
  <c r="U12" i="17"/>
  <c r="U11" i="17"/>
  <c r="U10" i="17"/>
  <c r="U9" i="17"/>
  <c r="U8" i="17"/>
  <c r="U7" i="17"/>
  <c r="U6" i="17"/>
  <c r="U5" i="17"/>
  <c r="U4" i="17"/>
  <c r="U14" i="17" l="1"/>
  <c r="AJ39" i="17" l="1"/>
  <c r="AI39" i="17"/>
  <c r="AG39" i="17"/>
  <c r="AD39" i="17"/>
  <c r="AC39" i="17"/>
  <c r="Z39" i="17"/>
  <c r="Y39" i="17"/>
  <c r="W39" i="17"/>
  <c r="T39" i="17"/>
  <c r="R39" i="17"/>
  <c r="Q39" i="17"/>
  <c r="O39" i="17"/>
  <c r="N39" i="17"/>
  <c r="M39" i="17"/>
  <c r="K39" i="17"/>
  <c r="F39" i="17"/>
  <c r="C39" i="17"/>
  <c r="B39" i="17"/>
  <c r="AJ38" i="17"/>
  <c r="AI38" i="17"/>
  <c r="AG38" i="17"/>
  <c r="AD38" i="17"/>
  <c r="AC38" i="17"/>
  <c r="Z38" i="17"/>
  <c r="W38" i="17"/>
  <c r="T38" i="17"/>
  <c r="R38" i="17"/>
  <c r="Q38" i="17"/>
  <c r="O38" i="17"/>
  <c r="N38" i="17"/>
  <c r="K38" i="17"/>
  <c r="F38" i="17"/>
  <c r="C38" i="17"/>
  <c r="B38" i="17"/>
  <c r="AJ31" i="17"/>
  <c r="AI31" i="17"/>
  <c r="AG31" i="17"/>
  <c r="AD31" i="17"/>
  <c r="AC31" i="17"/>
  <c r="Z31" i="17"/>
  <c r="W31" i="17"/>
  <c r="T31" i="17"/>
  <c r="R31" i="17"/>
  <c r="Q31" i="17"/>
  <c r="O31" i="17"/>
  <c r="N31" i="17"/>
  <c r="K31" i="17"/>
  <c r="F31" i="17"/>
  <c r="C31" i="17"/>
  <c r="C33" i="17" s="1"/>
  <c r="B31" i="17"/>
  <c r="AF30" i="17"/>
  <c r="AH30" i="17" s="1"/>
  <c r="AE30" i="17"/>
  <c r="AA30" i="17"/>
  <c r="X30" i="17"/>
  <c r="U30" i="17"/>
  <c r="S30" i="17"/>
  <c r="P30" i="17"/>
  <c r="L30" i="17"/>
  <c r="H30" i="17"/>
  <c r="I30" i="17" s="1"/>
  <c r="E30" i="17"/>
  <c r="G30" i="17" s="1"/>
  <c r="D30" i="17"/>
  <c r="A10" i="18" s="1"/>
  <c r="AF29" i="17"/>
  <c r="AE29" i="17"/>
  <c r="AA29" i="17"/>
  <c r="X29" i="17"/>
  <c r="U29" i="17"/>
  <c r="S29" i="17"/>
  <c r="P29" i="17"/>
  <c r="L29" i="17"/>
  <c r="H29" i="17"/>
  <c r="I29" i="17" s="1"/>
  <c r="E29" i="17"/>
  <c r="G29" i="17" s="1"/>
  <c r="D29" i="17"/>
  <c r="A12" i="18" s="1"/>
  <c r="AH28" i="17"/>
  <c r="AE28" i="17"/>
  <c r="AA28" i="17"/>
  <c r="X28" i="17"/>
  <c r="U28" i="17"/>
  <c r="S28" i="17"/>
  <c r="P28" i="17"/>
  <c r="L28" i="17"/>
  <c r="H28" i="17"/>
  <c r="I28" i="17" s="1"/>
  <c r="E28" i="17"/>
  <c r="G28" i="17" s="1"/>
  <c r="D28" i="17"/>
  <c r="A11" i="18" s="1"/>
  <c r="AF27" i="17"/>
  <c r="AH27" i="17" s="1"/>
  <c r="AE27" i="17"/>
  <c r="AA27" i="17"/>
  <c r="X27" i="17"/>
  <c r="U27" i="17"/>
  <c r="S27" i="17"/>
  <c r="P27" i="17"/>
  <c r="L27" i="17"/>
  <c r="H27" i="17"/>
  <c r="I27" i="17" s="1"/>
  <c r="E27" i="17"/>
  <c r="G27" i="17" s="1"/>
  <c r="D27" i="17"/>
  <c r="A4" i="18" s="1"/>
  <c r="AF26" i="17"/>
  <c r="AE26" i="17"/>
  <c r="AA26" i="17"/>
  <c r="X26" i="17"/>
  <c r="U26" i="17"/>
  <c r="S26" i="17"/>
  <c r="P26" i="17"/>
  <c r="L26" i="17"/>
  <c r="H26" i="17"/>
  <c r="I26" i="17" s="1"/>
  <c r="E26" i="17"/>
  <c r="G26" i="17" s="1"/>
  <c r="D26" i="17"/>
  <c r="A6" i="18" s="1"/>
  <c r="AF25" i="17"/>
  <c r="AE25" i="17"/>
  <c r="AA25" i="17"/>
  <c r="X25" i="17"/>
  <c r="U25" i="17"/>
  <c r="S25" i="17"/>
  <c r="P25" i="17"/>
  <c r="L25" i="17"/>
  <c r="H25" i="17"/>
  <c r="I25" i="17" s="1"/>
  <c r="E25" i="17"/>
  <c r="G25" i="17" s="1"/>
  <c r="D25" i="17"/>
  <c r="A7" i="18" s="1"/>
  <c r="AF24" i="17"/>
  <c r="AH24" i="17" s="1"/>
  <c r="AE24" i="17"/>
  <c r="AA24" i="17"/>
  <c r="X24" i="17"/>
  <c r="U24" i="17"/>
  <c r="S24" i="17"/>
  <c r="P24" i="17"/>
  <c r="L24" i="17"/>
  <c r="H24" i="17"/>
  <c r="I24" i="17" s="1"/>
  <c r="E24" i="17"/>
  <c r="G24" i="17" s="1"/>
  <c r="D24" i="17"/>
  <c r="A8" i="18" s="1"/>
  <c r="AF23" i="17"/>
  <c r="AH23" i="17" s="1"/>
  <c r="AE23" i="17"/>
  <c r="AA23" i="17"/>
  <c r="X23" i="17"/>
  <c r="U23" i="17"/>
  <c r="S23" i="17"/>
  <c r="P23" i="17"/>
  <c r="L23" i="17"/>
  <c r="H23" i="17"/>
  <c r="I23" i="17" s="1"/>
  <c r="E23" i="17"/>
  <c r="G23" i="17" s="1"/>
  <c r="D23" i="17"/>
  <c r="A3" i="18" s="1"/>
  <c r="AF22" i="17"/>
  <c r="AE22" i="17"/>
  <c r="AA22" i="17"/>
  <c r="X22" i="17"/>
  <c r="U22" i="17"/>
  <c r="S22" i="17"/>
  <c r="P22" i="17"/>
  <c r="L22" i="17"/>
  <c r="H22" i="17"/>
  <c r="I22" i="17" s="1"/>
  <c r="E22" i="17"/>
  <c r="D22" i="17"/>
  <c r="A9" i="18" s="1"/>
  <c r="AF21" i="17"/>
  <c r="AE21" i="17"/>
  <c r="AA21" i="17"/>
  <c r="X21" i="17"/>
  <c r="U21" i="17"/>
  <c r="S21" i="17"/>
  <c r="P21" i="17"/>
  <c r="L21" i="17"/>
  <c r="H21" i="17"/>
  <c r="E21" i="17"/>
  <c r="D21" i="17"/>
  <c r="A5" i="18" s="1"/>
  <c r="M14" i="17"/>
  <c r="L14" i="17"/>
  <c r="K14" i="17"/>
  <c r="J14" i="17"/>
  <c r="I14" i="17"/>
  <c r="H14" i="17"/>
  <c r="G14" i="17"/>
  <c r="F14" i="17"/>
  <c r="E14" i="17"/>
  <c r="D14" i="17"/>
  <c r="C14" i="17"/>
  <c r="B14" i="17"/>
  <c r="B9" i="18" l="1"/>
  <c r="D9" i="18"/>
  <c r="E9" i="18" s="1"/>
  <c r="B11" i="18"/>
  <c r="D11" i="18"/>
  <c r="E11" i="18" s="1"/>
  <c r="B3" i="18"/>
  <c r="D3" i="18"/>
  <c r="E3" i="18" s="1"/>
  <c r="B5" i="18"/>
  <c r="D5" i="18"/>
  <c r="E5" i="18" s="1"/>
  <c r="B4" i="18"/>
  <c r="D4" i="18"/>
  <c r="E4" i="18" s="1"/>
  <c r="B6" i="18"/>
  <c r="D6" i="18"/>
  <c r="E6" i="18" s="1"/>
  <c r="B7" i="18"/>
  <c r="D7" i="18"/>
  <c r="E7" i="18" s="1"/>
  <c r="B12" i="18"/>
  <c r="D12" i="18"/>
  <c r="E12" i="18" s="1"/>
  <c r="B8" i="18"/>
  <c r="D8" i="18"/>
  <c r="E8" i="18" s="1"/>
  <c r="B10" i="18"/>
  <c r="D10" i="18"/>
  <c r="E10" i="18" s="1"/>
  <c r="AA32" i="17"/>
  <c r="H32" i="17"/>
  <c r="E32" i="17"/>
  <c r="X32" i="17"/>
  <c r="L32" i="17"/>
  <c r="AE32" i="17"/>
  <c r="AD44" i="17" s="1"/>
  <c r="AE44" i="17" s="1"/>
  <c r="AD45" i="17" s="1"/>
  <c r="P32" i="17"/>
  <c r="O44" i="17" s="1"/>
  <c r="P44" i="17" s="1"/>
  <c r="O45" i="17" s="1"/>
  <c r="AF32" i="17"/>
  <c r="S32" i="17"/>
  <c r="R44" i="17" s="1"/>
  <c r="S44" i="17" s="1"/>
  <c r="R45" i="17" s="1"/>
  <c r="U32" i="17"/>
  <c r="F33" i="17"/>
  <c r="AI33" i="17"/>
  <c r="E38" i="17"/>
  <c r="X39" i="17"/>
  <c r="O33" i="17"/>
  <c r="N34" i="17" s="1"/>
  <c r="N35" i="17" s="1"/>
  <c r="N36" i="17" s="1"/>
  <c r="AC33" i="17"/>
  <c r="B33" i="17"/>
  <c r="B34" i="17" s="1"/>
  <c r="Q33" i="17"/>
  <c r="AD33" i="17"/>
  <c r="L38" i="17"/>
  <c r="R33" i="17"/>
  <c r="AG33" i="17"/>
  <c r="T33" i="17"/>
  <c r="AF38" i="17"/>
  <c r="K33" i="17"/>
  <c r="W33" i="17"/>
  <c r="AJ33" i="17"/>
  <c r="D32" i="17"/>
  <c r="C44" i="17" s="1"/>
  <c r="D44" i="17" s="1"/>
  <c r="C45" i="17" s="1"/>
  <c r="U31" i="17"/>
  <c r="U33" i="17" s="1"/>
  <c r="N33" i="17"/>
  <c r="Z33" i="17"/>
  <c r="H39" i="17"/>
  <c r="AA38" i="17"/>
  <c r="G21" i="17"/>
  <c r="L39" i="17"/>
  <c r="L31" i="17"/>
  <c r="L33" i="17" s="1"/>
  <c r="AH21" i="17"/>
  <c r="P38" i="17"/>
  <c r="AF39" i="17"/>
  <c r="AF31" i="17"/>
  <c r="AF33" i="17" s="1"/>
  <c r="AF34" i="17" s="1"/>
  <c r="AH22" i="17"/>
  <c r="AH25" i="17"/>
  <c r="U38" i="17"/>
  <c r="U39" i="17"/>
  <c r="E39" i="17"/>
  <c r="AA39" i="17"/>
  <c r="I21" i="17"/>
  <c r="I32" i="17" s="1"/>
  <c r="G22" i="17"/>
  <c r="AH29" i="17"/>
  <c r="X31" i="17"/>
  <c r="X33" i="17" s="1"/>
  <c r="H31" i="17"/>
  <c r="H33" i="17" s="1"/>
  <c r="H38" i="17"/>
  <c r="E31" i="17"/>
  <c r="E33" i="17" s="1"/>
  <c r="S39" i="17"/>
  <c r="AH26" i="17"/>
  <c r="X38" i="17"/>
  <c r="AA31" i="17"/>
  <c r="AA33" i="17" s="1"/>
  <c r="G31" i="17" l="1"/>
  <c r="E34" i="17"/>
  <c r="E35" i="17" s="1"/>
  <c r="E36" i="17" s="1"/>
  <c r="Q34" i="17"/>
  <c r="Q35" i="17" s="1"/>
  <c r="Q36" i="17" s="1"/>
  <c r="AH32" i="17"/>
  <c r="AG44" i="17" s="1"/>
  <c r="AH44" i="17" s="1"/>
  <c r="AG45" i="17" s="1"/>
  <c r="K34" i="17"/>
  <c r="K35" i="17" s="1"/>
  <c r="K36" i="17" s="1"/>
  <c r="T34" i="17"/>
  <c r="T35" i="17" s="1"/>
  <c r="T36" i="17" s="1"/>
  <c r="W34" i="17"/>
  <c r="W35" i="17" s="1"/>
  <c r="W36" i="17" s="1"/>
  <c r="G32" i="17"/>
  <c r="F44" i="17" s="1"/>
  <c r="G44" i="17" s="1"/>
  <c r="F45" i="17" s="1"/>
  <c r="AC34" i="17"/>
  <c r="AC35" i="17" s="1"/>
  <c r="AC36" i="17" s="1"/>
  <c r="AI34" i="17"/>
  <c r="AI35" i="17" s="1"/>
  <c r="AI36" i="17" s="1"/>
  <c r="Z34" i="17"/>
  <c r="Z35" i="17" s="1"/>
  <c r="Z36" i="17" s="1"/>
  <c r="B35" i="17"/>
  <c r="B36" i="17" s="1"/>
  <c r="I39" i="17"/>
  <c r="I38" i="17"/>
  <c r="I31" i="17"/>
  <c r="I33" i="17" s="1"/>
  <c r="H34" i="17" s="1"/>
  <c r="H35" i="17" s="1"/>
  <c r="H36" i="17" s="1"/>
  <c r="AF35" i="17"/>
  <c r="AF36" i="17" s="1"/>
</calcChain>
</file>

<file path=xl/sharedStrings.xml><?xml version="1.0" encoding="utf-8"?>
<sst xmlns="http://schemas.openxmlformats.org/spreadsheetml/2006/main" count="212" uniqueCount="113">
  <si>
    <t>Инженерно-технический институт</t>
  </si>
  <si>
    <t>Институт живых систем</t>
  </si>
  <si>
    <t>Институт образования</t>
  </si>
  <si>
    <t>Институт природопользования территориального развития и градостроительства</t>
  </si>
  <si>
    <t>Институт рекреации, туризма и физической культуры</t>
  </si>
  <si>
    <t>Институт физико-математических наук и информационных технологий</t>
  </si>
  <si>
    <t>Институт экономики и менеджмента</t>
  </si>
  <si>
    <t>Медицинский институт</t>
  </si>
  <si>
    <t>Институт гуманитарных наук</t>
  </si>
  <si>
    <t>Юридический институт</t>
  </si>
  <si>
    <t>Институт</t>
  </si>
  <si>
    <t>1.1</t>
  </si>
  <si>
    <t>1.2</t>
  </si>
  <si>
    <t>1.4</t>
  </si>
  <si>
    <t>1.7</t>
  </si>
  <si>
    <t>1.8</t>
  </si>
  <si>
    <t>1.9</t>
  </si>
  <si>
    <t>3.1</t>
  </si>
  <si>
    <t>3.5</t>
  </si>
  <si>
    <t>4.1</t>
  </si>
  <si>
    <t>6.2</t>
  </si>
  <si>
    <t>6.3</t>
  </si>
  <si>
    <t>max, 100 баллов</t>
  </si>
  <si>
    <t>2.5</t>
  </si>
  <si>
    <t>2.7</t>
  </si>
  <si>
    <t>3.3</t>
  </si>
  <si>
    <t>6.5</t>
  </si>
  <si>
    <t>2.3</t>
  </si>
  <si>
    <t>1.5</t>
  </si>
  <si>
    <t>2.1</t>
  </si>
  <si>
    <t>2.2</t>
  </si>
  <si>
    <t>2.4</t>
  </si>
  <si>
    <t>Удельный вес студентов, обучающихся (приведенного контингента) по программам высшего образования (бакалавриата, специалитета, магистратуры, аспирантуры, ординатуры) на контрактной основе, в общей численности приведенного контингента по основным образовательным программам высшего образования, %</t>
  </si>
  <si>
    <t>Доля преподавателей, использующих электронные образовательные ресурсы (портал тестирования, БРС, lms), %</t>
  </si>
  <si>
    <t>Доля совместных программ (реализуемых с индустриальными партерами, другими вузами и т.д.) от общего количества программ, реализуемых институтом, %</t>
  </si>
  <si>
    <t>Число публикаций, индексируемых в информационно-аналитической системе научного цитирования Scopus, в расчете на 1 ставку научно-педагогических работников, ед./ст.</t>
  </si>
  <si>
    <t>Объем зарегистрированных лицензионных договоров на использование результатов интеллектуальной деятельности или договоров о продажах результатов интеллектуальной деятельности в расчете на 1 ставку научно-педагогических работников, тыс. руб./ст.</t>
  </si>
  <si>
    <t>Число заявок на научно-исследовательские и опытно-конструкторские работы, поданных в Фонды, поддерживающих инновационные и сетевые исследований (НТИ, ФПИ и т.д.) в расчете на 1 ставку научно-педагогических работников, ед./ст.</t>
  </si>
  <si>
    <t>Объем научно-исследовательских и опытно-конструкторских работ в расчете на одного научно-педагогического работника, тыс.руб.</t>
  </si>
  <si>
    <t>Удельный вес численности иностранных студентов, обучающихся по программам бакалавриата, специалитета, магистратуры, в общей численности студентов (приведенный контингент), %</t>
  </si>
  <si>
    <t>1.10</t>
  </si>
  <si>
    <t>Удельный вес численности научно-педагогических работников с ученой степенью, в общей численности научно-педагогических работников (в ставках), %</t>
  </si>
  <si>
    <t>Удельный вес численности научно-педагогических работников в возрасте до 35 лет в общей численности научно-педагогических работников (в ставках), %</t>
  </si>
  <si>
    <r>
      <rPr>
        <b/>
        <sz val="10"/>
        <color rgb="FF000000"/>
        <rFont val="Times New Roman"/>
        <family val="1"/>
        <charset val="204"/>
      </rPr>
      <t>Удельный вес</t>
    </r>
    <r>
      <rPr>
        <sz val="10"/>
        <color rgb="FF000000"/>
        <rFont val="Times New Roman"/>
        <family val="1"/>
        <charset val="204"/>
      </rPr>
      <t xml:space="preserve"> численности обучающихся (приведенного контингента), по </t>
    </r>
    <r>
      <rPr>
        <b/>
        <sz val="10"/>
        <color rgb="FF000000"/>
        <rFont val="Times New Roman"/>
        <family val="1"/>
        <charset val="204"/>
      </rPr>
      <t>программам магистратуры,</t>
    </r>
    <r>
      <rPr>
        <sz val="10"/>
        <color rgb="FF000000"/>
        <rFont val="Times New Roman"/>
        <family val="1"/>
        <charset val="204"/>
      </rPr>
      <t xml:space="preserve"> подготовки научно-педагогических кадров в </t>
    </r>
    <r>
      <rPr>
        <b/>
        <sz val="10"/>
        <color rgb="FF000000"/>
        <rFont val="Times New Roman"/>
        <family val="1"/>
        <charset val="204"/>
      </rPr>
      <t>аспирантуре</t>
    </r>
    <r>
      <rPr>
        <sz val="10"/>
        <color rgb="FF000000"/>
        <rFont val="Times New Roman"/>
        <family val="1"/>
        <charset val="204"/>
      </rPr>
      <t>, ординатуры в общей численности приведенного контингента обучающихся по основным образовательным программам высшего образования, %</t>
    </r>
  </si>
  <si>
    <r>
      <rPr>
        <b/>
        <sz val="10"/>
        <color theme="1"/>
        <rFont val="Times New Roman"/>
        <family val="1"/>
        <charset val="204"/>
      </rPr>
      <t xml:space="preserve">Средний балл ЕГЭ </t>
    </r>
    <r>
      <rPr>
        <sz val="10"/>
        <color theme="1"/>
        <rFont val="Times New Roman"/>
        <family val="1"/>
        <charset val="204"/>
      </rPr>
      <t>(единого государственного экзамена) студентов, принятых по результатам единого государственного экзамена на обучение по очной форме по программам бакалавриата и специалитета за счет средств соответствующих бюджетов бюджетной системы Российской Федерации и с оплатой физическими и юридическими лицами, балл</t>
    </r>
  </si>
  <si>
    <r>
      <t>Удельный вес численности студентов, имеющих диплом бакалавра, специалиста или магистра других организаций, принятых на первый курс на обучение по программам магистратуры, подготовки научно-педагогических кадров в аспирантуре, ординатуры, в общей численности студентов, принятых на первый курс по программам магистратуры, подготовки научно-педагогических кадров в аспирантуре, ординатуры на очную форму обучения, %</t>
    </r>
    <r>
      <rPr>
        <b/>
        <sz val="10"/>
        <color theme="1"/>
        <rFont val="Times New Roman"/>
        <family val="1"/>
        <charset val="204"/>
      </rPr>
      <t xml:space="preserve"> 
Значения НЕ 1.5 похожий</t>
    </r>
    <r>
      <rPr>
        <sz val="10"/>
        <color theme="1"/>
        <rFont val="Times New Roman"/>
        <family val="1"/>
        <charset val="204"/>
      </rPr>
      <t xml:space="preserve"> </t>
    </r>
  </si>
  <si>
    <r>
      <t xml:space="preserve">Удельный вес численности общей занятости (трудоустроенных выпускников и продолживших обучения) выпускников предыдущего года в общей численности выпускников , %
</t>
    </r>
    <r>
      <rPr>
        <sz val="10"/>
        <color rgb="FFFF0000"/>
        <rFont val="Times New Roman"/>
        <family val="1"/>
        <charset val="204"/>
      </rPr>
      <t>В декабре 2020 г оцениваются выпускники 2020 года</t>
    </r>
  </si>
  <si>
    <r>
      <t xml:space="preserve">Удельный вес численности прошедших обучение по программам аспирантуры в вузе и защитивших диссертацию на соискание ученой степени кандидата наук (или ее зарубежных аналогов) не позднее полутра лет с момента завершения обучения, в общей численности завершивших обучение в вузе по программам аспирантуры, %
</t>
    </r>
    <r>
      <rPr>
        <sz val="10"/>
        <color rgb="FFFF0000"/>
        <rFont val="Times New Roman"/>
        <family val="1"/>
        <charset val="204"/>
      </rPr>
      <t xml:space="preserve">
В июле 2020 года оцениваются выпускники 2018 года</t>
    </r>
  </si>
  <si>
    <r>
      <rPr>
        <sz val="10"/>
        <color theme="1"/>
        <rFont val="Times New Roman"/>
        <family val="1"/>
        <charset val="204"/>
      </rPr>
      <t xml:space="preserve">Число публикаций в изданиях, входящих в </t>
    </r>
    <r>
      <rPr>
        <b/>
        <sz val="10"/>
        <color theme="1"/>
        <rFont val="Times New Roman"/>
        <family val="1"/>
        <charset val="204"/>
      </rPr>
      <t>ядро РИНЦ,</t>
    </r>
    <r>
      <rPr>
        <sz val="10"/>
        <color theme="1"/>
        <rFont val="Times New Roman"/>
        <family val="1"/>
        <charset val="204"/>
      </rPr>
      <t xml:space="preserve"> в расчете на одного НПР, ед./ст.</t>
    </r>
  </si>
  <si>
    <t>Оценка в июне</t>
  </si>
  <si>
    <t>Оценка в декабре</t>
  </si>
  <si>
    <t>Объем научно-исследовательских и опытно-конструкторских работ, выполненных из внешних внебюджетных источников, в расчете на 1 ставку научно-педагогических работников, тыс. руб./ст.</t>
  </si>
  <si>
    <t>min 40 баллов, среднее значение в выборке по конкретному показателю</t>
  </si>
  <si>
    <r>
      <rPr>
        <sz val="10"/>
        <color theme="1"/>
        <rFont val="Times New Roman"/>
        <family val="1"/>
        <charset val="204"/>
      </rPr>
      <t>Число</t>
    </r>
    <r>
      <rPr>
        <b/>
        <sz val="10"/>
        <color theme="1"/>
        <rFont val="Times New Roman"/>
        <family val="1"/>
        <charset val="204"/>
      </rPr>
      <t xml:space="preserve"> цитирований </t>
    </r>
    <r>
      <rPr>
        <sz val="10"/>
        <color theme="1"/>
        <rFont val="Times New Roman"/>
        <family val="1"/>
        <charset val="204"/>
      </rPr>
      <t xml:space="preserve">публикаций за последние 3 года (для рейтинга 2020 года - 2017-2019гг) в научных журналах, индексируемых в Scopus, в расчете на  одного НПР, ед.
</t>
    </r>
    <r>
      <rPr>
        <b/>
        <sz val="16"/>
        <color rgb="FFFF0000"/>
        <rFont val="Times New Roman"/>
        <family val="1"/>
        <charset val="204"/>
      </rPr>
      <t>Надо изменить</t>
    </r>
  </si>
  <si>
    <r>
      <t xml:space="preserve">Удельный вес научно-педагогических работников, имеющих публикации в изданиях I и II квартилей, индексируемых в международной информационно-аналитической системе научного цитирования Scopus в общей численности научно-педагогических работников
</t>
    </r>
    <r>
      <rPr>
        <b/>
        <sz val="16"/>
        <color rgb="FFFF0000"/>
        <rFont val="Times New Roman"/>
        <family val="1"/>
        <charset val="204"/>
      </rPr>
      <t>Надо изменить</t>
    </r>
  </si>
  <si>
    <t xml:space="preserve">всего приведенный контингент </t>
  </si>
  <si>
    <t>контракт приведенный контингент</t>
  </si>
  <si>
    <t xml:space="preserve">Доля </t>
  </si>
  <si>
    <t>доля М+А+О</t>
  </si>
  <si>
    <t>М+А+О приведенный</t>
  </si>
  <si>
    <t>доля с другим дипломом</t>
  </si>
  <si>
    <t>всего сдудентов очников М+А+О</t>
  </si>
  <si>
    <t>студентов очников с дипломом других вузов (М+А+О)</t>
  </si>
  <si>
    <t>всего ППС</t>
  </si>
  <si>
    <t>используют БРС</t>
  </si>
  <si>
    <t>доля использующих БРС</t>
  </si>
  <si>
    <r>
      <t>Доля обучающихся по образовательным программам высшего образования, осваивающих отдельные курсы, дисциплины (модули), в том числе в формате онлайн-курсов,</t>
    </r>
    <r>
      <rPr>
        <b/>
        <sz val="10"/>
        <color theme="1"/>
        <rFont val="Times New Roman"/>
        <family val="1"/>
        <charset val="204"/>
      </rPr>
      <t xml:space="preserve"> в том числе</t>
    </r>
    <r>
      <rPr>
        <sz val="10"/>
        <color theme="1"/>
        <rFont val="Times New Roman"/>
        <family val="1"/>
        <charset val="204"/>
      </rPr>
      <t xml:space="preserve">  с использованием ресурсов иных организаций, осуществляющих образовательную деятельность, в том числе университетов, обеспечивающих соответствие качества подготовки обучающихся мировому уровню, %
</t>
    </r>
    <r>
      <rPr>
        <b/>
        <sz val="10"/>
        <color rgb="FFFF0000"/>
        <rFont val="Times New Roman"/>
        <family val="1"/>
        <charset val="204"/>
      </rPr>
      <t xml:space="preserve">
Надо использовать долю программ</t>
    </r>
  </si>
  <si>
    <t>Количество программ</t>
  </si>
  <si>
    <t>программы с онлайн</t>
  </si>
  <si>
    <t>доля программ с онлайн</t>
  </si>
  <si>
    <t>доля занятых</t>
  </si>
  <si>
    <t>занятые из выпуска</t>
  </si>
  <si>
    <t>всего выпуск Б+С+М</t>
  </si>
  <si>
    <r>
      <t>Задолженность по образовательным услугам студентов, не оплаченная по состоянию на 30 июня,</t>
    </r>
    <r>
      <rPr>
        <sz val="10"/>
        <color rgb="FFFF0000"/>
        <rFont val="Times New Roman"/>
        <family val="1"/>
        <charset val="204"/>
      </rPr>
      <t xml:space="preserve"> %</t>
    </r>
  </si>
  <si>
    <t>доля иностранных студентов</t>
  </si>
  <si>
    <t>приведенный контингент С+Б+М</t>
  </si>
  <si>
    <t>иностранных студентов,приведенный контингент С+Б+М</t>
  </si>
  <si>
    <t>НПР в ставках</t>
  </si>
  <si>
    <t>нпр со степенью в ставках</t>
  </si>
  <si>
    <t>доля остепененных нпр</t>
  </si>
  <si>
    <t>НПР до 35 в ставках</t>
  </si>
  <si>
    <t>доля НПР до 35 в ставках</t>
  </si>
  <si>
    <t>доход планируемый</t>
  </si>
  <si>
    <t>долг</t>
  </si>
  <si>
    <t>доля долга</t>
  </si>
  <si>
    <t>сумм</t>
  </si>
  <si>
    <t>срзнач</t>
  </si>
  <si>
    <t>сумм/1000</t>
  </si>
  <si>
    <t>мера</t>
  </si>
  <si>
    <t>scaling(ЦП,ln)</t>
  </si>
  <si>
    <t>scaling (ЦП %) 100 макс</t>
  </si>
  <si>
    <t>куб. корень с ЦП к 100</t>
  </si>
  <si>
    <t>срзн с ЦП 100++</t>
  </si>
  <si>
    <t>100 за макс без нормализ.</t>
  </si>
  <si>
    <t>scaling (ЦП, %) 100 макс</t>
  </si>
  <si>
    <t>совместные</t>
  </si>
  <si>
    <t>доля совместных программ</t>
  </si>
  <si>
    <t>ниже среднего до 40 баллов</t>
  </si>
  <si>
    <t>ЦП</t>
  </si>
  <si>
    <t>медиана</t>
  </si>
  <si>
    <t>100 за ЦП, макс 100, без нормализ.</t>
  </si>
  <si>
    <t>Медиана соотношения 0,100</t>
  </si>
  <si>
    <t>ниже среднего до 40 баллов (делим баллы на 2)</t>
  </si>
  <si>
    <t>ниже среднего до 40 баллов (делим на 2), 100 за 80 ++</t>
  </si>
  <si>
    <t>балл ЕГЭ</t>
  </si>
  <si>
    <t>100 за макс без нормализ., меньше медианы *0,75</t>
  </si>
  <si>
    <t>кв. корень с ЦП, 100 макс., умножить на 2</t>
  </si>
  <si>
    <t>100 за ЦП, макс 100, б.норм +кв. кор</t>
  </si>
  <si>
    <t>коэфф До 40</t>
  </si>
  <si>
    <t>коэфф после 40</t>
  </si>
  <si>
    <t>факт</t>
  </si>
  <si>
    <t>балл</t>
  </si>
  <si>
    <t>корень к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</si>
</sst>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26"/>
      <color theme="1"/>
      <name val="Calibri"/>
      <family val="2"/>
      <charset val="204"/>
      <scheme val="minor"/>
    </font>
    <font>
      <b/>
      <sz val="16"/>
      <color rgb="FFFF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sz val="28"/>
      <color theme="1"/>
      <name val="Times New Roman"/>
      <family val="1"/>
      <charset val="204"/>
    </font>
    <font>
      <sz val="2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24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sz val="1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Protection="0"/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4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49" fontId="0" fillId="6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  <xf numFmtId="2" fontId="1" fillId="0" borderId="1" xfId="0" applyNumberFormat="1" applyFont="1" applyBorder="1" applyAlignment="1">
      <alignment horizontal="center"/>
    </xf>
    <xf numFmtId="49" fontId="0" fillId="8" borderId="0" xfId="0" applyNumberFormat="1" applyFill="1" applyAlignment="1">
      <alignment wrapText="1"/>
    </xf>
    <xf numFmtId="2" fontId="7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wrapText="1"/>
    </xf>
    <xf numFmtId="49" fontId="0" fillId="7" borderId="0" xfId="0" applyNumberFormat="1" applyFill="1" applyAlignment="1">
      <alignment wrapText="1"/>
    </xf>
    <xf numFmtId="4" fontId="0" fillId="0" borderId="1" xfId="0" applyNumberFormat="1" applyBorder="1" applyAlignment="1">
      <alignment horizontal="center"/>
    </xf>
    <xf numFmtId="2" fontId="15" fillId="0" borderId="6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/>
    </xf>
    <xf numFmtId="2" fontId="15" fillId="0" borderId="8" xfId="0" applyNumberFormat="1" applyFont="1" applyFill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/>
    </xf>
    <xf numFmtId="2" fontId="15" fillId="0" borderId="10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/>
    </xf>
    <xf numFmtId="2" fontId="15" fillId="0" borderId="7" xfId="0" applyNumberFormat="1" applyFont="1" applyFill="1" applyBorder="1" applyAlignment="1">
      <alignment horizontal="center" vertical="center" wrapText="1"/>
    </xf>
    <xf numFmtId="2" fontId="15" fillId="0" borderId="9" xfId="0" applyNumberFormat="1" applyFont="1" applyFill="1" applyBorder="1" applyAlignment="1">
      <alignment horizontal="center" vertical="center" wrapText="1"/>
    </xf>
    <xf numFmtId="2" fontId="15" fillId="0" borderId="11" xfId="0" applyNumberFormat="1" applyFont="1" applyFill="1" applyBorder="1" applyAlignment="1">
      <alignment horizontal="center" vertical="center" wrapText="1"/>
    </xf>
    <xf numFmtId="2" fontId="15" fillId="0" borderId="12" xfId="0" applyNumberFormat="1" applyFont="1" applyFill="1" applyBorder="1" applyAlignment="1">
      <alignment horizontal="center" vertical="center" wrapText="1"/>
    </xf>
    <xf numFmtId="2" fontId="5" fillId="0" borderId="12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/>
    <xf numFmtId="49" fontId="17" fillId="0" borderId="0" xfId="0" applyNumberFormat="1" applyFont="1" applyAlignment="1">
      <alignment horizontal="center"/>
    </xf>
    <xf numFmtId="164" fontId="17" fillId="7" borderId="0" xfId="0" applyNumberFormat="1" applyFont="1" applyFill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/>
    <xf numFmtId="1" fontId="0" fillId="0" borderId="0" xfId="0" applyNumberForma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right" vertical="center"/>
    </xf>
    <xf numFmtId="2" fontId="0" fillId="0" borderId="0" xfId="0" applyNumberFormat="1" applyFill="1" applyAlignment="1">
      <alignment horizontal="right" vertical="center"/>
    </xf>
    <xf numFmtId="49" fontId="0" fillId="0" borderId="0" xfId="0" applyNumberFormat="1" applyFill="1" applyAlignment="1">
      <alignment horizontal="right"/>
    </xf>
    <xf numFmtId="49" fontId="0" fillId="10" borderId="0" xfId="0" applyNumberFormat="1" applyFill="1" applyAlignment="1">
      <alignment horizontal="center" vertical="center" wrapText="1"/>
    </xf>
    <xf numFmtId="10" fontId="0" fillId="0" borderId="1" xfId="0" applyNumberFormat="1" applyFill="1" applyBorder="1" applyAlignment="1">
      <alignment horizontal="center"/>
    </xf>
    <xf numFmtId="2" fontId="5" fillId="8" borderId="1" xfId="0" applyNumberFormat="1" applyFont="1" applyFill="1" applyBorder="1" applyAlignment="1">
      <alignment horizontal="center" vertical="center"/>
    </xf>
    <xf numFmtId="49" fontId="0" fillId="0" borderId="13" xfId="0" applyNumberFormat="1" applyFill="1" applyBorder="1"/>
    <xf numFmtId="49" fontId="17" fillId="0" borderId="13" xfId="0" applyNumberFormat="1" applyFont="1" applyBorder="1" applyAlignment="1">
      <alignment horizontal="center"/>
    </xf>
    <xf numFmtId="49" fontId="17" fillId="0" borderId="13" xfId="0" applyNumberFormat="1" applyFont="1" applyFill="1" applyBorder="1" applyAlignment="1">
      <alignment horizontal="center"/>
    </xf>
    <xf numFmtId="49" fontId="17" fillId="11" borderId="13" xfId="0" applyNumberFormat="1" applyFont="1" applyFill="1" applyBorder="1" applyAlignment="1">
      <alignment horizontal="center"/>
    </xf>
    <xf numFmtId="49" fontId="17" fillId="9" borderId="13" xfId="0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3" xfId="0" applyFont="1" applyFill="1" applyBorder="1"/>
    <xf numFmtId="0" fontId="0" fillId="0" borderId="13" xfId="0" applyBorder="1"/>
    <xf numFmtId="0" fontId="18" fillId="6" borderId="1" xfId="0" applyFont="1" applyFill="1" applyBorder="1" applyAlignment="1">
      <alignment horizontal="center" vertical="center" wrapText="1"/>
    </xf>
    <xf numFmtId="49" fontId="0" fillId="12" borderId="0" xfId="0" applyNumberFormat="1" applyFill="1" applyAlignment="1">
      <alignment wrapText="1"/>
    </xf>
    <xf numFmtId="49" fontId="0" fillId="12" borderId="0" xfId="0" applyNumberFormat="1" applyFill="1" applyAlignment="1">
      <alignment horizontal="center"/>
    </xf>
    <xf numFmtId="0" fontId="5" fillId="0" borderId="14" xfId="0" applyFont="1" applyBorder="1" applyAlignment="1">
      <alignment horizontal="center" vertical="center"/>
    </xf>
    <xf numFmtId="2" fontId="5" fillId="0" borderId="15" xfId="0" applyNumberFormat="1" applyFont="1" applyFill="1" applyBorder="1" applyAlignment="1">
      <alignment horizontal="center" vertical="center"/>
    </xf>
    <xf numFmtId="2" fontId="19" fillId="0" borderId="0" xfId="0" applyNumberFormat="1" applyFont="1"/>
    <xf numFmtId="2" fontId="3" fillId="0" borderId="0" xfId="2" applyNumberFormat="1" applyFill="1" applyBorder="1"/>
    <xf numFmtId="10" fontId="3" fillId="0" borderId="0" xfId="2" applyNumberFormat="1" applyFill="1" applyBorder="1"/>
    <xf numFmtId="0" fontId="3" fillId="0" borderId="0" xfId="2" applyFill="1" applyBorder="1"/>
    <xf numFmtId="49" fontId="3" fillId="0" borderId="0" xfId="2" applyNumberFormat="1" applyFill="1" applyBorder="1"/>
    <xf numFmtId="1" fontId="3" fillId="0" borderId="0" xfId="2" applyNumberFormat="1" applyFill="1" applyBorder="1"/>
    <xf numFmtId="4" fontId="3" fillId="0" borderId="0" xfId="2" applyNumberFormat="1" applyFill="1" applyBorder="1"/>
    <xf numFmtId="2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0" fontId="0" fillId="13" borderId="14" xfId="0" applyFill="1" applyBorder="1"/>
    <xf numFmtId="0" fontId="0" fillId="13" borderId="3" xfId="0" applyFill="1" applyBorder="1"/>
    <xf numFmtId="0" fontId="1" fillId="13" borderId="2" xfId="0" applyFont="1" applyFill="1" applyBorder="1" applyAlignment="1">
      <alignment horizontal="center" vertical="center"/>
    </xf>
    <xf numFmtId="0" fontId="0" fillId="13" borderId="0" xfId="0" applyFill="1"/>
    <xf numFmtId="0" fontId="1" fillId="13" borderId="0" xfId="0" applyFont="1" applyFill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/>
    </xf>
    <xf numFmtId="0" fontId="3" fillId="0" borderId="0" xfId="2" applyNumberFormat="1" applyFill="1" applyBorder="1"/>
    <xf numFmtId="2" fontId="21" fillId="0" borderId="0" xfId="2" applyNumberFormat="1" applyFont="1" applyFill="1" applyBorder="1"/>
    <xf numFmtId="2" fontId="22" fillId="0" borderId="0" xfId="2" applyNumberFormat="1" applyFont="1" applyFill="1" applyBorder="1"/>
    <xf numFmtId="2" fontId="3" fillId="0" borderId="0" xfId="2" applyNumberFormat="1" applyFill="1" applyBorder="1" applyAlignment="1">
      <alignment horizontal="right"/>
    </xf>
    <xf numFmtId="10" fontId="3" fillId="0" borderId="0" xfId="2" applyNumberFormat="1" applyFill="1" applyBorder="1" applyAlignment="1">
      <alignment horizontal="right"/>
    </xf>
    <xf numFmtId="10" fontId="23" fillId="14" borderId="0" xfId="2" applyNumberFormat="1" applyFont="1" applyFill="1" applyBorder="1" applyAlignment="1">
      <alignment horizontal="right"/>
    </xf>
    <xf numFmtId="2" fontId="23" fillId="14" borderId="0" xfId="2" applyNumberFormat="1" applyFont="1" applyFill="1" applyBorder="1" applyAlignment="1">
      <alignment horizontal="right"/>
    </xf>
    <xf numFmtId="0" fontId="0" fillId="0" borderId="0" xfId="0" applyBorder="1"/>
    <xf numFmtId="2" fontId="5" fillId="0" borderId="0" xfId="0" applyNumberFormat="1" applyFont="1" applyBorder="1" applyAlignment="1">
      <alignment horizontal="center" vertical="center" wrapText="1"/>
    </xf>
    <xf numFmtId="2" fontId="3" fillId="0" borderId="16" xfId="2" applyNumberFormat="1" applyFill="1" applyBorder="1" applyAlignment="1">
      <alignment horizontal="center"/>
    </xf>
    <xf numFmtId="2" fontId="3" fillId="0" borderId="15" xfId="2" applyNumberFormat="1" applyFill="1" applyBorder="1" applyAlignment="1">
      <alignment horizontal="center"/>
    </xf>
    <xf numFmtId="2" fontId="3" fillId="0" borderId="17" xfId="2" applyNumberFormat="1" applyFill="1" applyBorder="1" applyAlignment="1">
      <alignment horizontal="center"/>
    </xf>
    <xf numFmtId="0" fontId="3" fillId="0" borderId="18" xfId="2" applyFill="1" applyBorder="1" applyAlignment="1">
      <alignment horizontal="right"/>
    </xf>
    <xf numFmtId="10" fontId="3" fillId="0" borderId="19" xfId="2" applyNumberFormat="1" applyFill="1" applyBorder="1" applyAlignment="1">
      <alignment horizontal="right"/>
    </xf>
    <xf numFmtId="0" fontId="3" fillId="0" borderId="20" xfId="2" applyFill="1" applyBorder="1" applyAlignment="1">
      <alignment horizontal="right"/>
    </xf>
    <xf numFmtId="2" fontId="3" fillId="0" borderId="13" xfId="2" applyNumberFormat="1" applyFill="1" applyBorder="1"/>
    <xf numFmtId="10" fontId="3" fillId="0" borderId="21" xfId="2" applyNumberFormat="1" applyFill="1" applyBorder="1" applyAlignment="1">
      <alignment horizontal="right"/>
    </xf>
    <xf numFmtId="2" fontId="0" fillId="0" borderId="0" xfId="0" applyNumberFormat="1"/>
    <xf numFmtId="0" fontId="13" fillId="2" borderId="1" xfId="0" applyFon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17" fillId="9" borderId="0" xfId="0" applyNumberFormat="1" applyFont="1" applyFill="1" applyAlignment="1">
      <alignment vertical="center" wrapText="1"/>
    </xf>
    <xf numFmtId="49" fontId="0" fillId="2" borderId="0" xfId="0" applyNumberFormat="1" applyFill="1" applyAlignment="1">
      <alignment horizontal="center"/>
    </xf>
    <xf numFmtId="49" fontId="0" fillId="8" borderId="0" xfId="0" applyNumberFormat="1" applyFill="1" applyAlignment="1">
      <alignment horizontal="center"/>
    </xf>
    <xf numFmtId="49" fontId="17" fillId="0" borderId="0" xfId="0" applyNumberFormat="1" applyFont="1" applyAlignment="1">
      <alignment horizontal="center" vertical="center" wrapText="1"/>
    </xf>
    <xf numFmtId="49" fontId="17" fillId="11" borderId="0" xfId="0" applyNumberFormat="1" applyFont="1" applyFill="1" applyAlignment="1">
      <alignment horizontal="center" vertical="center" wrapText="1"/>
    </xf>
    <xf numFmtId="49" fontId="17" fillId="0" borderId="0" xfId="0" applyNumberFormat="1" applyFont="1" applyFill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4" xfId="1"/>
  </cellStyles>
  <dxfs count="2">
    <dxf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89862467191608"/>
          <c:y val="1.4414414414414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552006265646634E-2"/>
          <c:y val="9.260099692149433E-2"/>
          <c:w val="0.92681578519499219"/>
          <c:h val="0.8256532791891579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Лист1!$A$2:$A$16</c:f>
              <c:numCache>
                <c:formatCode>0.00</c:formatCode>
                <c:ptCount val="15"/>
                <c:pt idx="0" formatCode="General">
                  <c:v>0.01</c:v>
                </c:pt>
                <c:pt idx="1">
                  <c:v>4.3010752688172053E-2</c:v>
                </c:pt>
                <c:pt idx="2">
                  <c:v>0.10479285134037369</c:v>
                </c:pt>
                <c:pt idx="3">
                  <c:v>0.10512219618346168</c:v>
                </c:pt>
                <c:pt idx="4">
                  <c:v>0.15550239234449761</c:v>
                </c:pt>
                <c:pt idx="5">
                  <c:v>0.15656921451215219</c:v>
                </c:pt>
                <c:pt idx="6">
                  <c:v>0.19731881022203607</c:v>
                </c:pt>
                <c:pt idx="7">
                  <c:v>0.31661891117478508</c:v>
                </c:pt>
                <c:pt idx="8">
                  <c:v>0.4377431906614786</c:v>
                </c:pt>
                <c:pt idx="9">
                  <c:v>0.49868073878627978</c:v>
                </c:pt>
                <c:pt idx="10">
                  <c:v>0.55543710021321957</c:v>
                </c:pt>
                <c:pt idx="11" formatCode="General">
                  <c:v>0.8</c:v>
                </c:pt>
                <c:pt idx="12" formatCode="General">
                  <c:v>0.87</c:v>
                </c:pt>
                <c:pt idx="13" formatCode="General">
                  <c:v>0.99</c:v>
                </c:pt>
                <c:pt idx="14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C-48A4-8D76-01ED6908B7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Лист1!$B$2:$B$16</c:f>
              <c:numCache>
                <c:formatCode>0.00</c:formatCode>
                <c:ptCount val="15"/>
                <c:pt idx="0">
                  <c:v>0.1</c:v>
                </c:pt>
                <c:pt idx="1">
                  <c:v>0.20739033894608508</c:v>
                </c:pt>
                <c:pt idx="2">
                  <c:v>0.32371723979481493</c:v>
                </c:pt>
                <c:pt idx="3">
                  <c:v>0.32422553289872419</c:v>
                </c:pt>
                <c:pt idx="4">
                  <c:v>0.39433791644286198</c:v>
                </c:pt>
                <c:pt idx="5">
                  <c:v>0.39568827947280949</c:v>
                </c:pt>
                <c:pt idx="6">
                  <c:v>0.44420581966250294</c:v>
                </c:pt>
                <c:pt idx="7">
                  <c:v>0.562689000403229</c:v>
                </c:pt>
                <c:pt idx="8">
                  <c:v>0.66162163708684629</c:v>
                </c:pt>
                <c:pt idx="9">
                  <c:v>0.70617330648097976</c:v>
                </c:pt>
                <c:pt idx="10">
                  <c:v>0.74527652600442174</c:v>
                </c:pt>
                <c:pt idx="11">
                  <c:v>0.89442719099991586</c:v>
                </c:pt>
                <c:pt idx="12">
                  <c:v>0.93273790530888145</c:v>
                </c:pt>
                <c:pt idx="13">
                  <c:v>0.99498743710661997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C-48A4-8D76-01ED6908B7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Лист1!$E$2:$E$16</c:f>
              <c:numCache>
                <c:formatCode>General</c:formatCode>
                <c:ptCount val="15"/>
                <c:pt idx="0">
                  <c:v>1E-4</c:v>
                </c:pt>
                <c:pt idx="1">
                  <c:v>1.8499248468030996E-3</c:v>
                </c:pt>
                <c:pt idx="2">
                  <c:v>1.0981541692045661E-2</c:v>
                </c:pt>
                <c:pt idx="3">
                  <c:v>1.1050676130434206E-2</c:v>
                </c:pt>
                <c:pt idx="4">
                  <c:v>2.4180994024862072E-2</c:v>
                </c:pt>
                <c:pt idx="5">
                  <c:v>2.4513918932952329E-2</c:v>
                </c:pt>
                <c:pt idx="6">
                  <c:v>3.8934712867439887E-2</c:v>
                </c:pt>
                <c:pt idx="7">
                  <c:v>0.10024753491350644</c:v>
                </c:pt>
                <c:pt idx="8">
                  <c:v>0.19161910097049159</c:v>
                </c:pt>
                <c:pt idx="9">
                  <c:v>0.2486824792364298</c:v>
                </c:pt>
                <c:pt idx="10">
                  <c:v>0.30851037229327011</c:v>
                </c:pt>
                <c:pt idx="11">
                  <c:v>0.64000000000000012</c:v>
                </c:pt>
                <c:pt idx="12">
                  <c:v>0.75690000000000002</c:v>
                </c:pt>
                <c:pt idx="13">
                  <c:v>0.98009999999999997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C-48A4-8D76-01ED6908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74448"/>
        <c:axId val="520672368"/>
      </c:lineChart>
      <c:catAx>
        <c:axId val="52067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672368"/>
        <c:crosses val="autoZero"/>
        <c:auto val="1"/>
        <c:lblAlgn val="ctr"/>
        <c:lblOffset val="100"/>
        <c:noMultiLvlLbl val="0"/>
      </c:catAx>
      <c:valAx>
        <c:axId val="5206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6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контракт прив.</a:t>
            </a:r>
          </a:p>
        </c:rich>
      </c:tx>
      <c:layout>
        <c:manualLayout>
          <c:xMode val="edge"/>
          <c:yMode val="edge"/>
          <c:x val="0.217100853665680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Лист1!$A$55:$A$64</c:f>
              <c:numCache>
                <c:formatCode>General</c:formatCode>
                <c:ptCount val="10"/>
                <c:pt idx="0">
                  <c:v>0.06</c:v>
                </c:pt>
                <c:pt idx="1">
                  <c:v>0.15</c:v>
                </c:pt>
                <c:pt idx="2">
                  <c:v>0.15</c:v>
                </c:pt>
                <c:pt idx="3">
                  <c:v>0.22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0.45</c:v>
                </c:pt>
                <c:pt idx="7">
                  <c:v>0.63</c:v>
                </c:pt>
                <c:pt idx="8">
                  <c:v>0.72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5-4BE5-8D85-661A9FB915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Лист1!$B$55:$B$64</c:f>
              <c:numCache>
                <c:formatCode>General</c:formatCode>
                <c:ptCount val="10"/>
                <c:pt idx="0">
                  <c:v>0.24</c:v>
                </c:pt>
                <c:pt idx="2">
                  <c:v>0.39</c:v>
                </c:pt>
                <c:pt idx="3">
                  <c:v>0.47</c:v>
                </c:pt>
                <c:pt idx="4">
                  <c:v>0.47</c:v>
                </c:pt>
                <c:pt idx="5">
                  <c:v>0.53</c:v>
                </c:pt>
                <c:pt idx="6">
                  <c:v>0.67</c:v>
                </c:pt>
                <c:pt idx="7">
                  <c:v>0.79</c:v>
                </c:pt>
                <c:pt idx="8">
                  <c:v>0.85</c:v>
                </c:pt>
                <c:pt idx="9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5-4BE5-8D85-661A9FB915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Лист1!$D$55:$D$64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  <c:pt idx="3">
                  <c:v>0.38</c:v>
                </c:pt>
                <c:pt idx="4">
                  <c:v>0.38</c:v>
                </c:pt>
                <c:pt idx="5">
                  <c:v>0.53</c:v>
                </c:pt>
                <c:pt idx="6">
                  <c:v>0.67</c:v>
                </c:pt>
                <c:pt idx="7">
                  <c:v>0.79</c:v>
                </c:pt>
                <c:pt idx="8">
                  <c:v>0.85</c:v>
                </c:pt>
                <c:pt idx="9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5-4BE5-8D85-661A9FB91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18176"/>
        <c:axId val="2138021920"/>
      </c:lineChart>
      <c:catAx>
        <c:axId val="213801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021920"/>
        <c:crosses val="autoZero"/>
        <c:auto val="1"/>
        <c:lblAlgn val="ctr"/>
        <c:lblOffset val="100"/>
        <c:noMultiLvlLbl val="0"/>
      </c:catAx>
      <c:valAx>
        <c:axId val="21380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0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Лист1!$D$68:$D$77</c:f>
              <c:numCache>
                <c:formatCode>General</c:formatCode>
                <c:ptCount val="10"/>
                <c:pt idx="0">
                  <c:v>0</c:v>
                </c:pt>
                <c:pt idx="1">
                  <c:v>34.136960418607032</c:v>
                </c:pt>
                <c:pt idx="2">
                  <c:v>41.23652888076407</c:v>
                </c:pt>
                <c:pt idx="3">
                  <c:v>43.134422807028869</c:v>
                </c:pt>
                <c:pt idx="4">
                  <c:v>44.379033446137015</c:v>
                </c:pt>
                <c:pt idx="5">
                  <c:v>64.449120642891984</c:v>
                </c:pt>
                <c:pt idx="6">
                  <c:v>73.266557560474723</c:v>
                </c:pt>
                <c:pt idx="7">
                  <c:v>77.293427769162406</c:v>
                </c:pt>
                <c:pt idx="8">
                  <c:v>98.840860369651296</c:v>
                </c:pt>
                <c:pt idx="9">
                  <c:v>98.938533835460873</c:v>
                </c:pt>
              </c:numCache>
            </c:numRef>
          </c:cat>
          <c:val>
            <c:numRef>
              <c:f>Лист1!$B$68:$B$77</c:f>
              <c:numCache>
                <c:formatCode>0.00</c:formatCode>
                <c:ptCount val="10"/>
                <c:pt idx="0">
                  <c:v>83.5151829527465</c:v>
                </c:pt>
                <c:pt idx="1">
                  <c:v>86.928878994607203</c:v>
                </c:pt>
                <c:pt idx="2">
                  <c:v>87.638835840822907</c:v>
                </c:pt>
                <c:pt idx="3">
                  <c:v>87.828625233449387</c:v>
                </c:pt>
                <c:pt idx="4">
                  <c:v>87.953086297360201</c:v>
                </c:pt>
                <c:pt idx="5">
                  <c:v>89.960095017035698</c:v>
                </c:pt>
                <c:pt idx="6">
                  <c:v>90.841838708793972</c:v>
                </c:pt>
                <c:pt idx="7">
                  <c:v>91.24452572966274</c:v>
                </c:pt>
                <c:pt idx="8">
                  <c:v>93.399268989711629</c:v>
                </c:pt>
                <c:pt idx="9">
                  <c:v>93.409036336292587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F99-B509-FA826F50E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86479"/>
        <c:axId val="484491471"/>
      </c:lineChart>
      <c:catAx>
        <c:axId val="484486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4491471"/>
        <c:crosses val="autoZero"/>
        <c:auto val="1"/>
        <c:lblAlgn val="ctr"/>
        <c:lblOffset val="100"/>
        <c:noMultiLvlLbl val="0"/>
      </c:catAx>
      <c:valAx>
        <c:axId val="4844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48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Лист1!$E$68:$E$77</c:f>
              <c:strCache>
                <c:ptCount val="10"/>
                <c:pt idx="0">
                  <c:v>Институт физико-математических наук и информационных технологий</c:v>
                </c:pt>
                <c:pt idx="1">
                  <c:v>Институт гуманитарных наук</c:v>
                </c:pt>
                <c:pt idx="2">
                  <c:v>Медицинский институт</c:v>
                </c:pt>
                <c:pt idx="3">
                  <c:v>Институт природопользования территориального развития и градостроительства</c:v>
                </c:pt>
                <c:pt idx="4">
                  <c:v>Институт рекреации, туризма и физической культуры</c:v>
                </c:pt>
                <c:pt idx="5">
                  <c:v>Инженерно-технический институт</c:v>
                </c:pt>
                <c:pt idx="6">
                  <c:v>Институт образования</c:v>
                </c:pt>
                <c:pt idx="7">
                  <c:v>Институт живых систем</c:v>
                </c:pt>
                <c:pt idx="8">
                  <c:v>Юридический институт</c:v>
                </c:pt>
                <c:pt idx="9">
                  <c:v>Институт экономики и менеджмента</c:v>
                </c:pt>
              </c:strCache>
            </c:strRef>
          </c:cat>
          <c:val>
            <c:numRef>
              <c:f>Лист1!$F$68:$F$77</c:f>
              <c:numCache>
                <c:formatCode>0.00</c:formatCode>
                <c:ptCount val="10"/>
                <c:pt idx="0">
                  <c:v>0</c:v>
                </c:pt>
                <c:pt idx="1">
                  <c:v>34.136960418607032</c:v>
                </c:pt>
                <c:pt idx="2">
                  <c:v>41.23652888076407</c:v>
                </c:pt>
                <c:pt idx="3">
                  <c:v>43.134422807028869</c:v>
                </c:pt>
                <c:pt idx="4">
                  <c:v>44.379033446137015</c:v>
                </c:pt>
                <c:pt idx="5">
                  <c:v>64.449120642891984</c:v>
                </c:pt>
                <c:pt idx="6">
                  <c:v>73.266557560474723</c:v>
                </c:pt>
                <c:pt idx="7">
                  <c:v>77.293427769162406</c:v>
                </c:pt>
                <c:pt idx="8">
                  <c:v>98.840860369651296</c:v>
                </c:pt>
                <c:pt idx="9">
                  <c:v>98.938533835460873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5-4DCC-919D-D708CFC6F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57999"/>
        <c:axId val="415356335"/>
      </c:lineChart>
      <c:catAx>
        <c:axId val="415357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5356335"/>
        <c:crosses val="autoZero"/>
        <c:auto val="1"/>
        <c:lblAlgn val="ctr"/>
        <c:lblOffset val="100"/>
        <c:noMultiLvlLbl val="0"/>
      </c:catAx>
      <c:valAx>
        <c:axId val="4153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35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95251</xdr:colOff>
      <xdr:row>0</xdr:row>
      <xdr:rowOff>190499</xdr:rowOff>
    </xdr:from>
    <xdr:to>
      <xdr:col>18</xdr:col>
      <xdr:colOff>462644</xdr:colOff>
      <xdr:row>22</xdr:row>
      <xdr:rowOff>68035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50</xdr:row>
      <xdr:rowOff>142875</xdr:rowOff>
    </xdr:from>
    <xdr:to>
      <xdr:col>11</xdr:col>
      <xdr:colOff>400049</xdr:colOff>
      <xdr:row>65</xdr:row>
      <xdr:rowOff>28575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257735</xdr:colOff>
      <xdr:row>73</xdr:row>
      <xdr:rowOff>67235</xdr:rowOff>
    </xdr:from>
    <xdr:to>
      <xdr:col>13</xdr:col>
      <xdr:colOff>56029</xdr:colOff>
      <xdr:row>85</xdr:row>
      <xdr:rowOff>39466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1018761</xdr:colOff>
      <xdr:row>56</xdr:row>
      <xdr:rowOff>112059</xdr:rowOff>
    </xdr:from>
    <xdr:to>
      <xdr:col>4</xdr:col>
      <xdr:colOff>3854825</xdr:colOff>
      <xdr:row>67</xdr:row>
      <xdr:rowOff>223628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75"/>
  <sheetViews>
    <sheetView topLeftCell="A46" zoomScale="55" zoomScaleNormal="55" workbookViewId="0">
      <pane xSplit="1" topLeftCell="B1" activePane="topRight" state="frozen"/>
      <selection activeCell="A10" sqref="A10"/>
      <selection pane="topRight" activeCell="AL48" sqref="AL48:AL50"/>
    </sheetView>
  </sheetViews>
  <sheetFormatPr defaultColWidth="10.7109375" defaultRowHeight="15" x14ac:dyDescent="0.25"/>
  <cols>
    <col min="1" max="1" width="43.28515625" customWidth="1"/>
    <col min="2" max="2" width="13.140625" customWidth="1"/>
    <col min="3" max="5" width="13.7109375" customWidth="1"/>
    <col min="6" max="6" width="12.28515625" customWidth="1"/>
    <col min="7" max="7" width="11.140625" customWidth="1"/>
    <col min="8" max="8" width="13.7109375" customWidth="1"/>
    <col min="9" max="9" width="12.7109375" customWidth="1"/>
    <col min="10" max="10" width="13.7109375" customWidth="1"/>
    <col min="11" max="11" width="11.85546875" customWidth="1"/>
    <col min="12" max="12" width="9.85546875" customWidth="1"/>
    <col min="13" max="13" width="15" customWidth="1"/>
    <col min="14" max="14" width="9.85546875" customWidth="1"/>
    <col min="15" max="15" width="9.28515625" customWidth="1"/>
    <col min="16" max="16" width="9.5703125" customWidth="1"/>
    <col min="17" max="17" width="14.7109375" customWidth="1"/>
    <col min="18" max="18" width="13.7109375" customWidth="1"/>
    <col min="19" max="19" width="10.5703125" customWidth="1"/>
    <col min="20" max="20" width="10.85546875" customWidth="1"/>
    <col min="21" max="21" width="11.5703125" customWidth="1"/>
    <col min="22" max="22" width="13.140625" customWidth="1"/>
    <col min="23" max="24" width="9" customWidth="1"/>
    <col min="25" max="25" width="13.7109375" customWidth="1"/>
    <col min="26" max="26" width="10.28515625" customWidth="1"/>
    <col min="27" max="27" width="8.140625" customWidth="1"/>
    <col min="28" max="28" width="10.140625" customWidth="1"/>
    <col min="29" max="29" width="7.140625" customWidth="1"/>
    <col min="30" max="30" width="8.5703125" customWidth="1"/>
    <col min="31" max="31" width="9" customWidth="1"/>
    <col min="32" max="32" width="9.85546875" customWidth="1"/>
    <col min="33" max="33" width="10.85546875" customWidth="1"/>
    <col min="34" max="34" width="9.5703125" customWidth="1"/>
    <col min="35" max="35" width="9.85546875" customWidth="1"/>
    <col min="36" max="36" width="10.85546875" customWidth="1"/>
    <col min="37" max="37" width="13.7109375" customWidth="1"/>
    <col min="38" max="38" width="20.42578125" customWidth="1"/>
  </cols>
  <sheetData>
    <row r="1" spans="1:29" ht="33.75" x14ac:dyDescent="0.5">
      <c r="A1" s="116"/>
      <c r="B1" s="137" t="s">
        <v>50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Q1" s="113"/>
      <c r="R1" s="137" t="s">
        <v>49</v>
      </c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</row>
    <row r="2" spans="1:29" ht="15.75" x14ac:dyDescent="0.25">
      <c r="A2" s="116"/>
      <c r="B2" s="13" t="s">
        <v>11</v>
      </c>
      <c r="C2" s="13" t="s">
        <v>12</v>
      </c>
      <c r="D2" s="13" t="s">
        <v>13</v>
      </c>
      <c r="E2" s="13" t="s">
        <v>28</v>
      </c>
      <c r="F2" s="13" t="s">
        <v>14</v>
      </c>
      <c r="G2" s="13" t="s">
        <v>16</v>
      </c>
      <c r="H2" s="13" t="s">
        <v>40</v>
      </c>
      <c r="I2" s="13" t="s">
        <v>18</v>
      </c>
      <c r="J2" s="13" t="s">
        <v>19</v>
      </c>
      <c r="K2" s="13" t="s">
        <v>20</v>
      </c>
      <c r="L2" s="13" t="s">
        <v>21</v>
      </c>
      <c r="M2" s="13" t="s">
        <v>15</v>
      </c>
      <c r="Q2" s="114"/>
      <c r="R2" s="2" t="s">
        <v>14</v>
      </c>
      <c r="S2" s="10" t="s">
        <v>29</v>
      </c>
      <c r="T2" s="10" t="s">
        <v>30</v>
      </c>
      <c r="U2" s="12" t="s">
        <v>27</v>
      </c>
      <c r="V2" s="12" t="s">
        <v>31</v>
      </c>
      <c r="W2" s="10" t="s">
        <v>23</v>
      </c>
      <c r="X2" s="10" t="s">
        <v>24</v>
      </c>
      <c r="Y2" s="10" t="s">
        <v>17</v>
      </c>
      <c r="Z2" s="2" t="s">
        <v>25</v>
      </c>
      <c r="AA2" s="2" t="s">
        <v>20</v>
      </c>
      <c r="AB2" s="2" t="s">
        <v>21</v>
      </c>
      <c r="AC2" s="2" t="s">
        <v>26</v>
      </c>
    </row>
    <row r="3" spans="1:29" ht="31.5" customHeight="1" x14ac:dyDescent="0.25">
      <c r="A3" s="117" t="s">
        <v>10</v>
      </c>
      <c r="B3" s="36" t="s">
        <v>32</v>
      </c>
      <c r="C3" s="37" t="s">
        <v>43</v>
      </c>
      <c r="D3" s="36" t="s">
        <v>44</v>
      </c>
      <c r="E3" s="36" t="s">
        <v>45</v>
      </c>
      <c r="F3" s="36" t="s">
        <v>33</v>
      </c>
      <c r="G3" s="36" t="s">
        <v>66</v>
      </c>
      <c r="H3" s="36" t="s">
        <v>46</v>
      </c>
      <c r="I3" s="37" t="s">
        <v>73</v>
      </c>
      <c r="J3" s="37" t="s">
        <v>39</v>
      </c>
      <c r="K3" s="37" t="s">
        <v>41</v>
      </c>
      <c r="L3" s="37" t="s">
        <v>42</v>
      </c>
      <c r="M3" s="36" t="s">
        <v>34</v>
      </c>
      <c r="Q3" s="115" t="s">
        <v>10</v>
      </c>
      <c r="R3" s="14" t="s">
        <v>33</v>
      </c>
      <c r="S3" s="17" t="s">
        <v>48</v>
      </c>
      <c r="T3" s="18" t="s">
        <v>35</v>
      </c>
      <c r="U3" s="19" t="s">
        <v>54</v>
      </c>
      <c r="V3" s="17" t="s">
        <v>53</v>
      </c>
      <c r="W3" s="18" t="s">
        <v>37</v>
      </c>
      <c r="X3" s="18" t="s">
        <v>36</v>
      </c>
      <c r="Y3" s="18" t="s">
        <v>38</v>
      </c>
      <c r="Z3" s="16" t="s">
        <v>51</v>
      </c>
      <c r="AA3" s="15" t="s">
        <v>41</v>
      </c>
      <c r="AB3" s="15" t="s">
        <v>42</v>
      </c>
      <c r="AC3" s="15" t="s">
        <v>47</v>
      </c>
    </row>
    <row r="4" spans="1:29" ht="33" hidden="1" customHeight="1" x14ac:dyDescent="0.25">
      <c r="A4" s="9" t="s">
        <v>0</v>
      </c>
      <c r="B4" s="35">
        <v>10.512219618346167</v>
      </c>
      <c r="C4" s="5">
        <v>32.808838299296958</v>
      </c>
      <c r="D4" s="3">
        <v>68.73</v>
      </c>
      <c r="E4" s="3">
        <v>39</v>
      </c>
      <c r="F4" s="3">
        <v>94</v>
      </c>
      <c r="G4" s="42">
        <v>0</v>
      </c>
      <c r="H4" s="26">
        <v>70</v>
      </c>
      <c r="I4" s="8">
        <v>7.91</v>
      </c>
      <c r="J4" s="26">
        <v>12</v>
      </c>
      <c r="K4" s="26">
        <v>75.12</v>
      </c>
      <c r="L4" s="27">
        <v>21</v>
      </c>
      <c r="M4" s="26">
        <v>12.5</v>
      </c>
      <c r="Q4" s="9" t="s">
        <v>0</v>
      </c>
      <c r="R4" s="11">
        <v>94</v>
      </c>
      <c r="S4" s="6">
        <v>0.31319910514541383</v>
      </c>
      <c r="T4" s="6">
        <v>0.26845637583892618</v>
      </c>
      <c r="U4" s="111">
        <f>S4/T4</f>
        <v>1.1666666666666665</v>
      </c>
      <c r="V4" s="111">
        <v>1.3959731543624161</v>
      </c>
      <c r="W4" s="42">
        <v>8.9485458612975383E-2</v>
      </c>
      <c r="X4" s="42">
        <v>2.7010000000000001</v>
      </c>
      <c r="Y4" s="4">
        <v>270.10000000000002</v>
      </c>
      <c r="Z4" s="42">
        <v>54.02</v>
      </c>
      <c r="AA4" s="6">
        <v>75.12</v>
      </c>
      <c r="AB4" s="6">
        <v>21</v>
      </c>
      <c r="AC4" s="112">
        <v>0</v>
      </c>
    </row>
    <row r="5" spans="1:29" ht="32.25" hidden="1" customHeight="1" x14ac:dyDescent="0.25">
      <c r="A5" s="9" t="s">
        <v>8</v>
      </c>
      <c r="B5" s="35">
        <v>31.661891117478508</v>
      </c>
      <c r="C5" s="5">
        <v>22.994269340974213</v>
      </c>
      <c r="D5" s="3">
        <v>76.599999999999994</v>
      </c>
      <c r="E5" s="3">
        <v>46</v>
      </c>
      <c r="F5" s="3">
        <v>63</v>
      </c>
      <c r="G5" s="42">
        <v>6.666666666666667</v>
      </c>
      <c r="H5" s="26">
        <v>63.8</v>
      </c>
      <c r="I5" s="8">
        <v>2.37</v>
      </c>
      <c r="J5" s="26">
        <v>5</v>
      </c>
      <c r="K5" s="26">
        <v>86.51</v>
      </c>
      <c r="L5" s="27">
        <v>15</v>
      </c>
      <c r="M5" s="26">
        <v>16.666666666666664</v>
      </c>
      <c r="Q5" s="9" t="s">
        <v>8</v>
      </c>
      <c r="R5" s="11">
        <v>63</v>
      </c>
      <c r="S5" s="6">
        <v>0.31930333817126272</v>
      </c>
      <c r="T5" s="6">
        <v>0.11611030478955008</v>
      </c>
      <c r="U5" s="111">
        <f t="shared" ref="U5:U13" si="0">S5/T5</f>
        <v>2.75</v>
      </c>
      <c r="V5" s="111">
        <v>0.18577648766328014</v>
      </c>
      <c r="W5" s="42">
        <v>0</v>
      </c>
      <c r="X5" s="42">
        <v>1.8208000000000002</v>
      </c>
      <c r="Y5" s="7">
        <v>182.08</v>
      </c>
      <c r="Z5" s="42">
        <v>36.416000000000004</v>
      </c>
      <c r="AA5" s="6">
        <v>86.51</v>
      </c>
      <c r="AB5" s="6">
        <v>15</v>
      </c>
      <c r="AC5" s="112">
        <v>19.23076923076923</v>
      </c>
    </row>
    <row r="6" spans="1:29" ht="15.75" hidden="1" customHeight="1" x14ac:dyDescent="0.25">
      <c r="A6" s="9" t="s">
        <v>1</v>
      </c>
      <c r="B6" s="35">
        <v>4.3010752688172049</v>
      </c>
      <c r="C6" s="5">
        <v>27.096774193548391</v>
      </c>
      <c r="D6" s="3">
        <v>74.86</v>
      </c>
      <c r="E6" s="3">
        <v>40</v>
      </c>
      <c r="F6" s="3">
        <v>56</v>
      </c>
      <c r="G6" s="42">
        <v>13.333333333333334</v>
      </c>
      <c r="H6" s="26">
        <v>60.9</v>
      </c>
      <c r="I6" s="8">
        <v>9.7799999999999994</v>
      </c>
      <c r="J6" s="26">
        <v>7</v>
      </c>
      <c r="K6" s="26">
        <v>75.7</v>
      </c>
      <c r="L6" s="27">
        <v>36</v>
      </c>
      <c r="M6" s="26">
        <v>26.666666666666668</v>
      </c>
      <c r="Q6" s="9" t="s">
        <v>1</v>
      </c>
      <c r="R6" s="11">
        <v>56</v>
      </c>
      <c r="S6" s="6">
        <v>0.45454545454545453</v>
      </c>
      <c r="T6" s="6">
        <v>0.89285714285714279</v>
      </c>
      <c r="U6" s="111">
        <f t="shared" si="0"/>
        <v>0.50909090909090915</v>
      </c>
      <c r="V6" s="111">
        <v>7.1428571428571423</v>
      </c>
      <c r="W6" s="42">
        <v>6.4935064935064929E-2</v>
      </c>
      <c r="X6" s="42">
        <v>9.6221999999999994</v>
      </c>
      <c r="Y6" s="4">
        <v>962.22</v>
      </c>
      <c r="Z6" s="42">
        <v>192.44399999999999</v>
      </c>
      <c r="AA6" s="6">
        <v>75.7</v>
      </c>
      <c r="AB6" s="6">
        <v>36</v>
      </c>
      <c r="AC6" s="112">
        <v>21.276595744680851</v>
      </c>
    </row>
    <row r="7" spans="1:29" ht="27" hidden="1" customHeight="1" x14ac:dyDescent="0.25">
      <c r="A7" s="9" t="s">
        <v>2</v>
      </c>
      <c r="B7" s="35">
        <v>19.731881022203606</v>
      </c>
      <c r="C7" s="5">
        <v>19.784248010054466</v>
      </c>
      <c r="D7" s="3">
        <v>72.959999999999994</v>
      </c>
      <c r="E7" s="3">
        <v>36</v>
      </c>
      <c r="F7" s="3">
        <v>76</v>
      </c>
      <c r="G7" s="42">
        <v>15</v>
      </c>
      <c r="H7" s="26">
        <v>62.4</v>
      </c>
      <c r="I7" s="8">
        <v>2.63</v>
      </c>
      <c r="J7" s="26">
        <v>6</v>
      </c>
      <c r="K7" s="26">
        <v>78.16</v>
      </c>
      <c r="L7" s="27">
        <v>17</v>
      </c>
      <c r="M7" s="26">
        <v>30</v>
      </c>
      <c r="Q7" s="9" t="s">
        <v>2</v>
      </c>
      <c r="R7" s="11">
        <v>76</v>
      </c>
      <c r="S7" s="6">
        <v>0.1541095890410959</v>
      </c>
      <c r="T7" s="6">
        <v>0.13698630136986301</v>
      </c>
      <c r="U7" s="111">
        <f t="shared" si="0"/>
        <v>1.125</v>
      </c>
      <c r="V7" s="111">
        <v>0.21917808219178084</v>
      </c>
      <c r="W7" s="42">
        <v>0</v>
      </c>
      <c r="X7" s="42">
        <v>2.3700000000000002E-2</v>
      </c>
      <c r="Y7" s="7">
        <v>2.37</v>
      </c>
      <c r="Z7" s="42">
        <v>0.47400000000000009</v>
      </c>
      <c r="AA7" s="6">
        <v>78.16</v>
      </c>
      <c r="AB7" s="6">
        <v>17</v>
      </c>
      <c r="AC7" s="112">
        <v>11.363636363636363</v>
      </c>
    </row>
    <row r="8" spans="1:29" ht="78.75" hidden="1" customHeight="1" x14ac:dyDescent="0.25">
      <c r="A8" s="9" t="s">
        <v>3</v>
      </c>
      <c r="B8" s="35">
        <v>15.656921451215219</v>
      </c>
      <c r="C8" s="5">
        <v>23.864036632617118</v>
      </c>
      <c r="D8" s="3">
        <v>69.319999999999993</v>
      </c>
      <c r="E8" s="3">
        <v>52</v>
      </c>
      <c r="F8" s="3">
        <v>60</v>
      </c>
      <c r="G8" s="42">
        <v>15</v>
      </c>
      <c r="H8" s="26">
        <v>58.3</v>
      </c>
      <c r="I8" s="8">
        <v>3</v>
      </c>
      <c r="J8" s="26">
        <v>7</v>
      </c>
      <c r="K8" s="26">
        <v>84.85</v>
      </c>
      <c r="L8" s="27">
        <v>9</v>
      </c>
      <c r="M8" s="26">
        <v>20</v>
      </c>
      <c r="Q8" s="9" t="s">
        <v>3</v>
      </c>
      <c r="R8" s="11">
        <v>60</v>
      </c>
      <c r="S8" s="6">
        <v>0.55089820359281438</v>
      </c>
      <c r="T8" s="6">
        <v>0.83832335329341312</v>
      </c>
      <c r="U8" s="111">
        <f t="shared" si="0"/>
        <v>0.65714285714285725</v>
      </c>
      <c r="V8" s="111">
        <v>2.682634730538922</v>
      </c>
      <c r="W8" s="42">
        <v>7.1856287425149698E-2</v>
      </c>
      <c r="X8" s="42">
        <v>5.7428999999999997</v>
      </c>
      <c r="Y8" s="7">
        <v>574.29</v>
      </c>
      <c r="Z8" s="42">
        <v>114.858</v>
      </c>
      <c r="AA8" s="6">
        <v>84.85</v>
      </c>
      <c r="AB8" s="6">
        <v>9</v>
      </c>
      <c r="AC8" s="112">
        <v>21.428571428571427</v>
      </c>
    </row>
    <row r="9" spans="1:29" ht="52.5" hidden="1" customHeight="1" x14ac:dyDescent="0.25">
      <c r="A9" s="9" t="s">
        <v>4</v>
      </c>
      <c r="B9" s="35">
        <v>15.550239234449762</v>
      </c>
      <c r="C9" s="5">
        <v>24.375332270069112</v>
      </c>
      <c r="D9" s="3">
        <v>68.650000000000006</v>
      </c>
      <c r="E9" s="3">
        <v>54</v>
      </c>
      <c r="F9" s="3">
        <v>70</v>
      </c>
      <c r="G9" s="42">
        <v>10</v>
      </c>
      <c r="H9" s="26">
        <v>63.2</v>
      </c>
      <c r="I9" s="8">
        <v>4.7300000000000004</v>
      </c>
      <c r="J9" s="26">
        <v>9</v>
      </c>
      <c r="K9" s="26">
        <v>61.97</v>
      </c>
      <c r="L9" s="27">
        <v>11</v>
      </c>
      <c r="M9" s="26">
        <v>20</v>
      </c>
      <c r="Q9" s="9" t="s">
        <v>4</v>
      </c>
      <c r="R9" s="11">
        <v>70</v>
      </c>
      <c r="S9" s="6">
        <v>0.38297872340425532</v>
      </c>
      <c r="T9" s="6">
        <v>0.2978723404255319</v>
      </c>
      <c r="U9" s="111">
        <f t="shared" si="0"/>
        <v>1.2857142857142858</v>
      </c>
      <c r="V9" s="111">
        <v>1.1914893617021276</v>
      </c>
      <c r="W9" s="42">
        <v>0</v>
      </c>
      <c r="X9" s="42">
        <v>0</v>
      </c>
      <c r="Y9" s="7">
        <v>0</v>
      </c>
      <c r="Z9" s="42">
        <v>0</v>
      </c>
      <c r="AA9" s="6">
        <v>61.97</v>
      </c>
      <c r="AB9" s="6">
        <v>11</v>
      </c>
      <c r="AC9" s="112">
        <v>0</v>
      </c>
    </row>
    <row r="10" spans="1:29" ht="71.25" hidden="1" customHeight="1" x14ac:dyDescent="0.25">
      <c r="A10" s="9" t="s">
        <v>5</v>
      </c>
      <c r="B10" s="35">
        <v>10.479285134037369</v>
      </c>
      <c r="C10" s="5">
        <v>25.995125913891144</v>
      </c>
      <c r="D10" s="3">
        <v>73.489999999999995</v>
      </c>
      <c r="E10" s="3">
        <v>21</v>
      </c>
      <c r="F10" s="3">
        <v>64</v>
      </c>
      <c r="G10" s="42">
        <v>8</v>
      </c>
      <c r="H10" s="26">
        <v>91.8</v>
      </c>
      <c r="I10" s="8">
        <v>3.63</v>
      </c>
      <c r="J10" s="26">
        <v>5</v>
      </c>
      <c r="K10" s="26">
        <v>61.06</v>
      </c>
      <c r="L10" s="27">
        <v>17</v>
      </c>
      <c r="M10" s="26">
        <v>16</v>
      </c>
      <c r="Q10" s="9" t="s">
        <v>5</v>
      </c>
      <c r="R10" s="11">
        <v>64</v>
      </c>
      <c r="S10" s="6">
        <v>0.33454545454545453</v>
      </c>
      <c r="T10" s="6">
        <v>0.85090909090909095</v>
      </c>
      <c r="U10" s="111">
        <f t="shared" si="0"/>
        <v>0.39316239316239315</v>
      </c>
      <c r="V10" s="111">
        <v>4.4247272727272726</v>
      </c>
      <c r="W10" s="42">
        <v>5.8181818181818182E-2</v>
      </c>
      <c r="X10" s="42">
        <v>12.4635</v>
      </c>
      <c r="Y10" s="7">
        <v>1246.3499999999999</v>
      </c>
      <c r="Z10" s="42">
        <v>249.27</v>
      </c>
      <c r="AA10" s="6">
        <v>61.06</v>
      </c>
      <c r="AB10" s="6">
        <v>17</v>
      </c>
      <c r="AC10" s="112">
        <v>22.058823529411761</v>
      </c>
    </row>
    <row r="11" spans="1:29" ht="32.25" hidden="1" customHeight="1" x14ac:dyDescent="0.25">
      <c r="A11" s="9" t="s">
        <v>6</v>
      </c>
      <c r="B11" s="35">
        <v>49.868073878627975</v>
      </c>
      <c r="C11" s="5">
        <v>18.469656992084435</v>
      </c>
      <c r="D11" s="3">
        <v>76.709999999999994</v>
      </c>
      <c r="E11" s="3">
        <v>47</v>
      </c>
      <c r="F11" s="3">
        <v>80</v>
      </c>
      <c r="G11" s="42">
        <v>12.5</v>
      </c>
      <c r="H11" s="26">
        <v>87.3</v>
      </c>
      <c r="I11" s="8">
        <v>5.51</v>
      </c>
      <c r="J11" s="26">
        <v>10</v>
      </c>
      <c r="K11" s="26">
        <v>80.39</v>
      </c>
      <c r="L11" s="27">
        <v>12</v>
      </c>
      <c r="M11" s="26">
        <v>12.5</v>
      </c>
      <c r="Q11" s="9" t="s">
        <v>6</v>
      </c>
      <c r="R11" s="11">
        <v>80</v>
      </c>
      <c r="S11" s="6">
        <v>8.4033613445378144E-2</v>
      </c>
      <c r="T11" s="6">
        <v>0.21008403361344538</v>
      </c>
      <c r="U11" s="111">
        <f t="shared" si="0"/>
        <v>0.39999999999999997</v>
      </c>
      <c r="V11" s="111">
        <v>1.0924369747899159</v>
      </c>
      <c r="W11" s="42">
        <v>0</v>
      </c>
      <c r="X11" s="42">
        <v>0.78460000000000008</v>
      </c>
      <c r="Y11" s="7">
        <v>78.459999999999994</v>
      </c>
      <c r="Z11" s="42">
        <v>15.692</v>
      </c>
      <c r="AA11" s="6">
        <v>80.39</v>
      </c>
      <c r="AB11" s="6">
        <v>12</v>
      </c>
      <c r="AC11" s="112">
        <v>0</v>
      </c>
    </row>
    <row r="12" spans="1:29" ht="25.5" hidden="1" customHeight="1" x14ac:dyDescent="0.25">
      <c r="A12" s="9" t="s">
        <v>7</v>
      </c>
      <c r="B12" s="35">
        <v>55.543710021321957</v>
      </c>
      <c r="C12" s="5">
        <v>13.752665245202559</v>
      </c>
      <c r="D12" s="3">
        <v>77.88</v>
      </c>
      <c r="E12" s="3">
        <v>0</v>
      </c>
      <c r="F12" s="3">
        <v>54</v>
      </c>
      <c r="G12" s="42">
        <v>10</v>
      </c>
      <c r="H12" s="26">
        <v>97.7</v>
      </c>
      <c r="I12" s="8">
        <v>1.87</v>
      </c>
      <c r="J12" s="26">
        <v>26</v>
      </c>
      <c r="K12" s="26">
        <v>82.66</v>
      </c>
      <c r="L12" s="27">
        <v>19</v>
      </c>
      <c r="M12" s="26">
        <v>20</v>
      </c>
      <c r="Q12" s="9" t="s">
        <v>7</v>
      </c>
      <c r="R12" s="11">
        <v>54</v>
      </c>
      <c r="S12" s="6">
        <v>0.72289156626506024</v>
      </c>
      <c r="T12" s="6">
        <v>0.48192771084337349</v>
      </c>
      <c r="U12" s="111">
        <f t="shared" si="0"/>
        <v>1.5</v>
      </c>
      <c r="V12" s="111">
        <v>3.8554216867469879</v>
      </c>
      <c r="W12" s="42">
        <v>2.1905805038335158E-2</v>
      </c>
      <c r="X12" s="42">
        <v>4.1325000000000003</v>
      </c>
      <c r="Y12" s="7">
        <v>413.25</v>
      </c>
      <c r="Z12" s="42">
        <v>82.65</v>
      </c>
      <c r="AA12" s="6">
        <v>82.66</v>
      </c>
      <c r="AB12" s="6">
        <v>19</v>
      </c>
      <c r="AC12" s="112">
        <v>19.379844961240309</v>
      </c>
    </row>
    <row r="13" spans="1:29" ht="30.75" hidden="1" customHeight="1" x14ac:dyDescent="0.25">
      <c r="A13" s="9" t="s">
        <v>9</v>
      </c>
      <c r="B13" s="35">
        <v>43.774319066147861</v>
      </c>
      <c r="C13" s="5">
        <v>28.501945525291834</v>
      </c>
      <c r="D13" s="3">
        <v>79.25</v>
      </c>
      <c r="E13" s="3">
        <v>41</v>
      </c>
      <c r="F13" s="3">
        <v>95</v>
      </c>
      <c r="G13" s="42">
        <v>25</v>
      </c>
      <c r="H13" s="26">
        <v>62.7</v>
      </c>
      <c r="I13" s="8">
        <v>3.08</v>
      </c>
      <c r="J13" s="26">
        <v>5</v>
      </c>
      <c r="K13" s="26">
        <v>93.93</v>
      </c>
      <c r="L13" s="27">
        <v>15</v>
      </c>
      <c r="M13" s="26">
        <v>12.5</v>
      </c>
      <c r="Q13" s="9" t="s">
        <v>9</v>
      </c>
      <c r="R13" s="11">
        <v>95</v>
      </c>
      <c r="S13" s="6">
        <v>0.35598705501618122</v>
      </c>
      <c r="T13" s="6">
        <v>0.38834951456310679</v>
      </c>
      <c r="U13" s="111">
        <f t="shared" si="0"/>
        <v>0.91666666666666663</v>
      </c>
      <c r="V13" s="111">
        <v>1.6</v>
      </c>
      <c r="W13" s="42">
        <v>3.236245954692557E-2</v>
      </c>
      <c r="X13" s="42">
        <v>0</v>
      </c>
      <c r="Y13" s="7">
        <v>0</v>
      </c>
      <c r="Z13" s="42">
        <v>0</v>
      </c>
      <c r="AA13" s="6">
        <v>93.93</v>
      </c>
      <c r="AB13" s="6">
        <v>15</v>
      </c>
      <c r="AC13" s="112">
        <v>25</v>
      </c>
    </row>
    <row r="14" spans="1:29" ht="61.5" hidden="1" customHeight="1" x14ac:dyDescent="0.25">
      <c r="A14" s="20" t="s">
        <v>52</v>
      </c>
      <c r="B14" s="24">
        <f t="shared" ref="B14:M14" si="1">AVERAGE(B4:B13)</f>
        <v>25.707961581264566</v>
      </c>
      <c r="C14" s="25">
        <f t="shared" si="1"/>
        <v>23.764289242303022</v>
      </c>
      <c r="D14" s="25">
        <f t="shared" si="1"/>
        <v>73.844999999999999</v>
      </c>
      <c r="E14" s="25">
        <f t="shared" si="1"/>
        <v>37.6</v>
      </c>
      <c r="F14" s="25">
        <f t="shared" si="1"/>
        <v>71.2</v>
      </c>
      <c r="G14" s="28">
        <f t="shared" si="1"/>
        <v>11.55</v>
      </c>
      <c r="H14" s="29">
        <f t="shared" si="1"/>
        <v>71.810000000000016</v>
      </c>
      <c r="I14" s="29">
        <f t="shared" si="1"/>
        <v>4.4509999999999996</v>
      </c>
      <c r="J14" s="29">
        <f t="shared" si="1"/>
        <v>9.1999999999999993</v>
      </c>
      <c r="K14" s="29">
        <f t="shared" si="1"/>
        <v>78.035000000000011</v>
      </c>
      <c r="L14" s="29">
        <f t="shared" si="1"/>
        <v>17.2</v>
      </c>
      <c r="M14" s="29">
        <f t="shared" si="1"/>
        <v>18.68333333333333</v>
      </c>
      <c r="Q14" s="20" t="s">
        <v>52</v>
      </c>
      <c r="R14" s="25">
        <f>AVERAGE(R4:R13)</f>
        <v>71.2</v>
      </c>
      <c r="S14" s="25">
        <f t="shared" ref="S14:AC14" si="2">AVERAGE(S4:S13)</f>
        <v>0.36724921031723712</v>
      </c>
      <c r="T14" s="25">
        <f t="shared" si="2"/>
        <v>0.44818761685034436</v>
      </c>
      <c r="U14" s="25">
        <f t="shared" si="2"/>
        <v>1.070344377844378</v>
      </c>
      <c r="V14" s="25">
        <f t="shared" si="2"/>
        <v>2.3790494893579845</v>
      </c>
      <c r="W14" s="25">
        <f t="shared" si="2"/>
        <v>3.387268937402689E-2</v>
      </c>
      <c r="X14" s="25">
        <f t="shared" si="2"/>
        <v>3.7291199999999995</v>
      </c>
      <c r="Y14" s="25">
        <f t="shared" si="2"/>
        <v>372.91199999999998</v>
      </c>
      <c r="Z14" s="25">
        <f t="shared" si="2"/>
        <v>74.582399999999993</v>
      </c>
      <c r="AA14" s="25">
        <f t="shared" si="2"/>
        <v>78.035000000000011</v>
      </c>
      <c r="AB14" s="25">
        <f t="shared" si="2"/>
        <v>17.2</v>
      </c>
      <c r="AC14" s="25">
        <f t="shared" si="2"/>
        <v>13.973824125830996</v>
      </c>
    </row>
    <row r="15" spans="1:29" ht="26.25" customHeight="1" x14ac:dyDescent="0.25">
      <c r="A15" s="21" t="s">
        <v>22</v>
      </c>
      <c r="B15" s="22">
        <v>69</v>
      </c>
      <c r="C15" s="22">
        <v>26</v>
      </c>
      <c r="D15" s="22">
        <v>75</v>
      </c>
      <c r="E15" s="22">
        <v>40</v>
      </c>
      <c r="F15" s="22">
        <v>100</v>
      </c>
      <c r="G15" s="22">
        <v>20</v>
      </c>
      <c r="H15" s="22">
        <v>100</v>
      </c>
      <c r="I15" s="22">
        <v>2</v>
      </c>
      <c r="J15" s="22">
        <v>15.9</v>
      </c>
      <c r="K15" s="22">
        <v>80</v>
      </c>
      <c r="L15" s="22">
        <v>30</v>
      </c>
      <c r="M15" s="22">
        <v>30</v>
      </c>
      <c r="Q15" s="21" t="s">
        <v>22</v>
      </c>
      <c r="R15" s="22">
        <v>100</v>
      </c>
      <c r="S15" s="22">
        <v>1</v>
      </c>
      <c r="T15" s="22">
        <v>0.8</v>
      </c>
      <c r="U15" s="22">
        <v>0.25</v>
      </c>
      <c r="V15" s="22">
        <v>4</v>
      </c>
      <c r="W15" s="22">
        <v>5.2999999999999999E-2</v>
      </c>
      <c r="X15" s="22">
        <v>5.3</v>
      </c>
      <c r="Y15" s="22">
        <v>900</v>
      </c>
      <c r="Z15" s="22">
        <v>178</v>
      </c>
      <c r="AA15" s="22">
        <v>80</v>
      </c>
      <c r="AB15" s="22">
        <v>30</v>
      </c>
      <c r="AC15" s="22">
        <v>40</v>
      </c>
    </row>
    <row r="17" spans="1:37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spans="1:37" hidden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spans="1:37" x14ac:dyDescent="0.25">
      <c r="A19" s="32"/>
      <c r="B19" s="138" t="s">
        <v>11</v>
      </c>
      <c r="C19" s="138"/>
      <c r="D19" s="138"/>
      <c r="E19" s="139" t="s">
        <v>12</v>
      </c>
      <c r="F19" s="139"/>
      <c r="G19" s="139"/>
      <c r="H19" s="140" t="s">
        <v>28</v>
      </c>
      <c r="I19" s="140"/>
      <c r="J19" s="140"/>
      <c r="K19" s="141" t="s">
        <v>14</v>
      </c>
      <c r="L19" s="141"/>
      <c r="M19" s="141"/>
      <c r="N19" s="144" t="s">
        <v>16</v>
      </c>
      <c r="O19" s="144"/>
      <c r="P19" s="144"/>
      <c r="Q19" s="143" t="s">
        <v>40</v>
      </c>
      <c r="R19" s="143"/>
      <c r="S19" s="143"/>
      <c r="T19" s="140" t="s">
        <v>19</v>
      </c>
      <c r="U19" s="140"/>
      <c r="V19" s="140"/>
      <c r="W19" s="138" t="s">
        <v>20</v>
      </c>
      <c r="X19" s="138"/>
      <c r="Y19" s="138"/>
      <c r="Z19" s="139" t="s">
        <v>21</v>
      </c>
      <c r="AA19" s="139"/>
      <c r="AB19" s="139"/>
      <c r="AC19" s="144" t="s">
        <v>15</v>
      </c>
      <c r="AD19" s="144"/>
      <c r="AE19" s="144"/>
      <c r="AF19" s="138" t="s">
        <v>18</v>
      </c>
      <c r="AG19" s="138"/>
      <c r="AH19" s="138"/>
      <c r="AI19" s="101"/>
      <c r="AJ19" s="101" t="s">
        <v>13</v>
      </c>
      <c r="AK19" s="101"/>
    </row>
    <row r="20" spans="1:37" s="30" customFormat="1" ht="105.75" thickBot="1" x14ac:dyDescent="0.3">
      <c r="A20" s="33"/>
      <c r="B20" s="34" t="s">
        <v>55</v>
      </c>
      <c r="C20" s="34" t="s">
        <v>56</v>
      </c>
      <c r="D20" s="87" t="s">
        <v>57</v>
      </c>
      <c r="E20" s="34" t="s">
        <v>55</v>
      </c>
      <c r="F20" s="33" t="s">
        <v>59</v>
      </c>
      <c r="G20" s="45" t="s">
        <v>58</v>
      </c>
      <c r="H20" s="33" t="s">
        <v>61</v>
      </c>
      <c r="I20" s="33" t="s">
        <v>62</v>
      </c>
      <c r="J20" s="38" t="s">
        <v>60</v>
      </c>
      <c r="K20" s="33" t="s">
        <v>63</v>
      </c>
      <c r="L20" s="33" t="s">
        <v>64</v>
      </c>
      <c r="M20" s="39" t="s">
        <v>65</v>
      </c>
      <c r="N20" s="33" t="s">
        <v>67</v>
      </c>
      <c r="O20" s="33" t="s">
        <v>68</v>
      </c>
      <c r="P20" s="41" t="s">
        <v>69</v>
      </c>
      <c r="Q20" s="33" t="s">
        <v>72</v>
      </c>
      <c r="R20" s="33" t="s">
        <v>71</v>
      </c>
      <c r="S20" s="39" t="s">
        <v>70</v>
      </c>
      <c r="T20" s="33" t="s">
        <v>75</v>
      </c>
      <c r="U20" s="33" t="s">
        <v>76</v>
      </c>
      <c r="V20" s="38" t="s">
        <v>74</v>
      </c>
      <c r="W20" s="33" t="s">
        <v>77</v>
      </c>
      <c r="X20" s="33" t="s">
        <v>78</v>
      </c>
      <c r="Y20" s="44" t="s">
        <v>79</v>
      </c>
      <c r="Z20" s="33" t="s">
        <v>77</v>
      </c>
      <c r="AA20" s="33" t="s">
        <v>80</v>
      </c>
      <c r="AB20" s="45" t="s">
        <v>81</v>
      </c>
      <c r="AC20" s="33" t="s">
        <v>67</v>
      </c>
      <c r="AD20" s="33" t="s">
        <v>95</v>
      </c>
      <c r="AE20" s="41" t="s">
        <v>96</v>
      </c>
      <c r="AF20" s="33" t="s">
        <v>82</v>
      </c>
      <c r="AG20" s="33" t="s">
        <v>83</v>
      </c>
      <c r="AH20" s="44" t="s">
        <v>84</v>
      </c>
      <c r="AI20" s="33"/>
      <c r="AJ20" s="33"/>
      <c r="AK20" s="100" t="s">
        <v>104</v>
      </c>
    </row>
    <row r="21" spans="1:37" ht="15.75" x14ac:dyDescent="0.25">
      <c r="A21" s="31" t="s">
        <v>0</v>
      </c>
      <c r="B21" s="47">
        <v>298.7</v>
      </c>
      <c r="C21" s="53">
        <v>31.4</v>
      </c>
      <c r="D21" s="56">
        <f>C21/B21*100</f>
        <v>10.512219618346167</v>
      </c>
      <c r="E21" s="47">
        <f>B21</f>
        <v>298.7</v>
      </c>
      <c r="F21" s="48">
        <v>98</v>
      </c>
      <c r="G21" s="57">
        <f t="shared" ref="G21:G30" si="3">F21/E21*100</f>
        <v>32.808838299296958</v>
      </c>
      <c r="H21" s="59">
        <f>F21</f>
        <v>98</v>
      </c>
      <c r="I21" s="60">
        <f>H21*J21%</f>
        <v>38.22</v>
      </c>
      <c r="J21" s="58">
        <v>39</v>
      </c>
      <c r="K21" s="40">
        <v>32</v>
      </c>
      <c r="L21" s="40">
        <f>K21*M21%</f>
        <v>30.08</v>
      </c>
      <c r="M21" s="6">
        <v>94</v>
      </c>
      <c r="N21" s="5">
        <v>8</v>
      </c>
      <c r="O21" s="5">
        <v>0</v>
      </c>
      <c r="P21" s="6">
        <f>O21/N21*100</f>
        <v>0</v>
      </c>
      <c r="Q21" s="43">
        <v>115.19999999999999</v>
      </c>
      <c r="R21" s="5">
        <v>80.639999999999986</v>
      </c>
      <c r="S21" s="27">
        <f>R21/Q21*100</f>
        <v>70</v>
      </c>
      <c r="T21" s="3">
        <v>278.7</v>
      </c>
      <c r="U21" s="5">
        <f>T21*V21%</f>
        <v>33.443999999999996</v>
      </c>
      <c r="V21" s="26">
        <v>12</v>
      </c>
      <c r="W21" s="3">
        <v>22.35</v>
      </c>
      <c r="X21" s="5">
        <f>W21*Y21%</f>
        <v>16.789320000000004</v>
      </c>
      <c r="Y21" s="27">
        <v>75.12</v>
      </c>
      <c r="Z21" s="3">
        <v>22.35</v>
      </c>
      <c r="AA21" s="5">
        <f>Z21*AB21%</f>
        <v>4.6935000000000002</v>
      </c>
      <c r="AB21" s="27">
        <v>21</v>
      </c>
      <c r="AC21" s="5">
        <v>8</v>
      </c>
      <c r="AD21" s="5">
        <v>1</v>
      </c>
      <c r="AE21" s="89">
        <f>AD21/AC21*100</f>
        <v>12.5</v>
      </c>
      <c r="AF21" s="46">
        <f>5751.18+11308.77-45.9</f>
        <v>17014.05</v>
      </c>
      <c r="AG21" s="46">
        <v>1345.22</v>
      </c>
      <c r="AH21" s="88">
        <f>AG21/AF21</f>
        <v>7.9065243137289479E-2</v>
      </c>
      <c r="AI21" s="3">
        <v>68.73</v>
      </c>
      <c r="AJ21" s="3">
        <v>68.73</v>
      </c>
      <c r="AK21" s="3">
        <v>68.73</v>
      </c>
    </row>
    <row r="22" spans="1:37" ht="15.75" x14ac:dyDescent="0.25">
      <c r="A22" s="31" t="s">
        <v>8</v>
      </c>
      <c r="B22" s="49">
        <v>1396</v>
      </c>
      <c r="C22" s="54">
        <v>442</v>
      </c>
      <c r="D22" s="56">
        <f t="shared" ref="D22:D30" si="4">C22/B22*100</f>
        <v>31.661891117478508</v>
      </c>
      <c r="E22" s="49">
        <f t="shared" ref="E22:E30" si="5">B22</f>
        <v>1396</v>
      </c>
      <c r="F22" s="50">
        <v>321</v>
      </c>
      <c r="G22" s="57">
        <f t="shared" si="3"/>
        <v>22.994269340974213</v>
      </c>
      <c r="H22" s="61">
        <f t="shared" ref="H22:H30" si="6">F22</f>
        <v>321</v>
      </c>
      <c r="I22" s="62">
        <f t="shared" ref="I22:I30" si="7">H22*J22%</f>
        <v>147.66</v>
      </c>
      <c r="J22" s="58">
        <v>46</v>
      </c>
      <c r="K22" s="40">
        <v>139</v>
      </c>
      <c r="L22" s="40">
        <f t="shared" ref="L22:L30" si="8">K22*M22%</f>
        <v>87.570000000000007</v>
      </c>
      <c r="M22" s="6">
        <v>63</v>
      </c>
      <c r="N22" s="5">
        <v>30</v>
      </c>
      <c r="O22" s="5">
        <v>2</v>
      </c>
      <c r="P22" s="6">
        <f t="shared" ref="P22:P30" si="9">O22/N22*100</f>
        <v>6.666666666666667</v>
      </c>
      <c r="Q22" s="43">
        <v>403.2</v>
      </c>
      <c r="R22" s="5">
        <v>257.24160000000001</v>
      </c>
      <c r="S22" s="27">
        <f t="shared" ref="S22:S30" si="10">R22/Q22*100</f>
        <v>63.800000000000004</v>
      </c>
      <c r="T22" s="3">
        <v>1344</v>
      </c>
      <c r="U22" s="5">
        <f t="shared" ref="U22:U30" si="11">T22*V22%</f>
        <v>67.2</v>
      </c>
      <c r="V22" s="26">
        <v>5</v>
      </c>
      <c r="W22" s="3">
        <v>103.35</v>
      </c>
      <c r="X22" s="5">
        <f t="shared" ref="X22:X30" si="12">W22*Y22%</f>
        <v>89.408085</v>
      </c>
      <c r="Y22" s="27">
        <v>86.51</v>
      </c>
      <c r="Z22" s="3">
        <v>103.35</v>
      </c>
      <c r="AA22" s="5">
        <f t="shared" ref="AA22:AA30" si="13">Z22*AB22%</f>
        <v>15.502499999999998</v>
      </c>
      <c r="AB22" s="27">
        <v>15</v>
      </c>
      <c r="AC22" s="5">
        <v>30</v>
      </c>
      <c r="AD22" s="5">
        <v>5</v>
      </c>
      <c r="AE22" s="89">
        <f t="shared" ref="AE22:AE30" si="14">AD22/AC22*100</f>
        <v>16.666666666666664</v>
      </c>
      <c r="AF22" s="46">
        <f>42333.38-439.2</f>
        <v>41894.18</v>
      </c>
      <c r="AG22" s="46">
        <v>992.78</v>
      </c>
      <c r="AH22" s="88">
        <f>AG22/AF22</f>
        <v>2.3697325022234591E-2</v>
      </c>
      <c r="AI22" s="3">
        <v>76.599999999999994</v>
      </c>
      <c r="AJ22" s="3">
        <v>76.599999999999994</v>
      </c>
      <c r="AK22" s="3">
        <v>76.599999999999994</v>
      </c>
    </row>
    <row r="23" spans="1:37" ht="15.75" x14ac:dyDescent="0.25">
      <c r="A23" s="31" t="s">
        <v>1</v>
      </c>
      <c r="B23" s="49">
        <v>465</v>
      </c>
      <c r="C23" s="54">
        <v>20</v>
      </c>
      <c r="D23" s="56">
        <f t="shared" si="4"/>
        <v>4.3010752688172049</v>
      </c>
      <c r="E23" s="49">
        <f t="shared" si="5"/>
        <v>465</v>
      </c>
      <c r="F23" s="50">
        <v>126</v>
      </c>
      <c r="G23" s="57">
        <f t="shared" si="3"/>
        <v>27.096774193548391</v>
      </c>
      <c r="H23" s="61">
        <f t="shared" si="6"/>
        <v>126</v>
      </c>
      <c r="I23" s="62">
        <f t="shared" si="7"/>
        <v>50.400000000000006</v>
      </c>
      <c r="J23" s="58">
        <v>40</v>
      </c>
      <c r="K23" s="40">
        <v>97</v>
      </c>
      <c r="L23" s="40">
        <f t="shared" si="8"/>
        <v>54.320000000000007</v>
      </c>
      <c r="M23" s="6">
        <v>56</v>
      </c>
      <c r="N23" s="5">
        <v>15</v>
      </c>
      <c r="O23" s="5">
        <v>2</v>
      </c>
      <c r="P23" s="6">
        <f t="shared" si="9"/>
        <v>13.333333333333334</v>
      </c>
      <c r="Q23" s="43">
        <v>125.39999999999999</v>
      </c>
      <c r="R23" s="5">
        <v>76.368599999999986</v>
      </c>
      <c r="S23" s="27">
        <f t="shared" si="10"/>
        <v>60.9</v>
      </c>
      <c r="T23" s="3">
        <v>418</v>
      </c>
      <c r="U23" s="5">
        <f t="shared" si="11"/>
        <v>29.26</v>
      </c>
      <c r="V23" s="26">
        <v>7</v>
      </c>
      <c r="W23" s="3">
        <v>61.6</v>
      </c>
      <c r="X23" s="5">
        <f t="shared" si="12"/>
        <v>46.6312</v>
      </c>
      <c r="Y23" s="27">
        <v>75.7</v>
      </c>
      <c r="Z23" s="3">
        <v>61.6</v>
      </c>
      <c r="AA23" s="5">
        <f t="shared" si="13"/>
        <v>22.175999999999998</v>
      </c>
      <c r="AB23" s="27">
        <v>36</v>
      </c>
      <c r="AC23" s="5">
        <v>15</v>
      </c>
      <c r="AD23" s="5">
        <v>4</v>
      </c>
      <c r="AE23" s="89">
        <f t="shared" si="14"/>
        <v>26.666666666666668</v>
      </c>
      <c r="AF23" s="46">
        <f>2086.53+728.8-44</f>
        <v>2771.33</v>
      </c>
      <c r="AG23" s="46">
        <v>271.02999999999997</v>
      </c>
      <c r="AH23" s="88">
        <f t="shared" ref="AH23:AH30" si="15">AG23/AF23</f>
        <v>9.7797808272562264E-2</v>
      </c>
      <c r="AI23" s="3">
        <v>74.86</v>
      </c>
      <c r="AJ23" s="3">
        <v>74.86</v>
      </c>
      <c r="AK23" s="3">
        <v>74.86</v>
      </c>
    </row>
    <row r="24" spans="1:37" ht="15.75" x14ac:dyDescent="0.25">
      <c r="A24" s="31" t="s">
        <v>2</v>
      </c>
      <c r="B24" s="49">
        <v>954.8</v>
      </c>
      <c r="C24" s="54">
        <v>188.4</v>
      </c>
      <c r="D24" s="56">
        <f t="shared" si="4"/>
        <v>19.731881022203606</v>
      </c>
      <c r="E24" s="49">
        <f t="shared" si="5"/>
        <v>954.8</v>
      </c>
      <c r="F24" s="50">
        <v>188.9</v>
      </c>
      <c r="G24" s="57">
        <f t="shared" si="3"/>
        <v>19.784248010054466</v>
      </c>
      <c r="H24" s="61">
        <f t="shared" si="6"/>
        <v>188.9</v>
      </c>
      <c r="I24" s="62">
        <f t="shared" si="7"/>
        <v>68.004000000000005</v>
      </c>
      <c r="J24" s="58">
        <v>36</v>
      </c>
      <c r="K24" s="40">
        <v>84</v>
      </c>
      <c r="L24" s="40">
        <f t="shared" si="8"/>
        <v>63.84</v>
      </c>
      <c r="M24" s="6">
        <v>76</v>
      </c>
      <c r="N24" s="5">
        <v>20</v>
      </c>
      <c r="O24" s="5">
        <v>3</v>
      </c>
      <c r="P24" s="6">
        <f t="shared" si="9"/>
        <v>15</v>
      </c>
      <c r="Q24" s="43">
        <v>340.2</v>
      </c>
      <c r="R24" s="5">
        <v>212.28479999999999</v>
      </c>
      <c r="S24" s="27">
        <f t="shared" si="10"/>
        <v>62.4</v>
      </c>
      <c r="T24" s="3">
        <v>910.8</v>
      </c>
      <c r="U24" s="5">
        <f t="shared" si="11"/>
        <v>54.647999999999996</v>
      </c>
      <c r="V24" s="26">
        <v>6</v>
      </c>
      <c r="W24" s="3">
        <v>58.4</v>
      </c>
      <c r="X24" s="5">
        <f t="shared" si="12"/>
        <v>45.645439999999994</v>
      </c>
      <c r="Y24" s="27">
        <v>78.16</v>
      </c>
      <c r="Z24" s="3">
        <v>58.4</v>
      </c>
      <c r="AA24" s="5">
        <f t="shared" si="13"/>
        <v>9.9280000000000008</v>
      </c>
      <c r="AB24" s="27">
        <v>17</v>
      </c>
      <c r="AC24" s="5">
        <v>20</v>
      </c>
      <c r="AD24" s="5">
        <v>6</v>
      </c>
      <c r="AE24" s="89">
        <f t="shared" si="14"/>
        <v>30</v>
      </c>
      <c r="AF24" s="46">
        <f>19193.35+3663</f>
        <v>22856.35</v>
      </c>
      <c r="AG24" s="46">
        <v>601.80999999999995</v>
      </c>
      <c r="AH24" s="88">
        <f t="shared" si="15"/>
        <v>2.633010082537238E-2</v>
      </c>
      <c r="AI24" s="3">
        <v>72.959999999999994</v>
      </c>
      <c r="AJ24" s="3">
        <v>72.959999999999994</v>
      </c>
      <c r="AK24" s="3">
        <v>72.959999999999994</v>
      </c>
    </row>
    <row r="25" spans="1:37" ht="47.25" x14ac:dyDescent="0.25">
      <c r="A25" s="31" t="s">
        <v>3</v>
      </c>
      <c r="B25" s="49">
        <v>567.79999999999995</v>
      </c>
      <c r="C25" s="54">
        <v>88.9</v>
      </c>
      <c r="D25" s="56">
        <f t="shared" si="4"/>
        <v>15.656921451215219</v>
      </c>
      <c r="E25" s="49">
        <f t="shared" si="5"/>
        <v>567.79999999999995</v>
      </c>
      <c r="F25" s="50">
        <v>135.5</v>
      </c>
      <c r="G25" s="57">
        <f t="shared" si="3"/>
        <v>23.864036632617118</v>
      </c>
      <c r="H25" s="61">
        <f t="shared" si="6"/>
        <v>135.5</v>
      </c>
      <c r="I25" s="62">
        <f t="shared" si="7"/>
        <v>70.460000000000008</v>
      </c>
      <c r="J25" s="58">
        <v>52</v>
      </c>
      <c r="K25" s="40">
        <v>68</v>
      </c>
      <c r="L25" s="40">
        <f t="shared" si="8"/>
        <v>40.799999999999997</v>
      </c>
      <c r="M25" s="6">
        <v>60</v>
      </c>
      <c r="N25" s="5">
        <v>20</v>
      </c>
      <c r="O25" s="5">
        <v>3</v>
      </c>
      <c r="P25" s="6">
        <f t="shared" si="9"/>
        <v>15</v>
      </c>
      <c r="Q25" s="43">
        <v>219</v>
      </c>
      <c r="R25" s="5">
        <v>127.67699999999999</v>
      </c>
      <c r="S25" s="27">
        <f t="shared" si="10"/>
        <v>58.3</v>
      </c>
      <c r="T25" s="3">
        <v>497.8</v>
      </c>
      <c r="U25" s="5">
        <f t="shared" si="11"/>
        <v>34.846000000000004</v>
      </c>
      <c r="V25" s="26">
        <v>7</v>
      </c>
      <c r="W25" s="3">
        <v>41.75</v>
      </c>
      <c r="X25" s="5">
        <f t="shared" si="12"/>
        <v>35.424875</v>
      </c>
      <c r="Y25" s="27">
        <v>84.85</v>
      </c>
      <c r="Z25" s="3">
        <v>41.75</v>
      </c>
      <c r="AA25" s="5">
        <f t="shared" si="13"/>
        <v>3.7574999999999998</v>
      </c>
      <c r="AB25" s="27">
        <v>9</v>
      </c>
      <c r="AC25" s="5">
        <v>20</v>
      </c>
      <c r="AD25" s="5">
        <v>4</v>
      </c>
      <c r="AE25" s="89">
        <f t="shared" si="14"/>
        <v>20</v>
      </c>
      <c r="AF25" s="46">
        <f>15691.49+31975.48</f>
        <v>47666.97</v>
      </c>
      <c r="AG25" s="46">
        <v>1430.88</v>
      </c>
      <c r="AH25" s="88">
        <f t="shared" si="15"/>
        <v>3.0018270513103729E-2</v>
      </c>
      <c r="AI25" s="3">
        <v>69.319999999999993</v>
      </c>
      <c r="AJ25" s="3">
        <v>69.319999999999993</v>
      </c>
      <c r="AK25" s="3">
        <v>69.319999999999993</v>
      </c>
    </row>
    <row r="26" spans="1:37" ht="31.5" x14ac:dyDescent="0.25">
      <c r="A26" s="31" t="s">
        <v>4</v>
      </c>
      <c r="B26" s="49">
        <v>376.2</v>
      </c>
      <c r="C26" s="54">
        <v>58.5</v>
      </c>
      <c r="D26" s="56">
        <f t="shared" si="4"/>
        <v>15.550239234449762</v>
      </c>
      <c r="E26" s="49">
        <f t="shared" si="5"/>
        <v>376.2</v>
      </c>
      <c r="F26" s="50">
        <v>91.7</v>
      </c>
      <c r="G26" s="57">
        <f t="shared" si="3"/>
        <v>24.375332270069112</v>
      </c>
      <c r="H26" s="61">
        <f t="shared" si="6"/>
        <v>91.7</v>
      </c>
      <c r="I26" s="62">
        <f t="shared" si="7"/>
        <v>49.518000000000008</v>
      </c>
      <c r="J26" s="58">
        <v>54</v>
      </c>
      <c r="K26" s="40">
        <v>38</v>
      </c>
      <c r="L26" s="40">
        <f t="shared" si="8"/>
        <v>26.599999999999998</v>
      </c>
      <c r="M26" s="6">
        <v>70</v>
      </c>
      <c r="N26" s="5">
        <v>10</v>
      </c>
      <c r="O26" s="5">
        <v>1</v>
      </c>
      <c r="P26" s="6">
        <f t="shared" si="9"/>
        <v>10</v>
      </c>
      <c r="Q26" s="43">
        <v>167.4</v>
      </c>
      <c r="R26" s="5">
        <v>105.7968</v>
      </c>
      <c r="S26" s="27">
        <f t="shared" si="10"/>
        <v>63.2</v>
      </c>
      <c r="T26" s="3">
        <v>367.2</v>
      </c>
      <c r="U26" s="5">
        <f t="shared" si="11"/>
        <v>33.047999999999995</v>
      </c>
      <c r="V26" s="26">
        <v>9</v>
      </c>
      <c r="W26" s="3">
        <v>23.5</v>
      </c>
      <c r="X26" s="5">
        <f t="shared" si="12"/>
        <v>14.562950000000001</v>
      </c>
      <c r="Y26" s="27">
        <v>61.97</v>
      </c>
      <c r="Z26" s="3">
        <v>23.5</v>
      </c>
      <c r="AA26" s="5">
        <f t="shared" si="13"/>
        <v>2.585</v>
      </c>
      <c r="AB26" s="27">
        <v>11</v>
      </c>
      <c r="AC26" s="5">
        <v>10</v>
      </c>
      <c r="AD26" s="5">
        <v>2</v>
      </c>
      <c r="AE26" s="89">
        <f t="shared" si="14"/>
        <v>20</v>
      </c>
      <c r="AF26" s="46">
        <f>11800.85-181.3</f>
        <v>11619.550000000001</v>
      </c>
      <c r="AG26" s="46">
        <v>549.78</v>
      </c>
      <c r="AH26" s="88">
        <f t="shared" si="15"/>
        <v>4.7315085351842361E-2</v>
      </c>
      <c r="AI26" s="3">
        <v>68.650000000000006</v>
      </c>
      <c r="AJ26" s="3">
        <v>68.650000000000006</v>
      </c>
      <c r="AK26" s="3">
        <v>68.650000000000006</v>
      </c>
    </row>
    <row r="27" spans="1:37" ht="31.5" x14ac:dyDescent="0.25">
      <c r="A27" s="31" t="s">
        <v>5</v>
      </c>
      <c r="B27" s="49">
        <v>1231</v>
      </c>
      <c r="C27" s="54">
        <v>129</v>
      </c>
      <c r="D27" s="56">
        <f t="shared" si="4"/>
        <v>10.479285134037369</v>
      </c>
      <c r="E27" s="49">
        <f t="shared" si="5"/>
        <v>1231</v>
      </c>
      <c r="F27" s="50">
        <v>320</v>
      </c>
      <c r="G27" s="57">
        <f t="shared" si="3"/>
        <v>25.995125913891144</v>
      </c>
      <c r="H27" s="61">
        <f t="shared" si="6"/>
        <v>320</v>
      </c>
      <c r="I27" s="62">
        <f t="shared" si="7"/>
        <v>67.2</v>
      </c>
      <c r="J27" s="58">
        <v>21</v>
      </c>
      <c r="K27" s="40">
        <v>185</v>
      </c>
      <c r="L27" s="40">
        <f t="shared" si="8"/>
        <v>118.4</v>
      </c>
      <c r="M27" s="6">
        <v>64</v>
      </c>
      <c r="N27" s="5">
        <v>25</v>
      </c>
      <c r="O27" s="5">
        <v>2</v>
      </c>
      <c r="P27" s="6">
        <f t="shared" si="9"/>
        <v>8</v>
      </c>
      <c r="Q27" s="43">
        <v>328.5</v>
      </c>
      <c r="R27" s="5">
        <v>301.56299999999999</v>
      </c>
      <c r="S27" s="27">
        <f t="shared" si="10"/>
        <v>91.8</v>
      </c>
      <c r="T27" s="3">
        <v>1095</v>
      </c>
      <c r="U27" s="5">
        <f t="shared" si="11"/>
        <v>54.75</v>
      </c>
      <c r="V27" s="26">
        <v>5</v>
      </c>
      <c r="W27" s="3">
        <v>137.5</v>
      </c>
      <c r="X27" s="5">
        <f t="shared" si="12"/>
        <v>83.95750000000001</v>
      </c>
      <c r="Y27" s="27">
        <v>61.06</v>
      </c>
      <c r="Z27" s="3">
        <v>137.5</v>
      </c>
      <c r="AA27" s="5">
        <f t="shared" si="13"/>
        <v>23.375</v>
      </c>
      <c r="AB27" s="27">
        <v>17</v>
      </c>
      <c r="AC27" s="5">
        <v>25</v>
      </c>
      <c r="AD27" s="5">
        <v>4</v>
      </c>
      <c r="AE27" s="89">
        <f t="shared" si="14"/>
        <v>16</v>
      </c>
      <c r="AF27" s="46">
        <f>12535.52-228.9</f>
        <v>12306.62</v>
      </c>
      <c r="AG27" s="46">
        <v>447.3</v>
      </c>
      <c r="AH27" s="88">
        <f t="shared" si="15"/>
        <v>3.6346291670661807E-2</v>
      </c>
      <c r="AI27" s="3">
        <v>73.489999999999995</v>
      </c>
      <c r="AJ27" s="3">
        <v>73.489999999999995</v>
      </c>
      <c r="AK27" s="3">
        <v>73.489999999999995</v>
      </c>
    </row>
    <row r="28" spans="1:37" ht="15.75" x14ac:dyDescent="0.25">
      <c r="A28" s="31" t="s">
        <v>6</v>
      </c>
      <c r="B28" s="49">
        <v>416.9</v>
      </c>
      <c r="C28" s="54">
        <v>207.9</v>
      </c>
      <c r="D28" s="56">
        <f t="shared" si="4"/>
        <v>49.868073878627975</v>
      </c>
      <c r="E28" s="49">
        <f t="shared" si="5"/>
        <v>416.9</v>
      </c>
      <c r="F28" s="50">
        <v>77</v>
      </c>
      <c r="G28" s="57">
        <f t="shared" si="3"/>
        <v>18.469656992084435</v>
      </c>
      <c r="H28" s="61">
        <f t="shared" si="6"/>
        <v>77</v>
      </c>
      <c r="I28" s="62">
        <f t="shared" si="7"/>
        <v>36.19</v>
      </c>
      <c r="J28" s="58">
        <v>47</v>
      </c>
      <c r="K28" s="40">
        <v>42</v>
      </c>
      <c r="L28" s="40">
        <f t="shared" si="8"/>
        <v>33.6</v>
      </c>
      <c r="M28" s="6">
        <v>80</v>
      </c>
      <c r="N28" s="5">
        <v>8</v>
      </c>
      <c r="O28" s="5">
        <v>1</v>
      </c>
      <c r="P28" s="6">
        <f t="shared" si="9"/>
        <v>12.5</v>
      </c>
      <c r="Q28" s="43">
        <v>134.1</v>
      </c>
      <c r="R28" s="5">
        <v>117.0693</v>
      </c>
      <c r="S28" s="27">
        <f t="shared" si="10"/>
        <v>87.3</v>
      </c>
      <c r="T28" s="3">
        <v>402.9</v>
      </c>
      <c r="U28" s="5">
        <f t="shared" si="11"/>
        <v>40.29</v>
      </c>
      <c r="V28" s="26">
        <v>10</v>
      </c>
      <c r="W28" s="3">
        <v>23.8</v>
      </c>
      <c r="X28" s="5">
        <f t="shared" si="12"/>
        <v>19.132820000000002</v>
      </c>
      <c r="Y28" s="27">
        <v>80.39</v>
      </c>
      <c r="Z28" s="3">
        <v>23.8</v>
      </c>
      <c r="AA28" s="5">
        <f t="shared" si="13"/>
        <v>2.8559999999999999</v>
      </c>
      <c r="AB28" s="27">
        <v>12</v>
      </c>
      <c r="AC28" s="5">
        <v>8</v>
      </c>
      <c r="AD28" s="5">
        <v>1</v>
      </c>
      <c r="AE28" s="89">
        <f t="shared" si="14"/>
        <v>12.5</v>
      </c>
      <c r="AF28" s="46">
        <v>12203.09</v>
      </c>
      <c r="AG28" s="46">
        <v>672.27</v>
      </c>
      <c r="AH28" s="88">
        <f t="shared" si="15"/>
        <v>5.5090145200928614E-2</v>
      </c>
      <c r="AI28" s="3">
        <v>76.709999999999994</v>
      </c>
      <c r="AJ28" s="3">
        <v>76.709999999999994</v>
      </c>
      <c r="AK28" s="3">
        <v>76.709999999999994</v>
      </c>
    </row>
    <row r="29" spans="1:37" ht="15.75" x14ac:dyDescent="0.25">
      <c r="A29" s="31" t="s">
        <v>7</v>
      </c>
      <c r="B29" s="49">
        <v>938</v>
      </c>
      <c r="C29" s="54">
        <v>521</v>
      </c>
      <c r="D29" s="56">
        <f t="shared" si="4"/>
        <v>55.543710021321957</v>
      </c>
      <c r="E29" s="49">
        <f t="shared" si="5"/>
        <v>938</v>
      </c>
      <c r="F29" s="50">
        <v>129</v>
      </c>
      <c r="G29" s="57">
        <f t="shared" si="3"/>
        <v>13.752665245202559</v>
      </c>
      <c r="H29" s="61">
        <f t="shared" si="6"/>
        <v>129</v>
      </c>
      <c r="I29" s="62">
        <f t="shared" si="7"/>
        <v>0</v>
      </c>
      <c r="J29" s="58">
        <v>0</v>
      </c>
      <c r="K29" s="40">
        <v>74</v>
      </c>
      <c r="L29" s="40">
        <f t="shared" si="8"/>
        <v>39.96</v>
      </c>
      <c r="M29" s="6">
        <v>54</v>
      </c>
      <c r="N29" s="5">
        <v>20</v>
      </c>
      <c r="O29" s="5">
        <v>2</v>
      </c>
      <c r="P29" s="6">
        <f t="shared" si="9"/>
        <v>10</v>
      </c>
      <c r="Q29" s="43">
        <v>242.7</v>
      </c>
      <c r="R29" s="5">
        <v>237.11789999999999</v>
      </c>
      <c r="S29" s="27">
        <f t="shared" si="10"/>
        <v>97.7</v>
      </c>
      <c r="T29" s="3">
        <v>809</v>
      </c>
      <c r="U29" s="5">
        <f t="shared" si="11"/>
        <v>210.34</v>
      </c>
      <c r="V29" s="26">
        <v>26</v>
      </c>
      <c r="W29" s="3">
        <v>45.65</v>
      </c>
      <c r="X29" s="5">
        <f t="shared" si="12"/>
        <v>37.734290000000001</v>
      </c>
      <c r="Y29" s="27">
        <v>82.66</v>
      </c>
      <c r="Z29" s="3">
        <v>45.65</v>
      </c>
      <c r="AA29" s="5">
        <f t="shared" si="13"/>
        <v>8.6735000000000007</v>
      </c>
      <c r="AB29" s="27">
        <v>19</v>
      </c>
      <c r="AC29" s="5">
        <v>20</v>
      </c>
      <c r="AD29" s="5">
        <v>4</v>
      </c>
      <c r="AE29" s="89">
        <f t="shared" si="14"/>
        <v>20</v>
      </c>
      <c r="AF29" s="46">
        <f>60341.02+56485.65-11.75</f>
        <v>116814.92</v>
      </c>
      <c r="AG29" s="46">
        <v>2183.8200000000002</v>
      </c>
      <c r="AH29" s="88">
        <f t="shared" si="15"/>
        <v>1.8694700985113888E-2</v>
      </c>
      <c r="AI29" s="3">
        <v>77.88</v>
      </c>
      <c r="AJ29" s="3">
        <v>77.88</v>
      </c>
      <c r="AK29" s="3">
        <v>77.88</v>
      </c>
    </row>
    <row r="30" spans="1:37" ht="16.5" thickBot="1" x14ac:dyDescent="0.3">
      <c r="A30" s="31" t="s">
        <v>9</v>
      </c>
      <c r="B30" s="51">
        <v>411.2</v>
      </c>
      <c r="C30" s="55">
        <v>180</v>
      </c>
      <c r="D30" s="56">
        <f t="shared" si="4"/>
        <v>43.774319066147861</v>
      </c>
      <c r="E30" s="51">
        <f t="shared" si="5"/>
        <v>411.2</v>
      </c>
      <c r="F30" s="52">
        <v>117.2</v>
      </c>
      <c r="G30" s="57">
        <f t="shared" si="3"/>
        <v>28.501945525291834</v>
      </c>
      <c r="H30" s="63">
        <f t="shared" si="6"/>
        <v>117.2</v>
      </c>
      <c r="I30" s="64">
        <f t="shared" si="7"/>
        <v>48.052</v>
      </c>
      <c r="J30" s="58">
        <v>41</v>
      </c>
      <c r="K30" s="40">
        <v>51</v>
      </c>
      <c r="L30" s="40">
        <f t="shared" si="8"/>
        <v>48.449999999999996</v>
      </c>
      <c r="M30" s="6">
        <v>95</v>
      </c>
      <c r="N30" s="5">
        <v>8</v>
      </c>
      <c r="O30" s="5">
        <v>2</v>
      </c>
      <c r="P30" s="6">
        <f t="shared" si="9"/>
        <v>25</v>
      </c>
      <c r="Q30" s="43">
        <v>169.2</v>
      </c>
      <c r="R30" s="5">
        <v>106.08839999999999</v>
      </c>
      <c r="S30" s="27">
        <f t="shared" si="10"/>
        <v>62.7</v>
      </c>
      <c r="T30" s="3">
        <v>391.2</v>
      </c>
      <c r="U30" s="5">
        <f t="shared" si="11"/>
        <v>19.560000000000002</v>
      </c>
      <c r="V30" s="26">
        <v>5</v>
      </c>
      <c r="W30" s="3">
        <v>30.9</v>
      </c>
      <c r="X30" s="5">
        <f t="shared" si="12"/>
        <v>29.024370000000001</v>
      </c>
      <c r="Y30" s="27">
        <v>93.93</v>
      </c>
      <c r="Z30" s="3">
        <v>30.9</v>
      </c>
      <c r="AA30" s="5">
        <f t="shared" si="13"/>
        <v>4.6349999999999998</v>
      </c>
      <c r="AB30" s="27">
        <v>15</v>
      </c>
      <c r="AC30" s="5">
        <v>8</v>
      </c>
      <c r="AD30" s="5">
        <v>1</v>
      </c>
      <c r="AE30" s="89">
        <f t="shared" si="14"/>
        <v>12.5</v>
      </c>
      <c r="AF30" s="46">
        <f>26643.52-70.7</f>
        <v>26572.82</v>
      </c>
      <c r="AG30" s="46">
        <v>819.41</v>
      </c>
      <c r="AH30" s="88">
        <f t="shared" si="15"/>
        <v>3.0836395986575754E-2</v>
      </c>
      <c r="AI30" s="3">
        <v>79.25</v>
      </c>
      <c r="AJ30" s="3">
        <v>79.25</v>
      </c>
      <c r="AK30" s="102">
        <v>79.25</v>
      </c>
    </row>
    <row r="31" spans="1:37" s="1" customFormat="1" ht="33.75" hidden="1" x14ac:dyDescent="0.5">
      <c r="A31" s="84" t="s">
        <v>85</v>
      </c>
      <c r="B31" s="65">
        <f>SUM(B21:B30)</f>
        <v>7055.5999999999995</v>
      </c>
      <c r="C31" s="65">
        <f>SUM(C21:C30)</f>
        <v>1867.1</v>
      </c>
      <c r="D31" s="80"/>
      <c r="E31" s="65">
        <f>SUM(E21:E30)</f>
        <v>7055.5999999999995</v>
      </c>
      <c r="F31" s="65">
        <f>SUM(F21:F30)</f>
        <v>1604.3</v>
      </c>
      <c r="G31" s="74">
        <f>AVERAGE(G21:G30)</f>
        <v>23.764289242303022</v>
      </c>
      <c r="H31" s="65">
        <f>SUM(H21:H30)</f>
        <v>1604.3</v>
      </c>
      <c r="I31" s="65">
        <f>SUM(I21:I30)</f>
        <v>575.70400000000006</v>
      </c>
      <c r="J31" s="80"/>
      <c r="K31" s="65">
        <f>SUM(K21:K30)</f>
        <v>810</v>
      </c>
      <c r="L31" s="65">
        <f>SUM(L21:L30)</f>
        <v>543.62</v>
      </c>
      <c r="M31" s="80"/>
      <c r="N31" s="65">
        <f>SUM(N21:N30)</f>
        <v>164</v>
      </c>
      <c r="O31" s="65">
        <f>SUM(O21:O30)</f>
        <v>18</v>
      </c>
      <c r="P31" s="80"/>
      <c r="Q31" s="65">
        <f>SUM(Q21:Q30)</f>
        <v>2244.8999999999996</v>
      </c>
      <c r="R31" s="65">
        <f>SUM(R21:R30)</f>
        <v>1621.8473999999999</v>
      </c>
      <c r="S31" s="80"/>
      <c r="T31" s="65">
        <f>SUM(T21:T30)</f>
        <v>6514.5999999999995</v>
      </c>
      <c r="U31" s="65">
        <f>SUM(U21:U30)</f>
        <v>577.38599999999997</v>
      </c>
      <c r="V31" s="104"/>
      <c r="W31" s="65">
        <f>SUM(W21:W30)</f>
        <v>548.79999999999995</v>
      </c>
      <c r="X31" s="65">
        <f>SUM(X21:X30)</f>
        <v>418.3108499999999</v>
      </c>
      <c r="Y31" s="80"/>
      <c r="Z31" s="65">
        <f>SUM(Z21:Z30)</f>
        <v>548.79999999999995</v>
      </c>
      <c r="AA31" s="65">
        <f>SUM(AA21:AA30)</f>
        <v>98.182000000000002</v>
      </c>
      <c r="AB31" s="80"/>
      <c r="AC31" s="66">
        <f>SUM(AC21:AC30)</f>
        <v>164</v>
      </c>
      <c r="AD31" s="65">
        <f>SUM(AD21:AD30)</f>
        <v>32</v>
      </c>
      <c r="AE31" s="77"/>
      <c r="AF31" s="67">
        <f>SUM(AF21:AF30)</f>
        <v>311719.88</v>
      </c>
      <c r="AG31" s="67">
        <f>SUM(AG21:AG30)</f>
        <v>9314.2999999999993</v>
      </c>
      <c r="AH31" s="73"/>
      <c r="AI31" s="67">
        <f>SUM(AI21:AI30)</f>
        <v>738.45</v>
      </c>
      <c r="AJ31" s="67">
        <f>SUM(AJ21:AJ30)</f>
        <v>738.45</v>
      </c>
      <c r="AK31" s="103"/>
    </row>
    <row r="32" spans="1:37" s="1" customFormat="1" ht="21" hidden="1" x14ac:dyDescent="0.25">
      <c r="A32" s="84" t="s">
        <v>86</v>
      </c>
      <c r="B32" s="68">
        <f t="shared" ref="B32:AK32" si="16">AVERAGE(B21:B30)</f>
        <v>705.56</v>
      </c>
      <c r="C32" s="118">
        <f t="shared" si="16"/>
        <v>186.70999999999998</v>
      </c>
      <c r="D32" s="118">
        <f t="shared" si="16"/>
        <v>25.707961581264566</v>
      </c>
      <c r="E32" s="68">
        <f t="shared" si="16"/>
        <v>705.56</v>
      </c>
      <c r="F32" s="118">
        <f t="shared" si="16"/>
        <v>160.43</v>
      </c>
      <c r="G32" s="118">
        <f>AVERAGE(G21:G30)</f>
        <v>23.764289242303022</v>
      </c>
      <c r="H32" s="68">
        <f t="shared" si="16"/>
        <v>160.43</v>
      </c>
      <c r="I32" s="118">
        <f t="shared" si="16"/>
        <v>57.570400000000006</v>
      </c>
      <c r="J32" s="118">
        <f t="shared" si="16"/>
        <v>37.6</v>
      </c>
      <c r="K32" s="68">
        <f t="shared" si="16"/>
        <v>81</v>
      </c>
      <c r="L32" s="118">
        <f t="shared" si="16"/>
        <v>54.362000000000002</v>
      </c>
      <c r="M32" s="118">
        <f t="shared" si="16"/>
        <v>71.2</v>
      </c>
      <c r="N32" s="68">
        <f t="shared" si="16"/>
        <v>16.399999999999999</v>
      </c>
      <c r="O32" s="118">
        <f t="shared" si="16"/>
        <v>1.8</v>
      </c>
      <c r="P32" s="118">
        <f t="shared" si="16"/>
        <v>11.55</v>
      </c>
      <c r="Q32" s="68">
        <f t="shared" si="16"/>
        <v>224.48999999999995</v>
      </c>
      <c r="R32" s="118">
        <f t="shared" si="16"/>
        <v>162.18473999999998</v>
      </c>
      <c r="S32" s="118">
        <f t="shared" si="16"/>
        <v>71.810000000000016</v>
      </c>
      <c r="T32" s="68">
        <f t="shared" si="16"/>
        <v>651.45999999999992</v>
      </c>
      <c r="U32" s="118">
        <f t="shared" si="16"/>
        <v>57.738599999999998</v>
      </c>
      <c r="V32" s="118">
        <f t="shared" si="16"/>
        <v>9.1999999999999993</v>
      </c>
      <c r="W32" s="68">
        <f t="shared" si="16"/>
        <v>54.879999999999995</v>
      </c>
      <c r="X32" s="118">
        <f t="shared" si="16"/>
        <v>41.831084999999987</v>
      </c>
      <c r="Y32" s="118">
        <f t="shared" si="16"/>
        <v>78.035000000000011</v>
      </c>
      <c r="Z32" s="68">
        <f t="shared" si="16"/>
        <v>54.879999999999995</v>
      </c>
      <c r="AA32" s="118">
        <f t="shared" si="16"/>
        <v>9.8182000000000009</v>
      </c>
      <c r="AB32" s="118">
        <f t="shared" si="16"/>
        <v>17.2</v>
      </c>
      <c r="AC32" s="68">
        <f t="shared" si="16"/>
        <v>16.399999999999999</v>
      </c>
      <c r="AD32" s="118">
        <f t="shared" si="16"/>
        <v>3.2</v>
      </c>
      <c r="AE32" s="118">
        <f t="shared" si="16"/>
        <v>18.68333333333333</v>
      </c>
      <c r="AF32" s="68">
        <f t="shared" si="16"/>
        <v>31171.988000000001</v>
      </c>
      <c r="AG32" s="118">
        <f t="shared" si="16"/>
        <v>931.43</v>
      </c>
      <c r="AH32" s="118">
        <f t="shared" si="16"/>
        <v>4.4519136696568484E-2</v>
      </c>
      <c r="AI32" s="68">
        <f t="shared" si="16"/>
        <v>73.844999999999999</v>
      </c>
      <c r="AJ32" s="118">
        <f t="shared" si="16"/>
        <v>73.844999999999999</v>
      </c>
      <c r="AK32" s="118">
        <f t="shared" si="16"/>
        <v>73.844999999999999</v>
      </c>
    </row>
    <row r="33" spans="1:38" s="68" customFormat="1" hidden="1" x14ac:dyDescent="0.25">
      <c r="A33" s="85" t="s">
        <v>87</v>
      </c>
      <c r="B33" s="68">
        <f>B31/1000</f>
        <v>7.0555999999999992</v>
      </c>
      <c r="C33" s="68">
        <f t="shared" ref="C33:AG33" si="17">C31/1000</f>
        <v>1.8671</v>
      </c>
      <c r="D33" s="74"/>
      <c r="E33" s="68">
        <f t="shared" si="17"/>
        <v>7.0555999999999992</v>
      </c>
      <c r="F33" s="68">
        <f t="shared" si="17"/>
        <v>1.6043000000000001</v>
      </c>
      <c r="G33" s="74"/>
      <c r="H33" s="68">
        <f t="shared" si="17"/>
        <v>1.6043000000000001</v>
      </c>
      <c r="I33" s="68">
        <f t="shared" si="17"/>
        <v>0.5757040000000001</v>
      </c>
      <c r="J33" s="74"/>
      <c r="K33" s="68">
        <f t="shared" si="17"/>
        <v>0.81</v>
      </c>
      <c r="L33" s="68">
        <f t="shared" si="17"/>
        <v>0.54361999999999999</v>
      </c>
      <c r="M33" s="74"/>
      <c r="N33" s="68">
        <f t="shared" si="17"/>
        <v>0.16400000000000001</v>
      </c>
      <c r="O33" s="68">
        <f t="shared" si="17"/>
        <v>1.7999999999999999E-2</v>
      </c>
      <c r="P33" s="74"/>
      <c r="Q33" s="68">
        <f t="shared" si="17"/>
        <v>2.2448999999999995</v>
      </c>
      <c r="R33" s="68">
        <f t="shared" si="17"/>
        <v>1.6218473999999998</v>
      </c>
      <c r="S33" s="74"/>
      <c r="T33" s="68">
        <f t="shared" si="17"/>
        <v>6.5145999999999997</v>
      </c>
      <c r="U33" s="68">
        <f t="shared" si="17"/>
        <v>0.57738599999999995</v>
      </c>
      <c r="V33" s="74"/>
      <c r="W33" s="68">
        <f t="shared" si="17"/>
        <v>0.54879999999999995</v>
      </c>
      <c r="X33" s="68">
        <f t="shared" si="17"/>
        <v>0.4183108499999999</v>
      </c>
      <c r="Y33" s="74"/>
      <c r="Z33" s="68">
        <f t="shared" si="17"/>
        <v>0.54879999999999995</v>
      </c>
      <c r="AA33" s="68">
        <f t="shared" si="17"/>
        <v>9.8182000000000005E-2</v>
      </c>
      <c r="AB33" s="74"/>
      <c r="AC33" s="68">
        <f t="shared" si="17"/>
        <v>0.16400000000000001</v>
      </c>
      <c r="AD33" s="68">
        <f t="shared" si="17"/>
        <v>3.2000000000000001E-2</v>
      </c>
      <c r="AE33" s="74"/>
      <c r="AF33" s="68">
        <f t="shared" si="17"/>
        <v>311.71987999999999</v>
      </c>
      <c r="AG33" s="68">
        <f t="shared" si="17"/>
        <v>9.3142999999999994</v>
      </c>
      <c r="AH33" s="74"/>
      <c r="AI33" s="68">
        <f t="shared" ref="AI33:AJ33" si="18">AI31/1000</f>
        <v>0.73845000000000005</v>
      </c>
      <c r="AJ33" s="68">
        <f t="shared" si="18"/>
        <v>0.73845000000000005</v>
      </c>
      <c r="AK33" s="74"/>
    </row>
    <row r="34" spans="1:38" ht="26.25" hidden="1" customHeight="1" x14ac:dyDescent="0.25">
      <c r="A34" s="86" t="s">
        <v>88</v>
      </c>
      <c r="B34" s="71">
        <f>B33/C33</f>
        <v>3.7789084676771458</v>
      </c>
      <c r="C34" s="145" t="s">
        <v>107</v>
      </c>
      <c r="D34" s="82"/>
      <c r="E34" s="71">
        <f>E33/F33</f>
        <v>4.3979305616156577</v>
      </c>
      <c r="F34" s="145" t="s">
        <v>93</v>
      </c>
      <c r="G34" s="82"/>
      <c r="H34" s="71">
        <f>H33/I33</f>
        <v>2.786675096924808</v>
      </c>
      <c r="I34" s="145" t="s">
        <v>100</v>
      </c>
      <c r="J34" s="82"/>
      <c r="K34" s="71">
        <f>K33/L33</f>
        <v>1.4900114050255695</v>
      </c>
      <c r="L34" s="146" t="s">
        <v>94</v>
      </c>
      <c r="M34" s="147" t="s">
        <v>102</v>
      </c>
      <c r="N34" s="71">
        <f>N33/O33</f>
        <v>9.1111111111111125</v>
      </c>
      <c r="O34" s="142" t="s">
        <v>101</v>
      </c>
      <c r="P34" s="82"/>
      <c r="Q34" s="71">
        <f>Q33/R33</f>
        <v>1.3841622830853257</v>
      </c>
      <c r="R34" s="146" t="s">
        <v>89</v>
      </c>
      <c r="S34" s="147" t="s">
        <v>97</v>
      </c>
      <c r="T34" s="71">
        <f>T33/U33</f>
        <v>11.282919918390817</v>
      </c>
      <c r="U34" s="145" t="s">
        <v>106</v>
      </c>
      <c r="V34" s="82"/>
      <c r="W34" s="71">
        <f>W33/X33</f>
        <v>1.3119430203639233</v>
      </c>
      <c r="X34" s="146" t="s">
        <v>90</v>
      </c>
      <c r="Y34" s="147" t="s">
        <v>103</v>
      </c>
      <c r="Z34" s="71">
        <f>Z33/AA33</f>
        <v>5.5896192784828171</v>
      </c>
      <c r="AA34" s="145" t="s">
        <v>92</v>
      </c>
      <c r="AB34" s="23"/>
      <c r="AC34" s="71">
        <f>AC33/AD33</f>
        <v>5.125</v>
      </c>
      <c r="AD34" s="142" t="s">
        <v>101</v>
      </c>
      <c r="AE34" s="78"/>
      <c r="AF34" s="71">
        <f>AF33/AG33</f>
        <v>33.466806952750076</v>
      </c>
      <c r="AG34" s="145" t="s">
        <v>91</v>
      </c>
      <c r="AH34" s="75"/>
      <c r="AI34" s="71">
        <f>AI33/AJ33</f>
        <v>1</v>
      </c>
      <c r="AJ34" s="145" t="s">
        <v>105</v>
      </c>
      <c r="AK34" s="75"/>
    </row>
    <row r="35" spans="1:38" ht="44.25" hidden="1" customHeight="1" x14ac:dyDescent="0.25">
      <c r="A35" s="69"/>
      <c r="B35" s="72">
        <f>B32/B34</f>
        <v>186.71</v>
      </c>
      <c r="C35" s="145"/>
      <c r="D35" s="82"/>
      <c r="E35" s="72">
        <f>E32/E34</f>
        <v>160.43</v>
      </c>
      <c r="F35" s="145"/>
      <c r="G35" s="82"/>
      <c r="H35" s="72">
        <f>H32/H34</f>
        <v>57.570400000000014</v>
      </c>
      <c r="I35" s="145"/>
      <c r="J35" s="82"/>
      <c r="K35" s="72">
        <f>K32/K34</f>
        <v>54.361999999999995</v>
      </c>
      <c r="L35" s="146"/>
      <c r="M35" s="147"/>
      <c r="N35" s="72">
        <f>N32/N34</f>
        <v>1.7999999999999996</v>
      </c>
      <c r="O35" s="142"/>
      <c r="P35" s="82"/>
      <c r="Q35" s="72">
        <f>Q32/Q34</f>
        <v>162.18474000000001</v>
      </c>
      <c r="R35" s="146"/>
      <c r="S35" s="147"/>
      <c r="T35" s="72">
        <f>T32/T34</f>
        <v>57.738599999999991</v>
      </c>
      <c r="U35" s="145"/>
      <c r="V35" s="82"/>
      <c r="W35" s="72">
        <f>W32/W34</f>
        <v>41.831084999999995</v>
      </c>
      <c r="X35" s="146"/>
      <c r="Y35" s="147"/>
      <c r="Z35" s="72">
        <f>Z32/Z34</f>
        <v>9.8181999999999992</v>
      </c>
      <c r="AA35" s="145"/>
      <c r="AB35" s="23"/>
      <c r="AC35" s="72">
        <f>AC32/AC34</f>
        <v>3.1999999999999997</v>
      </c>
      <c r="AD35" s="142"/>
      <c r="AE35" s="78"/>
      <c r="AF35" s="72">
        <f>AF32/AF34</f>
        <v>931.43</v>
      </c>
      <c r="AG35" s="145"/>
      <c r="AH35" s="75"/>
      <c r="AI35" s="72">
        <f>AI32/AI34</f>
        <v>73.844999999999999</v>
      </c>
      <c r="AJ35" s="145"/>
      <c r="AK35" s="75"/>
    </row>
    <row r="36" spans="1:38" s="98" customFormat="1" ht="26.25" hidden="1" x14ac:dyDescent="0.4">
      <c r="A36" s="90"/>
      <c r="B36" s="91">
        <f>B35/B34</f>
        <v>49.408447332615239</v>
      </c>
      <c r="C36" s="91"/>
      <c r="D36" s="92"/>
      <c r="E36" s="91">
        <f>E35/E34</f>
        <v>36.478520466012817</v>
      </c>
      <c r="F36" s="91"/>
      <c r="G36" s="92"/>
      <c r="H36" s="91">
        <f>H35/H34</f>
        <v>20.659171951380674</v>
      </c>
      <c r="I36" s="91"/>
      <c r="J36" s="92"/>
      <c r="K36" s="93">
        <f>K35/K34</f>
        <v>36.484284493827154</v>
      </c>
      <c r="L36" s="91"/>
      <c r="M36" s="92"/>
      <c r="N36" s="94">
        <f>N35/N34</f>
        <v>0.19756097560975602</v>
      </c>
      <c r="O36" s="91"/>
      <c r="P36" s="92"/>
      <c r="Q36" s="93">
        <f>Q35/Q34</f>
        <v>117.1717666215315</v>
      </c>
      <c r="R36" s="91"/>
      <c r="S36" s="92"/>
      <c r="T36" s="91">
        <f>T35/T34</f>
        <v>5.1173455468639659</v>
      </c>
      <c r="U36" s="91"/>
      <c r="V36" s="92"/>
      <c r="W36" s="93">
        <f>W35/W34</f>
        <v>31.884833678520856</v>
      </c>
      <c r="X36" s="91"/>
      <c r="Y36" s="92"/>
      <c r="Z36" s="91">
        <f>Z35/Z34</f>
        <v>1.7565060357142857</v>
      </c>
      <c r="AA36" s="91"/>
      <c r="AB36" s="95"/>
      <c r="AC36" s="94">
        <f>AC35/AC34</f>
        <v>0.62439024390243902</v>
      </c>
      <c r="AD36" s="91"/>
      <c r="AE36" s="96"/>
      <c r="AF36" s="91">
        <f>AF35/AF34</f>
        <v>27.831457040853468</v>
      </c>
      <c r="AG36" s="91"/>
      <c r="AH36" s="97"/>
      <c r="AI36" s="91">
        <f>AI35/AI34</f>
        <v>73.844999999999999</v>
      </c>
      <c r="AJ36" s="91"/>
      <c r="AK36" s="97"/>
    </row>
    <row r="37" spans="1:38" ht="35.25" hidden="1" x14ac:dyDescent="0.4">
      <c r="A37" s="69" t="s">
        <v>98</v>
      </c>
      <c r="B37" s="99">
        <v>69</v>
      </c>
      <c r="C37" s="70"/>
      <c r="D37" s="83"/>
      <c r="E37" s="22">
        <v>26</v>
      </c>
      <c r="F37" s="70"/>
      <c r="G37" s="83"/>
      <c r="H37" s="22">
        <v>40</v>
      </c>
      <c r="I37" s="70"/>
      <c r="J37" s="83"/>
      <c r="K37" s="22">
        <v>100</v>
      </c>
      <c r="L37" s="70"/>
      <c r="M37" s="83"/>
      <c r="N37" s="99">
        <v>20</v>
      </c>
      <c r="O37" s="70"/>
      <c r="P37" s="83"/>
      <c r="Q37" s="22">
        <v>100</v>
      </c>
      <c r="R37" s="70"/>
      <c r="S37" s="83"/>
      <c r="T37" s="22">
        <v>15.9</v>
      </c>
      <c r="U37" s="70"/>
      <c r="V37" s="83"/>
      <c r="W37" s="22">
        <v>80</v>
      </c>
      <c r="X37" s="70"/>
      <c r="Y37" s="83"/>
      <c r="Z37" s="22">
        <v>30</v>
      </c>
      <c r="AA37" s="70"/>
      <c r="AB37" s="81"/>
      <c r="AC37" s="22">
        <v>30</v>
      </c>
      <c r="AD37" s="70"/>
      <c r="AE37" s="79"/>
      <c r="AF37" s="22">
        <v>0</v>
      </c>
      <c r="AG37" s="70"/>
      <c r="AH37" s="76"/>
      <c r="AI37" s="22">
        <v>0</v>
      </c>
      <c r="AJ37" s="70"/>
      <c r="AK37" s="76"/>
    </row>
    <row r="38" spans="1:38" ht="14.25" hidden="1" customHeight="1" x14ac:dyDescent="0.4">
      <c r="A38" s="69" t="s">
        <v>99</v>
      </c>
      <c r="B38" s="68">
        <f>MEDIAN(B21:B30)</f>
        <v>516.4</v>
      </c>
      <c r="C38" s="68">
        <f>MEDIAN(C21:C30)</f>
        <v>154.5</v>
      </c>
      <c r="D38" s="83"/>
      <c r="E38" s="68">
        <f>MEDIAN(E21:E30)</f>
        <v>516.4</v>
      </c>
      <c r="F38" s="68">
        <f>MEDIAN(F21:F30)</f>
        <v>127.5</v>
      </c>
      <c r="G38" s="68"/>
      <c r="H38" s="68">
        <f>MEDIAN(H21:H30)</f>
        <v>127.5</v>
      </c>
      <c r="I38" s="68">
        <f>MEDIAN(I21:I30)</f>
        <v>49.959000000000003</v>
      </c>
      <c r="J38" s="83"/>
      <c r="K38" s="68">
        <f>MEDIAN(K21:K30)</f>
        <v>71</v>
      </c>
      <c r="L38" s="68">
        <f>MEDIAN(L21:L30)</f>
        <v>44.625</v>
      </c>
      <c r="M38" s="83"/>
      <c r="N38" s="68">
        <f>MEDIAN(N21:N30)</f>
        <v>17.5</v>
      </c>
      <c r="O38" s="68">
        <f>MEDIAN(O21:O30)</f>
        <v>2</v>
      </c>
      <c r="P38" s="68">
        <f>MEDIAN(P21:P30)</f>
        <v>11.25</v>
      </c>
      <c r="Q38" s="68">
        <f>MEDIAN(Q21:Q30)</f>
        <v>194.1</v>
      </c>
      <c r="R38" s="68">
        <f>MEDIAN(R21:R30)</f>
        <v>122.37315</v>
      </c>
      <c r="S38" s="83"/>
      <c r="T38" s="68">
        <f>MEDIAN(T21:T30)</f>
        <v>457.9</v>
      </c>
      <c r="U38" s="68">
        <f>MEDIAN(U21:U30)</f>
        <v>37.567999999999998</v>
      </c>
      <c r="V38" s="83"/>
      <c r="W38" s="68">
        <f>MEDIAN(W21:W30)</f>
        <v>43.7</v>
      </c>
      <c r="X38" s="68">
        <f>MEDIAN(X21:X30)</f>
        <v>36.579582500000001</v>
      </c>
      <c r="Y38" s="83"/>
      <c r="Z38" s="68">
        <f>MEDIAN(Z21:Z30)</f>
        <v>43.7</v>
      </c>
      <c r="AA38" s="68">
        <f>MEDIAN(AA21:AA30)</f>
        <v>6.6835000000000004</v>
      </c>
      <c r="AB38" s="81"/>
      <c r="AC38" s="68">
        <f>MEDIAN(AC21:AC30)</f>
        <v>17.5</v>
      </c>
      <c r="AD38" s="68">
        <f>MEDIAN(AD21:AD30)</f>
        <v>4</v>
      </c>
      <c r="AE38" s="79"/>
      <c r="AF38" s="68">
        <f>MEDIAN(AF21:AF30)</f>
        <v>19935.199999999997</v>
      </c>
      <c r="AG38" s="68">
        <f>MEDIAN(AG21:AG30)</f>
        <v>745.83999999999992</v>
      </c>
      <c r="AH38" s="76"/>
      <c r="AI38" s="68">
        <f>MEDIAN(AI21:AI30)</f>
        <v>74.174999999999997</v>
      </c>
      <c r="AJ38" s="68">
        <f>MEDIAN(AJ21:AJ30)</f>
        <v>74.174999999999997</v>
      </c>
      <c r="AK38" s="76"/>
    </row>
    <row r="39" spans="1:38" s="1" customFormat="1" hidden="1" x14ac:dyDescent="0.25">
      <c r="A39" s="84" t="s">
        <v>86</v>
      </c>
      <c r="B39" s="68">
        <f>AVERAGE(B21:B30)</f>
        <v>705.56</v>
      </c>
      <c r="C39" s="68">
        <f>AVERAGE(C21:C30)</f>
        <v>186.70999999999998</v>
      </c>
      <c r="D39" s="68"/>
      <c r="E39" s="68">
        <f>AVERAGE(E21:E30)</f>
        <v>705.56</v>
      </c>
      <c r="F39" s="68">
        <f>AVERAGE(F21:F30)</f>
        <v>160.43</v>
      </c>
      <c r="G39" s="80"/>
      <c r="H39" s="68">
        <f>AVERAGE(H21:H30)</f>
        <v>160.43</v>
      </c>
      <c r="I39" s="68">
        <f>AVERAGE(I21:I30)</f>
        <v>57.570400000000006</v>
      </c>
      <c r="J39" s="80"/>
      <c r="K39" s="68">
        <f>AVERAGE(K21:K30)</f>
        <v>81</v>
      </c>
      <c r="L39" s="68">
        <f>AVERAGE(L21:L30)</f>
        <v>54.362000000000002</v>
      </c>
      <c r="M39" s="68">
        <f>AVERAGE(M21:M30)</f>
        <v>71.2</v>
      </c>
      <c r="N39" s="68">
        <f>AVERAGE(N21:N30)</f>
        <v>16.399999999999999</v>
      </c>
      <c r="O39" s="68">
        <f>AVERAGE(O21:O30)</f>
        <v>1.8</v>
      </c>
      <c r="P39" s="80"/>
      <c r="Q39" s="68">
        <f>AVERAGE(Q21:Q30)</f>
        <v>224.48999999999995</v>
      </c>
      <c r="R39" s="68">
        <f>AVERAGE(R21:R30)</f>
        <v>162.18473999999998</v>
      </c>
      <c r="S39" s="68">
        <f>AVERAGE(S21:S30)</f>
        <v>71.810000000000016</v>
      </c>
      <c r="T39" s="68">
        <f>AVERAGE(T21:T30)</f>
        <v>651.45999999999992</v>
      </c>
      <c r="U39" s="68">
        <f>AVERAGE(U21:U30)</f>
        <v>57.738599999999998</v>
      </c>
      <c r="V39" s="80"/>
      <c r="W39" s="68">
        <f>AVERAGE(W21:W30)</f>
        <v>54.879999999999995</v>
      </c>
      <c r="X39" s="68">
        <f>AVERAGE(X21:X30)</f>
        <v>41.831084999999987</v>
      </c>
      <c r="Y39" s="68">
        <f>AVERAGE(Y21:Y30)</f>
        <v>78.035000000000011</v>
      </c>
      <c r="Z39" s="68">
        <f>AVERAGE(Z21:Z30)</f>
        <v>54.879999999999995</v>
      </c>
      <c r="AA39" s="68">
        <f>AVERAGE(AA21:AA30)</f>
        <v>9.8182000000000009</v>
      </c>
      <c r="AB39" s="80"/>
      <c r="AC39" s="68">
        <f>AVERAGE(AC21:AC30)</f>
        <v>16.399999999999999</v>
      </c>
      <c r="AD39" s="68">
        <f>AVERAGE(AD21:AD30)</f>
        <v>3.2</v>
      </c>
      <c r="AE39" s="77"/>
      <c r="AF39" s="68">
        <f>AVERAGE(AF21:AF30)</f>
        <v>31171.988000000001</v>
      </c>
      <c r="AG39" s="68">
        <f>AVERAGE(AG21:AG30)</f>
        <v>931.43</v>
      </c>
      <c r="AH39" s="73"/>
      <c r="AI39" s="68">
        <f>AVERAGE(AI21:AI30)</f>
        <v>73.844999999999999</v>
      </c>
      <c r="AJ39" s="68">
        <f>AVERAGE(AJ21:AJ30)</f>
        <v>73.844999999999999</v>
      </c>
      <c r="AK39" s="73"/>
    </row>
    <row r="40" spans="1:38" s="107" customFormat="1" hidden="1" x14ac:dyDescent="0.25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</row>
    <row r="41" spans="1:38" s="107" customFormat="1" hidden="1" x14ac:dyDescent="0.25">
      <c r="A41" s="108"/>
      <c r="B41" s="108"/>
      <c r="C41" s="108"/>
      <c r="D41" s="119">
        <f>B37/100</f>
        <v>0.69</v>
      </c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</row>
    <row r="42" spans="1:38" s="107" customFormat="1" hidden="1" x14ac:dyDescent="0.25"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K42" s="105"/>
      <c r="AL42" s="105"/>
    </row>
    <row r="43" spans="1:38" s="107" customFormat="1" hidden="1" x14ac:dyDescent="0.25"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K43" s="105"/>
      <c r="AL43" s="105"/>
    </row>
    <row r="44" spans="1:38" s="107" customFormat="1" ht="31.5" hidden="1" x14ac:dyDescent="0.5">
      <c r="B44" s="105"/>
      <c r="C44" s="105">
        <f>D32</f>
        <v>25.707961581264566</v>
      </c>
      <c r="D44" s="120">
        <f>C44*1.556</f>
        <v>40.001588220447665</v>
      </c>
      <c r="F44" s="105">
        <f>G32</f>
        <v>23.764289242303022</v>
      </c>
      <c r="G44" s="121">
        <f>F44*1.6833</f>
        <v>40.002428081568674</v>
      </c>
      <c r="I44" s="105">
        <f>J32</f>
        <v>37.6</v>
      </c>
      <c r="J44" s="121">
        <f>I44*1.0638</f>
        <v>39.998880000000007</v>
      </c>
      <c r="K44" s="105"/>
      <c r="L44" s="105">
        <f>M32</f>
        <v>71.2</v>
      </c>
      <c r="M44" s="121">
        <f>L44*0.5618</f>
        <v>40.000160000000001</v>
      </c>
      <c r="N44" s="105"/>
      <c r="O44" s="105">
        <f>P32</f>
        <v>11.55</v>
      </c>
      <c r="P44" s="121">
        <f>O44*3.463</f>
        <v>39.99765</v>
      </c>
      <c r="Q44" s="105"/>
      <c r="R44" s="105">
        <f>S32</f>
        <v>71.810000000000016</v>
      </c>
      <c r="S44" s="121">
        <f>R44*0.557</f>
        <v>39.998170000000016</v>
      </c>
      <c r="T44" s="105"/>
      <c r="U44" s="105">
        <f>V32</f>
        <v>9.1999999999999993</v>
      </c>
      <c r="V44" s="121">
        <f>U44*4.348</f>
        <v>40.001599999999996</v>
      </c>
      <c r="W44" s="105"/>
      <c r="X44" s="105">
        <f>Y32</f>
        <v>78.035000000000011</v>
      </c>
      <c r="Y44" s="121">
        <f>X44*0.5126</f>
        <v>40.000740999999998</v>
      </c>
      <c r="Z44" s="105"/>
      <c r="AA44" s="105">
        <f>AB32</f>
        <v>17.2</v>
      </c>
      <c r="AB44" s="121">
        <f>AA44*2.3255</f>
        <v>39.998599999999996</v>
      </c>
      <c r="AC44" s="105"/>
      <c r="AD44" s="105">
        <f>AE32</f>
        <v>18.68333333333333</v>
      </c>
      <c r="AE44" s="121">
        <f>AD44*2.141</f>
        <v>40.001016666666658</v>
      </c>
      <c r="AF44" s="105"/>
      <c r="AG44" s="105">
        <f>AH32</f>
        <v>4.4519136696568484E-2</v>
      </c>
      <c r="AH44" s="121">
        <f>AG44*899</f>
        <v>40.02270389021507</v>
      </c>
      <c r="AJ44" s="105">
        <f>AK32</f>
        <v>73.844999999999999</v>
      </c>
      <c r="AK44" s="121">
        <f>AJ44*0.542</f>
        <v>40.023990000000005</v>
      </c>
      <c r="AL44" s="105"/>
    </row>
    <row r="45" spans="1:38" s="107" customFormat="1" hidden="1" x14ac:dyDescent="0.25">
      <c r="A45" s="107" t="s">
        <v>108</v>
      </c>
      <c r="B45" s="105"/>
      <c r="C45" s="105">
        <f>D44/C44</f>
        <v>1.556</v>
      </c>
      <c r="D45" s="105"/>
      <c r="E45" s="105"/>
      <c r="F45" s="105">
        <f>G44/F44</f>
        <v>1.6832999999999998</v>
      </c>
      <c r="G45" s="105"/>
      <c r="H45" s="105"/>
      <c r="I45" s="105">
        <f>J44/I44</f>
        <v>1.0638000000000001</v>
      </c>
      <c r="J45" s="105"/>
      <c r="K45" s="105"/>
      <c r="L45" s="105">
        <f>M44/L44</f>
        <v>0.56179999999999997</v>
      </c>
      <c r="M45" s="105"/>
      <c r="N45" s="105"/>
      <c r="O45" s="105">
        <f>P44/O44</f>
        <v>3.4629999999999996</v>
      </c>
      <c r="P45" s="105"/>
      <c r="Q45" s="105"/>
      <c r="R45" s="105">
        <f>S44/R44</f>
        <v>0.55700000000000005</v>
      </c>
      <c r="S45" s="105"/>
      <c r="T45" s="105"/>
      <c r="U45" s="105">
        <f>V44/U44</f>
        <v>4.3479999999999999</v>
      </c>
      <c r="V45" s="105"/>
      <c r="W45" s="105"/>
      <c r="X45" s="105">
        <f>Y44/X44</f>
        <v>0.51259999999999994</v>
      </c>
      <c r="Y45" s="105"/>
      <c r="Z45" s="105"/>
      <c r="AA45" s="105">
        <f>AB44/AA44</f>
        <v>2.3254999999999999</v>
      </c>
      <c r="AB45" s="105"/>
      <c r="AC45" s="105"/>
      <c r="AD45" s="105">
        <f>AE44/AD44</f>
        <v>2.141</v>
      </c>
      <c r="AE45" s="105"/>
      <c r="AF45" s="105"/>
      <c r="AG45" s="105">
        <f>AH44/AG44</f>
        <v>899</v>
      </c>
      <c r="AH45" s="105"/>
      <c r="AJ45" s="105">
        <f>AK44/AJ44</f>
        <v>0.54200000000000004</v>
      </c>
      <c r="AK45" s="105"/>
      <c r="AL45" s="105"/>
    </row>
    <row r="46" spans="1:38" s="107" customFormat="1" x14ac:dyDescent="0.25">
      <c r="A46" s="107" t="s">
        <v>109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K46" s="105"/>
      <c r="AL46" s="105"/>
    </row>
    <row r="47" spans="1:38" s="107" customFormat="1" x14ac:dyDescent="0.25">
      <c r="B47" s="128" t="s">
        <v>110</v>
      </c>
      <c r="C47" s="129" t="s">
        <v>112</v>
      </c>
      <c r="D47" s="130" t="s">
        <v>111</v>
      </c>
      <c r="E47" s="128" t="s">
        <v>110</v>
      </c>
      <c r="F47" s="129" t="s">
        <v>112</v>
      </c>
      <c r="G47" s="129" t="s">
        <v>111</v>
      </c>
      <c r="H47" s="128" t="s">
        <v>110</v>
      </c>
      <c r="I47" s="129" t="s">
        <v>112</v>
      </c>
      <c r="J47" s="130" t="s">
        <v>111</v>
      </c>
      <c r="K47" s="128" t="s">
        <v>110</v>
      </c>
      <c r="L47" s="129" t="s">
        <v>112</v>
      </c>
      <c r="M47" s="130" t="s">
        <v>111</v>
      </c>
      <c r="N47" s="128" t="s">
        <v>110</v>
      </c>
      <c r="O47" s="129" t="s">
        <v>112</v>
      </c>
      <c r="P47" s="130" t="s">
        <v>111</v>
      </c>
      <c r="Q47" s="128" t="s">
        <v>110</v>
      </c>
      <c r="R47" s="129" t="s">
        <v>112</v>
      </c>
      <c r="S47" s="130" t="s">
        <v>111</v>
      </c>
      <c r="T47" s="128" t="s">
        <v>110</v>
      </c>
      <c r="U47" s="129" t="s">
        <v>112</v>
      </c>
      <c r="V47" s="130" t="s">
        <v>111</v>
      </c>
      <c r="W47" s="128" t="s">
        <v>110</v>
      </c>
      <c r="X47" s="129" t="s">
        <v>112</v>
      </c>
      <c r="Y47" s="130" t="s">
        <v>111</v>
      </c>
      <c r="Z47" s="128" t="s">
        <v>110</v>
      </c>
      <c r="AA47" s="129" t="s">
        <v>112</v>
      </c>
      <c r="AB47" s="130" t="s">
        <v>111</v>
      </c>
      <c r="AC47" s="128" t="s">
        <v>110</v>
      </c>
      <c r="AD47" s="129" t="s">
        <v>112</v>
      </c>
      <c r="AE47" s="130" t="s">
        <v>111</v>
      </c>
      <c r="AF47" s="128" t="s">
        <v>110</v>
      </c>
      <c r="AG47" s="129" t="s">
        <v>112</v>
      </c>
      <c r="AH47" s="130" t="s">
        <v>111</v>
      </c>
      <c r="AI47" s="128" t="s">
        <v>110</v>
      </c>
      <c r="AJ47" s="129" t="s">
        <v>112</v>
      </c>
      <c r="AK47" s="130" t="s">
        <v>111</v>
      </c>
      <c r="AL47" s="105"/>
    </row>
    <row r="48" spans="1:38" s="107" customFormat="1" ht="15.75" x14ac:dyDescent="0.25">
      <c r="A48" s="31" t="s">
        <v>0</v>
      </c>
      <c r="B48" s="131">
        <f>IF(((1/B15)*D21)&gt;1,1,(1/B15)*D21)</f>
        <v>0.15235100896153866</v>
      </c>
      <c r="C48" s="105">
        <f>SQRT(B48)</f>
        <v>0.39032167370201037</v>
      </c>
      <c r="D48" s="132">
        <f>C48</f>
        <v>0.39032167370201037</v>
      </c>
      <c r="E48" s="131">
        <f>IF(((1/C15)*G21)&gt;1,1,(1/C15)*G21)</f>
        <v>1</v>
      </c>
      <c r="F48" s="105">
        <f>SQRT(E48)</f>
        <v>1</v>
      </c>
      <c r="G48" s="132">
        <f>F48</f>
        <v>1</v>
      </c>
      <c r="H48" s="131">
        <f>IF(((1/D15)*J21)&gt;1,1,(1/D15)*J21)</f>
        <v>0.52</v>
      </c>
      <c r="I48" s="105">
        <f>SQRT(H48)</f>
        <v>0.72111025509279791</v>
      </c>
      <c r="J48" s="132">
        <f>I48</f>
        <v>0.72111025509279791</v>
      </c>
      <c r="K48" s="131">
        <f>IF(((1/F15)*M21)&gt;1,1,(1/F15)*M21)</f>
        <v>0.94000000000000006</v>
      </c>
      <c r="L48" s="105">
        <f>SQRT(K48)</f>
        <v>0.96953597148326587</v>
      </c>
      <c r="M48" s="132">
        <f>L48</f>
        <v>0.96953597148326587</v>
      </c>
      <c r="N48" s="131">
        <f>IF(((1/G15)*P21)&gt;1,1,(1/G15)*P21)</f>
        <v>0</v>
      </c>
      <c r="O48" s="105">
        <f>SQRT(N48)</f>
        <v>0</v>
      </c>
      <c r="P48" s="132">
        <f>O48</f>
        <v>0</v>
      </c>
      <c r="Q48" s="131">
        <f>IF(((1/H15)*S21)&gt;1,1,(1/H15)*S21)</f>
        <v>0.70000000000000007</v>
      </c>
      <c r="R48" s="105">
        <f>SQRT(Q48)</f>
        <v>0.83666002653407556</v>
      </c>
      <c r="S48" s="132">
        <f>R48</f>
        <v>0.83666002653407556</v>
      </c>
      <c r="T48" s="131">
        <f>IF(((1/J15)*V21)&gt;1,1,(1/J15)*V21)</f>
        <v>0.75471698113207553</v>
      </c>
      <c r="U48" s="105">
        <f>SQRT(T48)</f>
        <v>0.86874448552613881</v>
      </c>
      <c r="V48" s="132">
        <f>U48</f>
        <v>0.86874448552613881</v>
      </c>
      <c r="W48" s="131">
        <f>IF(((1/K15)*Y21)&gt;1,1,(1/K15)*Y21)</f>
        <v>0.93900000000000006</v>
      </c>
      <c r="X48" s="105">
        <f>SQRT(W48)</f>
        <v>0.96902012363005141</v>
      </c>
      <c r="Y48" s="132">
        <f>X48</f>
        <v>0.96902012363005141</v>
      </c>
      <c r="Z48" s="131">
        <f>IF(((1/L15)*AB21)&gt;1,1,(1/L15)*AB21)</f>
        <v>0.7</v>
      </c>
      <c r="AA48" s="105">
        <f>SQRT(Z48)</f>
        <v>0.83666002653407556</v>
      </c>
      <c r="AB48" s="132">
        <f>AA48</f>
        <v>0.83666002653407556</v>
      </c>
      <c r="AC48" s="131">
        <f>IF(((1/M15)*AE21)&gt;1,1,(1/M15)*AE21)</f>
        <v>0.41666666666666669</v>
      </c>
      <c r="AD48" s="105">
        <f>SQRT(AC48)</f>
        <v>0.6454972243679028</v>
      </c>
      <c r="AE48" s="132">
        <f>AD48</f>
        <v>0.6454972243679028</v>
      </c>
      <c r="AF48" s="131">
        <f>IF(((1/I15)*AH21)&gt;1,1,(1/I15)*AH21)</f>
        <v>3.9532621568644739E-2</v>
      </c>
      <c r="AG48" s="105">
        <f>SQRT(AF48)</f>
        <v>0.19882812066869399</v>
      </c>
      <c r="AH48" s="132">
        <f>100%-AG48</f>
        <v>0.80117187933130607</v>
      </c>
      <c r="AI48" s="131">
        <f>IF(((1/D15)*AK21)&gt;1,1,(1/D15)*AK21)</f>
        <v>0.9164000000000001</v>
      </c>
      <c r="AJ48" s="105">
        <f>SQRT(AI48)</f>
        <v>0.95728783550194563</v>
      </c>
      <c r="AK48" s="132">
        <f>AJ48</f>
        <v>0.95728783550194563</v>
      </c>
      <c r="AL48" s="105">
        <f>((AK48+AH48+AE48+AB48+Y48+V48+S48+P48+M48+J48+G48+D48)*100)/10</f>
        <v>89.960095017035698</v>
      </c>
    </row>
    <row r="49" spans="1:38" s="107" customFormat="1" ht="15.75" x14ac:dyDescent="0.25">
      <c r="A49" s="31" t="s">
        <v>8</v>
      </c>
      <c r="B49" s="131">
        <f>IF(((1/B15)*D22)&gt;1,1,(1/B15)*D22)</f>
        <v>0.45886798720983346</v>
      </c>
      <c r="C49" s="105">
        <f t="shared" ref="C49:C57" si="19">SQRT(B49)</f>
        <v>0.67739795335521458</v>
      </c>
      <c r="D49" s="132">
        <f t="shared" ref="D49:D57" si="20">C49</f>
        <v>0.67739795335521458</v>
      </c>
      <c r="E49" s="131">
        <f>IF(((1/C15)*G22)&gt;1,1,(1/C15)*G22)</f>
        <v>0.88439497465285444</v>
      </c>
      <c r="F49" s="105">
        <f t="shared" ref="F49:F57" si="21">SQRT(E49)</f>
        <v>0.94042276378916645</v>
      </c>
      <c r="G49" s="132">
        <f t="shared" ref="G49:G57" si="22">F49</f>
        <v>0.94042276378916645</v>
      </c>
      <c r="H49" s="131">
        <f>IF(((1/D15)*J22)&gt;1,1,(1/D15)*J22)</f>
        <v>0.6133333333333334</v>
      </c>
      <c r="I49" s="105">
        <f t="shared" ref="I49:I57" si="23">SQRT(H49)</f>
        <v>0.78315600829804877</v>
      </c>
      <c r="J49" s="132">
        <f t="shared" ref="J49:J57" si="24">I49</f>
        <v>0.78315600829804877</v>
      </c>
      <c r="K49" s="131">
        <f>IF(((1/F15)*M22)&gt;1,1,(1/F15)*M22)</f>
        <v>0.63</v>
      </c>
      <c r="L49" s="105">
        <f t="shared" ref="L49:L57" si="25">SQRT(K49)</f>
        <v>0.79372539331937719</v>
      </c>
      <c r="M49" s="132">
        <f t="shared" ref="M49:M57" si="26">L49</f>
        <v>0.79372539331937719</v>
      </c>
      <c r="N49" s="131">
        <f>IF(((1/G15)*P22)&gt;1,1,(1/G15)*P22)</f>
        <v>0.33333333333333337</v>
      </c>
      <c r="O49" s="105">
        <f t="shared" ref="O49:O57" si="27">SQRT(N49)</f>
        <v>0.57735026918962584</v>
      </c>
      <c r="P49" s="132">
        <f t="shared" ref="P49:P57" si="28">O49</f>
        <v>0.57735026918962584</v>
      </c>
      <c r="Q49" s="131">
        <f>IF(((1/H15)*S22)&gt;1,1,(1/H15)*S22)</f>
        <v>0.63800000000000001</v>
      </c>
      <c r="R49" s="105">
        <f t="shared" ref="R49:R57" si="29">SQRT(Q49)</f>
        <v>0.79874902190863428</v>
      </c>
      <c r="S49" s="132">
        <f t="shared" ref="S49:S57" si="30">R49</f>
        <v>0.79874902190863428</v>
      </c>
      <c r="T49" s="131">
        <f>IF(((1/J15)*V22)&gt;1,1,(1/J15)*V22)</f>
        <v>0.31446540880503143</v>
      </c>
      <c r="U49" s="105">
        <f t="shared" ref="U49:U57" si="31">SQRT(T49)</f>
        <v>0.56077215409204428</v>
      </c>
      <c r="V49" s="132">
        <f t="shared" ref="V49:V57" si="32">U49</f>
        <v>0.56077215409204428</v>
      </c>
      <c r="W49" s="131">
        <f>IF(((1/K15)*Y22)&gt;1,1,(1/K15)*Y22)</f>
        <v>1</v>
      </c>
      <c r="X49" s="105">
        <f t="shared" ref="X49:X57" si="33">SQRT(W49)</f>
        <v>1</v>
      </c>
      <c r="Y49" s="132">
        <f t="shared" ref="Y49:Y57" si="34">X49</f>
        <v>1</v>
      </c>
      <c r="Z49" s="131">
        <f>IF(((1/L15)*AB22)&gt;1,1,(1/L15)*AB22)</f>
        <v>0.5</v>
      </c>
      <c r="AA49" s="105">
        <f t="shared" ref="AA49:AA57" si="35">SQRT(Z49)</f>
        <v>0.70710678118654757</v>
      </c>
      <c r="AB49" s="132">
        <f t="shared" ref="AB49:AB57" si="36">AA49</f>
        <v>0.70710678118654757</v>
      </c>
      <c r="AC49" s="131">
        <f>IF(((1/M15)*AE22)&gt;1,1,(1/M15)*AE22)</f>
        <v>0.55555555555555547</v>
      </c>
      <c r="AD49" s="105">
        <f t="shared" ref="AD49:AD57" si="37">SQRT(AC49)</f>
        <v>0.74535599249992979</v>
      </c>
      <c r="AE49" s="132">
        <f t="shared" ref="AE49:AE57" si="38">AD49</f>
        <v>0.74535599249992979</v>
      </c>
      <c r="AF49" s="131">
        <f>IF(((1/I15)*AH22)&gt;1,1,(1/I15)*AH22)</f>
        <v>1.1848662511117295E-2</v>
      </c>
      <c r="AG49" s="105">
        <f t="shared" ref="AG49:AG57" si="39">SQRT(AF49)</f>
        <v>0.1088515618221314</v>
      </c>
      <c r="AH49" s="132">
        <f t="shared" ref="AH49:AH57" si="40">AG49</f>
        <v>0.1088515618221314</v>
      </c>
      <c r="AI49" s="131">
        <f>IF(((1/D15)*AK22)&gt;1,1,(1/D15)*AK22)</f>
        <v>1</v>
      </c>
      <c r="AJ49" s="105">
        <f t="shared" ref="AJ49:AJ57" si="41">SQRT(AI49)</f>
        <v>1</v>
      </c>
      <c r="AK49" s="132">
        <f t="shared" ref="AK49:AK57" si="42">AJ49</f>
        <v>1</v>
      </c>
      <c r="AL49" s="105">
        <f t="shared" ref="AL49:AL57" si="43">((AK49+AH49+AE49+AB49+Y49+V49+S49+P49+M49+J49+G49+D49)*100)/10</f>
        <v>86.928878994607203</v>
      </c>
    </row>
    <row r="50" spans="1:38" s="107" customFormat="1" ht="15.75" x14ac:dyDescent="0.25">
      <c r="A50" s="31" t="s">
        <v>1</v>
      </c>
      <c r="B50" s="131">
        <f>IF(((1/B15)*D23)&gt;1,1,(1/B15)*D23)</f>
        <v>6.2334424185756597E-2</v>
      </c>
      <c r="C50" s="105">
        <f t="shared" si="19"/>
        <v>0.24966862875771276</v>
      </c>
      <c r="D50" s="132">
        <f t="shared" si="20"/>
        <v>0.24966862875771276</v>
      </c>
      <c r="E50" s="131">
        <f>IF(((1/C15)*G23)&gt;1,1,(1/C15)*G23)</f>
        <v>1</v>
      </c>
      <c r="F50" s="105">
        <f t="shared" si="21"/>
        <v>1</v>
      </c>
      <c r="G50" s="132">
        <f t="shared" si="22"/>
        <v>1</v>
      </c>
      <c r="H50" s="131">
        <f>IF(((1/D15)*J23)&gt;1,1,(1/D15)*J23)</f>
        <v>0.53333333333333333</v>
      </c>
      <c r="I50" s="105">
        <f t="shared" si="23"/>
        <v>0.73029674334022143</v>
      </c>
      <c r="J50" s="132">
        <f t="shared" si="24"/>
        <v>0.73029674334022143</v>
      </c>
      <c r="K50" s="131">
        <f>IF(((1/F15)*M23)&gt;1,1,(1/F15)*M23)</f>
        <v>0.56000000000000005</v>
      </c>
      <c r="L50" s="105">
        <f t="shared" si="25"/>
        <v>0.74833147735478833</v>
      </c>
      <c r="M50" s="132">
        <f t="shared" si="26"/>
        <v>0.74833147735478833</v>
      </c>
      <c r="N50" s="131">
        <f>IF(((1/G15)*P23)&gt;1,1,(1/G15)*P23)</f>
        <v>0.66666666666666674</v>
      </c>
      <c r="O50" s="105">
        <f t="shared" si="27"/>
        <v>0.81649658092772603</v>
      </c>
      <c r="P50" s="132">
        <f t="shared" si="28"/>
        <v>0.81649658092772603</v>
      </c>
      <c r="Q50" s="131">
        <f>IF(((1/H15)*S23)&gt;1,1,(1/H15)*S23)</f>
        <v>0.60899999999999999</v>
      </c>
      <c r="R50" s="105">
        <f t="shared" si="29"/>
        <v>0.7803845206050668</v>
      </c>
      <c r="S50" s="132">
        <f t="shared" si="30"/>
        <v>0.7803845206050668</v>
      </c>
      <c r="T50" s="131">
        <f>IF(((1/J15)*V23)&gt;1,1,(1/J15)*V23)</f>
        <v>0.44025157232704404</v>
      </c>
      <c r="U50" s="105">
        <f t="shared" si="31"/>
        <v>0.66351456074983317</v>
      </c>
      <c r="V50" s="132">
        <f t="shared" si="32"/>
        <v>0.66351456074983317</v>
      </c>
      <c r="W50" s="131">
        <f>IF(((1/K15)*Y23)&gt;1,1,(1/K15)*Y23)</f>
        <v>0.94625000000000004</v>
      </c>
      <c r="X50" s="105">
        <f t="shared" si="33"/>
        <v>0.97275382291718604</v>
      </c>
      <c r="Y50" s="132">
        <f t="shared" si="34"/>
        <v>0.97275382291718604</v>
      </c>
      <c r="Z50" s="131">
        <f>IF(((1/L15)*AB23)&gt;1,1,(1/L15)*AB23)</f>
        <v>1</v>
      </c>
      <c r="AA50" s="105">
        <f t="shared" si="35"/>
        <v>1</v>
      </c>
      <c r="AB50" s="132">
        <f t="shared" si="36"/>
        <v>1</v>
      </c>
      <c r="AC50" s="131">
        <f>IF(((1/M15)*AE23)&gt;1,1,(1/M15)*AE23)</f>
        <v>0.88888888888888895</v>
      </c>
      <c r="AD50" s="105">
        <f t="shared" si="37"/>
        <v>0.94280904158206336</v>
      </c>
      <c r="AE50" s="132">
        <f t="shared" si="38"/>
        <v>0.94280904158206336</v>
      </c>
      <c r="AF50" s="131">
        <f>IF(((1/I15)*AH23)&gt;1,1,(1/I15)*AH23)</f>
        <v>4.8898904136281132E-2</v>
      </c>
      <c r="AG50" s="105">
        <f t="shared" si="39"/>
        <v>0.22113096602755827</v>
      </c>
      <c r="AH50" s="132">
        <f t="shared" si="40"/>
        <v>0.22113096602755827</v>
      </c>
      <c r="AI50" s="131">
        <f>IF(((1/D15)*AK23)&gt;1,1,(1/D15)*AK23)</f>
        <v>0.99813333333333343</v>
      </c>
      <c r="AJ50" s="105">
        <f t="shared" si="41"/>
        <v>0.99906623070411771</v>
      </c>
      <c r="AK50" s="132">
        <f t="shared" si="42"/>
        <v>0.99906623070411771</v>
      </c>
      <c r="AL50" s="105">
        <f t="shared" si="43"/>
        <v>91.24452572966274</v>
      </c>
    </row>
    <row r="51" spans="1:38" s="107" customFormat="1" ht="15.75" x14ac:dyDescent="0.25">
      <c r="A51" s="31" t="s">
        <v>2</v>
      </c>
      <c r="B51" s="131">
        <f>IF(((1/B15)*D24)&gt;1,1,(1/B15)*D24)</f>
        <v>0.28596929017686384</v>
      </c>
      <c r="C51" s="105">
        <f t="shared" si="19"/>
        <v>0.53476096545733764</v>
      </c>
      <c r="D51" s="132">
        <f t="shared" si="20"/>
        <v>0.53476096545733764</v>
      </c>
      <c r="E51" s="131">
        <f>IF(((1/C15)*G24)&gt;1,1,(1/C15)*G24)</f>
        <v>0.76093261577132565</v>
      </c>
      <c r="F51" s="105">
        <f t="shared" si="21"/>
        <v>0.87231451654281533</v>
      </c>
      <c r="G51" s="132">
        <f t="shared" si="22"/>
        <v>0.87231451654281533</v>
      </c>
      <c r="H51" s="131">
        <f>IF(((1/D15)*J24)&gt;1,1,(1/D15)*J24)</f>
        <v>0.48000000000000004</v>
      </c>
      <c r="I51" s="105">
        <f t="shared" si="23"/>
        <v>0.69282032302755092</v>
      </c>
      <c r="J51" s="132">
        <f t="shared" si="24"/>
        <v>0.69282032302755092</v>
      </c>
      <c r="K51" s="131">
        <f>IF(((1/F15)*M24)&gt;1,1,(1/F15)*M24)</f>
        <v>0.76</v>
      </c>
      <c r="L51" s="105">
        <f t="shared" si="25"/>
        <v>0.87177978870813466</v>
      </c>
      <c r="M51" s="132">
        <f t="shared" si="26"/>
        <v>0.87177978870813466</v>
      </c>
      <c r="N51" s="131">
        <f>IF(((1/G15)*P24)&gt;1,1,(1/G15)*P24)</f>
        <v>0.75</v>
      </c>
      <c r="O51" s="105">
        <f t="shared" si="27"/>
        <v>0.8660254037844386</v>
      </c>
      <c r="P51" s="132">
        <f t="shared" si="28"/>
        <v>0.8660254037844386</v>
      </c>
      <c r="Q51" s="131">
        <f>IF(((1/H15)*S24)&gt;1,1,(1/H15)*S24)</f>
        <v>0.624</v>
      </c>
      <c r="R51" s="105">
        <f t="shared" si="29"/>
        <v>0.78993670632525992</v>
      </c>
      <c r="S51" s="132">
        <f t="shared" si="30"/>
        <v>0.78993670632525992</v>
      </c>
      <c r="T51" s="131">
        <f>IF(((1/J15)*V24)&gt;1,1,(1/J15)*V24)</f>
        <v>0.37735849056603776</v>
      </c>
      <c r="U51" s="105">
        <f t="shared" si="31"/>
        <v>0.61429511683395122</v>
      </c>
      <c r="V51" s="132">
        <f t="shared" si="32"/>
        <v>0.61429511683395122</v>
      </c>
      <c r="W51" s="131">
        <f>IF(((1/K15)*Y24)&gt;1,1,(1/K15)*Y24)</f>
        <v>0.97699999999999998</v>
      </c>
      <c r="X51" s="105">
        <f t="shared" si="33"/>
        <v>0.98843310345212543</v>
      </c>
      <c r="Y51" s="132">
        <f t="shared" si="34"/>
        <v>0.98843310345212543</v>
      </c>
      <c r="Z51" s="131">
        <f>IF(((1/L15)*AB24)&gt;1,1,(1/L15)*AB24)</f>
        <v>0.56666666666666665</v>
      </c>
      <c r="AA51" s="105">
        <f t="shared" si="35"/>
        <v>0.752772652709081</v>
      </c>
      <c r="AB51" s="132">
        <f t="shared" si="36"/>
        <v>0.752772652709081</v>
      </c>
      <c r="AC51" s="131">
        <f>IF(((1/M15)*AE24)&gt;1,1,(1/M15)*AE24)</f>
        <v>1</v>
      </c>
      <c r="AD51" s="105">
        <f t="shared" si="37"/>
        <v>1</v>
      </c>
      <c r="AE51" s="132">
        <f t="shared" si="38"/>
        <v>1</v>
      </c>
      <c r="AF51" s="131">
        <f>IF(((1/I15)*AH24)&gt;1,1,(1/I15)*AH24)</f>
        <v>1.316505041268619E-2</v>
      </c>
      <c r="AG51" s="105">
        <f t="shared" si="39"/>
        <v>0.11473905356366763</v>
      </c>
      <c r="AH51" s="132">
        <f t="shared" si="40"/>
        <v>0.11473905356366763</v>
      </c>
      <c r="AI51" s="131">
        <f>IF(((1/D15)*AK24)&gt;1,1,(1/D15)*AK24)</f>
        <v>0.9728</v>
      </c>
      <c r="AJ51" s="105">
        <f t="shared" si="41"/>
        <v>0.98630624047503623</v>
      </c>
      <c r="AK51" s="132">
        <f t="shared" si="42"/>
        <v>0.98630624047503623</v>
      </c>
      <c r="AL51" s="105">
        <f t="shared" si="43"/>
        <v>90.841838708793972</v>
      </c>
    </row>
    <row r="52" spans="1:38" s="107" customFormat="1" ht="47.25" x14ac:dyDescent="0.25">
      <c r="A52" s="31" t="s">
        <v>3</v>
      </c>
      <c r="B52" s="131">
        <f>IF(((1/B15)*D25)&gt;1,1,(1/B15)*D25)</f>
        <v>0.22691190509007564</v>
      </c>
      <c r="C52" s="105">
        <f t="shared" si="19"/>
        <v>0.47635271080374431</v>
      </c>
      <c r="D52" s="132">
        <f t="shared" si="20"/>
        <v>0.47635271080374431</v>
      </c>
      <c r="E52" s="131">
        <f>IF(((1/C15)*G25)&gt;1,1,(1/C15)*G25)</f>
        <v>0.91784756279296609</v>
      </c>
      <c r="F52" s="105">
        <f t="shared" si="21"/>
        <v>0.95804361215602607</v>
      </c>
      <c r="G52" s="132">
        <f t="shared" si="22"/>
        <v>0.95804361215602607</v>
      </c>
      <c r="H52" s="131">
        <f>IF(((1/D15)*J25)&gt;1,1,(1/D15)*J25)</f>
        <v>0.69333333333333336</v>
      </c>
      <c r="I52" s="105">
        <f t="shared" si="23"/>
        <v>0.83266639978645307</v>
      </c>
      <c r="J52" s="132">
        <f t="shared" si="24"/>
        <v>0.83266639978645307</v>
      </c>
      <c r="K52" s="131">
        <f>IF(((1/F15)*M25)&gt;1,1,(1/F15)*M25)</f>
        <v>0.6</v>
      </c>
      <c r="L52" s="105">
        <f t="shared" si="25"/>
        <v>0.7745966692414834</v>
      </c>
      <c r="M52" s="132">
        <f t="shared" si="26"/>
        <v>0.7745966692414834</v>
      </c>
      <c r="N52" s="131">
        <f>IF(((1/G15)*P25)&gt;1,1,(1/G15)*P25)</f>
        <v>0.75</v>
      </c>
      <c r="O52" s="105">
        <f t="shared" si="27"/>
        <v>0.8660254037844386</v>
      </c>
      <c r="P52" s="132">
        <f t="shared" si="28"/>
        <v>0.8660254037844386</v>
      </c>
      <c r="Q52" s="131">
        <f>IF(((1/H15)*S25)&gt;1,1,(1/H15)*S25)</f>
        <v>0.58299999999999996</v>
      </c>
      <c r="R52" s="105">
        <f t="shared" si="29"/>
        <v>0.76354436675284298</v>
      </c>
      <c r="S52" s="132">
        <f t="shared" si="30"/>
        <v>0.76354436675284298</v>
      </c>
      <c r="T52" s="131">
        <f>IF(((1/J15)*V25)&gt;1,1,(1/J15)*V25)</f>
        <v>0.44025157232704404</v>
      </c>
      <c r="U52" s="105">
        <f t="shared" si="31"/>
        <v>0.66351456074983317</v>
      </c>
      <c r="V52" s="132">
        <f t="shared" si="32"/>
        <v>0.66351456074983317</v>
      </c>
      <c r="W52" s="131">
        <f>IF(((1/K15)*Y25)&gt;1,1,(1/K15)*Y25)</f>
        <v>1</v>
      </c>
      <c r="X52" s="105">
        <f t="shared" si="33"/>
        <v>1</v>
      </c>
      <c r="Y52" s="132">
        <f t="shared" si="34"/>
        <v>1</v>
      </c>
      <c r="Z52" s="131">
        <f>IF(((1/L15)*AB25)&gt;1,1,(1/L15)*AB25)</f>
        <v>0.3</v>
      </c>
      <c r="AA52" s="105">
        <f t="shared" si="35"/>
        <v>0.54772255750516607</v>
      </c>
      <c r="AB52" s="132">
        <f t="shared" si="36"/>
        <v>0.54772255750516607</v>
      </c>
      <c r="AC52" s="131">
        <f>IF(((1/M15)*AE25)&gt;1,1,(1/M15)*AE25)</f>
        <v>0.66666666666666663</v>
      </c>
      <c r="AD52" s="105">
        <f t="shared" si="37"/>
        <v>0.81649658092772603</v>
      </c>
      <c r="AE52" s="132">
        <f t="shared" si="38"/>
        <v>0.81649658092772603</v>
      </c>
      <c r="AF52" s="131">
        <f>IF(((1/I15)*AH25)&gt;1,1,(1/I15)*AH25)</f>
        <v>1.5009135256551865E-2</v>
      </c>
      <c r="AG52" s="105">
        <f t="shared" si="39"/>
        <v>0.12251177599133833</v>
      </c>
      <c r="AH52" s="132">
        <f t="shared" si="40"/>
        <v>0.12251177599133833</v>
      </c>
      <c r="AI52" s="131">
        <f>IF(((1/D15)*AK25)&gt;1,1,(1/D15)*AK25)</f>
        <v>0.92426666666666668</v>
      </c>
      <c r="AJ52" s="105">
        <f t="shared" si="41"/>
        <v>0.96138788564588573</v>
      </c>
      <c r="AK52" s="132">
        <f t="shared" si="42"/>
        <v>0.96138788564588573</v>
      </c>
      <c r="AL52" s="105">
        <f t="shared" si="43"/>
        <v>87.828625233449387</v>
      </c>
    </row>
    <row r="53" spans="1:38" s="107" customFormat="1" ht="31.5" x14ac:dyDescent="0.25">
      <c r="A53" s="31" t="s">
        <v>4</v>
      </c>
      <c r="B53" s="131">
        <f>IF(((1/B15)*D26)&gt;1,1,(1/B15)*D26)</f>
        <v>0.2253657860065183</v>
      </c>
      <c r="C53" s="105">
        <f t="shared" si="19"/>
        <v>0.47472706475038717</v>
      </c>
      <c r="D53" s="132">
        <f t="shared" si="20"/>
        <v>0.47472706475038717</v>
      </c>
      <c r="E53" s="131">
        <f>IF(((1/C15)*G26)&gt;1,1,(1/C15)*G26)</f>
        <v>0.9375127796180428</v>
      </c>
      <c r="F53" s="105">
        <f t="shared" si="21"/>
        <v>0.9682524358957445</v>
      </c>
      <c r="G53" s="132">
        <f t="shared" si="22"/>
        <v>0.9682524358957445</v>
      </c>
      <c r="H53" s="131">
        <f>IF(((1/D15)*J26)&gt;1,1,(1/D15)*J26)</f>
        <v>0.72000000000000008</v>
      </c>
      <c r="I53" s="105">
        <f t="shared" si="23"/>
        <v>0.84852813742385713</v>
      </c>
      <c r="J53" s="132">
        <f t="shared" si="24"/>
        <v>0.84852813742385713</v>
      </c>
      <c r="K53" s="131">
        <f>IF(((1/F15)*M26)&gt;1,1,(1/F15)*M26)</f>
        <v>0.70000000000000007</v>
      </c>
      <c r="L53" s="105">
        <f t="shared" si="25"/>
        <v>0.83666002653407556</v>
      </c>
      <c r="M53" s="132">
        <f t="shared" si="26"/>
        <v>0.83666002653407556</v>
      </c>
      <c r="N53" s="131">
        <f>IF(((1/G15)*P26)&gt;1,1,(1/G15)*P26)</f>
        <v>0.5</v>
      </c>
      <c r="O53" s="105">
        <f t="shared" si="27"/>
        <v>0.70710678118654757</v>
      </c>
      <c r="P53" s="132">
        <f t="shared" si="28"/>
        <v>0.70710678118654757</v>
      </c>
      <c r="Q53" s="131">
        <f>IF(((1/H15)*S26)&gt;1,1,(1/H15)*S26)</f>
        <v>0.63200000000000001</v>
      </c>
      <c r="R53" s="105">
        <f t="shared" si="29"/>
        <v>0.79498427657407167</v>
      </c>
      <c r="S53" s="132">
        <f t="shared" si="30"/>
        <v>0.79498427657407167</v>
      </c>
      <c r="T53" s="131">
        <f>IF(((1/J15)*V26)&gt;1,1,(1/J15)*V26)</f>
        <v>0.56603773584905659</v>
      </c>
      <c r="U53" s="105">
        <f t="shared" si="31"/>
        <v>0.75235479386327875</v>
      </c>
      <c r="V53" s="132">
        <f t="shared" si="32"/>
        <v>0.75235479386327875</v>
      </c>
      <c r="W53" s="131">
        <f>IF(((1/K15)*Y26)&gt;1,1,(1/K15)*Y26)</f>
        <v>0.77462500000000001</v>
      </c>
      <c r="X53" s="105">
        <f t="shared" si="33"/>
        <v>0.88012783162447483</v>
      </c>
      <c r="Y53" s="132">
        <f t="shared" si="34"/>
        <v>0.88012783162447483</v>
      </c>
      <c r="Z53" s="131">
        <f>IF(((1/L15)*AB26)&gt;1,1,(1/L15)*AB26)</f>
        <v>0.36666666666666664</v>
      </c>
      <c r="AA53" s="105">
        <f t="shared" si="35"/>
        <v>0.60553007081949828</v>
      </c>
      <c r="AB53" s="132">
        <f t="shared" si="36"/>
        <v>0.60553007081949828</v>
      </c>
      <c r="AC53" s="131">
        <f>IF(((1/M15)*AE26)&gt;1,1,(1/M15)*AE26)</f>
        <v>0.66666666666666663</v>
      </c>
      <c r="AD53" s="105">
        <f t="shared" si="37"/>
        <v>0.81649658092772603</v>
      </c>
      <c r="AE53" s="132">
        <f t="shared" si="38"/>
        <v>0.81649658092772603</v>
      </c>
      <c r="AF53" s="131">
        <f>IF(((1/I15)*AH26)&gt;1,1,(1/I15)*AH26)</f>
        <v>2.365754267592118E-2</v>
      </c>
      <c r="AG53" s="105">
        <f t="shared" si="39"/>
        <v>0.15381008639202171</v>
      </c>
      <c r="AH53" s="132">
        <f t="shared" si="40"/>
        <v>0.15381008639202171</v>
      </c>
      <c r="AI53" s="131">
        <f>IF(((1/D15)*AK26)&gt;1,1,(1/D15)*AK26)</f>
        <v>0.91533333333333344</v>
      </c>
      <c r="AJ53" s="105">
        <f t="shared" si="41"/>
        <v>0.9567305437443363</v>
      </c>
      <c r="AK53" s="132">
        <f t="shared" si="42"/>
        <v>0.9567305437443363</v>
      </c>
      <c r="AL53" s="105">
        <f t="shared" si="43"/>
        <v>87.953086297360201</v>
      </c>
    </row>
    <row r="54" spans="1:38" s="107" customFormat="1" ht="31.5" x14ac:dyDescent="0.25">
      <c r="A54" s="31" t="s">
        <v>5</v>
      </c>
      <c r="B54" s="131">
        <f>IF(((1/B15)*D27)&gt;1,1,(1/B15)*D27)</f>
        <v>0.15187369759474448</v>
      </c>
      <c r="C54" s="105">
        <f t="shared" si="19"/>
        <v>0.38970976071269303</v>
      </c>
      <c r="D54" s="132">
        <f t="shared" si="20"/>
        <v>0.38970976071269303</v>
      </c>
      <c r="E54" s="131">
        <f>IF(((1/C15)*G27)&gt;1,1,(1/C15)*G27)</f>
        <v>0.9998125351496594</v>
      </c>
      <c r="F54" s="105">
        <f t="shared" si="21"/>
        <v>0.99990626318153408</v>
      </c>
      <c r="G54" s="132">
        <f t="shared" si="22"/>
        <v>0.99990626318153408</v>
      </c>
      <c r="H54" s="131">
        <f>IF(((1/D15)*J27)&gt;1,1,(1/D15)*J27)</f>
        <v>0.28000000000000003</v>
      </c>
      <c r="I54" s="105">
        <f t="shared" si="23"/>
        <v>0.52915026221291817</v>
      </c>
      <c r="J54" s="132">
        <f t="shared" si="24"/>
        <v>0.52915026221291817</v>
      </c>
      <c r="K54" s="131">
        <f>IF(((1/F15)*M27)&gt;1,1,(1/F15)*M27)</f>
        <v>0.64</v>
      </c>
      <c r="L54" s="105">
        <f t="shared" si="25"/>
        <v>0.8</v>
      </c>
      <c r="M54" s="132">
        <f t="shared" si="26"/>
        <v>0.8</v>
      </c>
      <c r="N54" s="131">
        <f>IF(((1/G15)*P27)&gt;1,1,(1/G15)*P27)</f>
        <v>0.4</v>
      </c>
      <c r="O54" s="105">
        <f t="shared" si="27"/>
        <v>0.63245553203367588</v>
      </c>
      <c r="P54" s="132">
        <f t="shared" si="28"/>
        <v>0.63245553203367588</v>
      </c>
      <c r="Q54" s="131">
        <f>IF(((1/H15)*S27)&gt;1,1,(1/H15)*S27)</f>
        <v>0.91800000000000004</v>
      </c>
      <c r="R54" s="105">
        <f t="shared" si="29"/>
        <v>0.95812316536027875</v>
      </c>
      <c r="S54" s="132">
        <f t="shared" si="30"/>
        <v>0.95812316536027875</v>
      </c>
      <c r="T54" s="131">
        <f>IF(((1/J15)*V27)&gt;1,1,(1/J15)*V27)</f>
        <v>0.31446540880503143</v>
      </c>
      <c r="U54" s="105">
        <f t="shared" si="31"/>
        <v>0.56077215409204428</v>
      </c>
      <c r="V54" s="132">
        <f t="shared" si="32"/>
        <v>0.56077215409204428</v>
      </c>
      <c r="W54" s="131">
        <f>IF(((1/K15)*Y27)&gt;1,1,(1/K15)*Y27)</f>
        <v>0.7632500000000001</v>
      </c>
      <c r="X54" s="105">
        <f t="shared" si="33"/>
        <v>0.8736418030291363</v>
      </c>
      <c r="Y54" s="132">
        <f t="shared" si="34"/>
        <v>0.8736418030291363</v>
      </c>
      <c r="Z54" s="131">
        <f>IF(((1/L15)*AB27)&gt;1,1,(1/L15)*AB27)</f>
        <v>0.56666666666666665</v>
      </c>
      <c r="AA54" s="105">
        <f t="shared" si="35"/>
        <v>0.752772652709081</v>
      </c>
      <c r="AB54" s="132">
        <f t="shared" si="36"/>
        <v>0.752772652709081</v>
      </c>
      <c r="AC54" s="131">
        <f>IF(((1/M15)*AE27)&gt;1,1,(1/M15)*AE27)</f>
        <v>0.53333333333333333</v>
      </c>
      <c r="AD54" s="105">
        <f t="shared" si="37"/>
        <v>0.73029674334022143</v>
      </c>
      <c r="AE54" s="132">
        <f t="shared" si="38"/>
        <v>0.73029674334022143</v>
      </c>
      <c r="AF54" s="131">
        <f>IF(((1/I15)*AH27)&gt;1,1,(1/I15)*AH27)</f>
        <v>1.8173145835330903E-2</v>
      </c>
      <c r="AG54" s="105">
        <f t="shared" si="39"/>
        <v>0.13480781073562059</v>
      </c>
      <c r="AH54" s="132">
        <f t="shared" si="40"/>
        <v>0.13480781073562059</v>
      </c>
      <c r="AI54" s="131">
        <f>IF(((1/D15)*AK27)&gt;1,1,(1/D15)*AK27)</f>
        <v>0.97986666666666666</v>
      </c>
      <c r="AJ54" s="105">
        <f t="shared" si="41"/>
        <v>0.98988214786744522</v>
      </c>
      <c r="AK54" s="132">
        <f t="shared" si="42"/>
        <v>0.98988214786744522</v>
      </c>
      <c r="AL54" s="105">
        <f t="shared" si="43"/>
        <v>83.5151829527465</v>
      </c>
    </row>
    <row r="55" spans="1:38" s="107" customFormat="1" ht="15.75" x14ac:dyDescent="0.25">
      <c r="A55" s="31" t="s">
        <v>6</v>
      </c>
      <c r="B55" s="131">
        <f>IF(((1/B15)*D28)&gt;1,1,(1/B15)*D28)</f>
        <v>0.72272570838591266</v>
      </c>
      <c r="C55" s="105">
        <f t="shared" si="19"/>
        <v>0.85013275927111098</v>
      </c>
      <c r="D55" s="132">
        <f t="shared" si="20"/>
        <v>0.85013275927111098</v>
      </c>
      <c r="E55" s="131">
        <f>IF(((1/C15)*G28)&gt;1,1,(1/C15)*G28)</f>
        <v>0.71037142277247833</v>
      </c>
      <c r="F55" s="105">
        <f t="shared" si="21"/>
        <v>0.84283534736772781</v>
      </c>
      <c r="G55" s="132">
        <f t="shared" si="22"/>
        <v>0.84283534736772781</v>
      </c>
      <c r="H55" s="131">
        <f>IF(((1/D15)*J28)&gt;1,1,(1/D15)*J28)</f>
        <v>0.62666666666666671</v>
      </c>
      <c r="I55" s="105">
        <f t="shared" si="23"/>
        <v>0.79162280580252786</v>
      </c>
      <c r="J55" s="132">
        <f t="shared" si="24"/>
        <v>0.79162280580252786</v>
      </c>
      <c r="K55" s="131">
        <f>IF(((1/F15)*M28)&gt;1,1,(1/F15)*M28)</f>
        <v>0.8</v>
      </c>
      <c r="L55" s="105">
        <f t="shared" si="25"/>
        <v>0.89442719099991586</v>
      </c>
      <c r="M55" s="132">
        <f t="shared" si="26"/>
        <v>0.89442719099991586</v>
      </c>
      <c r="N55" s="131">
        <f>IF(((1/G15)*P28)&gt;1,1,(1/G15)*P28)</f>
        <v>0.625</v>
      </c>
      <c r="O55" s="105">
        <f t="shared" si="27"/>
        <v>0.79056941504209488</v>
      </c>
      <c r="P55" s="132">
        <f t="shared" si="28"/>
        <v>0.79056941504209488</v>
      </c>
      <c r="Q55" s="131">
        <f>IF(((1/H15)*S28)&gt;1,1,(1/H15)*S28)</f>
        <v>0.873</v>
      </c>
      <c r="R55" s="105">
        <f t="shared" si="29"/>
        <v>0.93434469014384625</v>
      </c>
      <c r="S55" s="132">
        <f t="shared" si="30"/>
        <v>0.93434469014384625</v>
      </c>
      <c r="T55" s="131">
        <f>IF(((1/J15)*V28)&gt;1,1,(1/J15)*V28)</f>
        <v>0.62893081761006286</v>
      </c>
      <c r="U55" s="105">
        <f t="shared" si="31"/>
        <v>0.79305158571814416</v>
      </c>
      <c r="V55" s="132">
        <f t="shared" si="32"/>
        <v>0.79305158571814416</v>
      </c>
      <c r="W55" s="131">
        <f>IF(((1/K15)*Y28)&gt;1,1,(1/K15)*Y28)</f>
        <v>1</v>
      </c>
      <c r="X55" s="105">
        <f t="shared" si="33"/>
        <v>1</v>
      </c>
      <c r="Y55" s="132">
        <f t="shared" si="34"/>
        <v>1</v>
      </c>
      <c r="Z55" s="131">
        <f>IF(((1/L15)*AB28)&gt;1,1,(1/L15)*AB28)</f>
        <v>0.4</v>
      </c>
      <c r="AA55" s="105">
        <f t="shared" si="35"/>
        <v>0.63245553203367588</v>
      </c>
      <c r="AB55" s="132">
        <f t="shared" si="36"/>
        <v>0.63245553203367588</v>
      </c>
      <c r="AC55" s="131">
        <f>IF(((1/M15)*AE28)&gt;1,1,(1/M15)*AE28)</f>
        <v>0.41666666666666669</v>
      </c>
      <c r="AD55" s="105">
        <f t="shared" si="37"/>
        <v>0.6454972243679028</v>
      </c>
      <c r="AE55" s="132">
        <f t="shared" si="38"/>
        <v>0.6454972243679028</v>
      </c>
      <c r="AF55" s="131">
        <f>IF(((1/I15)*AH28)&gt;1,1,(1/I15)*AH28)</f>
        <v>2.7545072600464307E-2</v>
      </c>
      <c r="AG55" s="105">
        <f t="shared" si="39"/>
        <v>0.16596708288231227</v>
      </c>
      <c r="AH55" s="132">
        <f t="shared" si="40"/>
        <v>0.16596708288231227</v>
      </c>
      <c r="AI55" s="131">
        <f>IF(((1/D15)*AK28)&gt;1,1,(1/D15)*AK28)</f>
        <v>1</v>
      </c>
      <c r="AJ55" s="105">
        <f t="shared" si="41"/>
        <v>1</v>
      </c>
      <c r="AK55" s="132">
        <f t="shared" si="42"/>
        <v>1</v>
      </c>
      <c r="AL55" s="105">
        <f t="shared" si="43"/>
        <v>93.409036336292587</v>
      </c>
    </row>
    <row r="56" spans="1:38" s="107" customFormat="1" ht="15.75" x14ac:dyDescent="0.25">
      <c r="A56" s="31" t="s">
        <v>7</v>
      </c>
      <c r="B56" s="131">
        <f>IF(((1/B15)*D29)&gt;1,1,(1/B15)*D29)</f>
        <v>0.80498130465683992</v>
      </c>
      <c r="C56" s="105">
        <f t="shared" si="19"/>
        <v>0.89720750367840763</v>
      </c>
      <c r="D56" s="132">
        <f t="shared" si="20"/>
        <v>0.89720750367840763</v>
      </c>
      <c r="E56" s="131">
        <f>IF(((1/C15)*G29)&gt;1,1,(1/C15)*G29)</f>
        <v>0.5289486632770215</v>
      </c>
      <c r="F56" s="105">
        <f t="shared" si="21"/>
        <v>0.72728856946677056</v>
      </c>
      <c r="G56" s="132">
        <f t="shared" si="22"/>
        <v>0.72728856946677056</v>
      </c>
      <c r="H56" s="131">
        <f>IF(((1/D15)*J29)&gt;1,1,(1/D15)*J29)</f>
        <v>0</v>
      </c>
      <c r="I56" s="105">
        <f t="shared" si="23"/>
        <v>0</v>
      </c>
      <c r="J56" s="132">
        <f t="shared" si="24"/>
        <v>0</v>
      </c>
      <c r="K56" s="131">
        <f>IF(((1/F15)*M29)&gt;1,1,(1/F15)*M29)</f>
        <v>0.54</v>
      </c>
      <c r="L56" s="105">
        <f t="shared" si="25"/>
        <v>0.73484692283495345</v>
      </c>
      <c r="M56" s="132">
        <f t="shared" si="26"/>
        <v>0.73484692283495345</v>
      </c>
      <c r="N56" s="131">
        <f>IF(((1/G15)*P29)&gt;1,1,(1/G15)*P29)</f>
        <v>0.5</v>
      </c>
      <c r="O56" s="105">
        <f t="shared" si="27"/>
        <v>0.70710678118654757</v>
      </c>
      <c r="P56" s="132">
        <f t="shared" si="28"/>
        <v>0.70710678118654757</v>
      </c>
      <c r="Q56" s="131">
        <f>IF(((1/H15)*S29)&gt;1,1,(1/H15)*S29)</f>
        <v>0.97700000000000009</v>
      </c>
      <c r="R56" s="105">
        <f t="shared" si="29"/>
        <v>0.98843310345212543</v>
      </c>
      <c r="S56" s="132">
        <f t="shared" si="30"/>
        <v>0.98843310345212543</v>
      </c>
      <c r="T56" s="131">
        <f>IF(((1/J15)*V29)&gt;1,1,(1/J15)*V29)</f>
        <v>1</v>
      </c>
      <c r="U56" s="105">
        <f t="shared" si="31"/>
        <v>1</v>
      </c>
      <c r="V56" s="132">
        <f t="shared" si="32"/>
        <v>1</v>
      </c>
      <c r="W56" s="131">
        <f>IF(((1/K15)*Y29)&gt;1,1,(1/K15)*Y29)</f>
        <v>1</v>
      </c>
      <c r="X56" s="105">
        <f t="shared" si="33"/>
        <v>1</v>
      </c>
      <c r="Y56" s="132">
        <f t="shared" si="34"/>
        <v>1</v>
      </c>
      <c r="Z56" s="131">
        <f>IF(((1/L15)*AB29)&gt;1,1,(1/L15)*AB29)</f>
        <v>0.6333333333333333</v>
      </c>
      <c r="AA56" s="105">
        <f t="shared" si="35"/>
        <v>0.79582242575422146</v>
      </c>
      <c r="AB56" s="132">
        <f t="shared" si="36"/>
        <v>0.79582242575422146</v>
      </c>
      <c r="AC56" s="131">
        <f>IF(((1/M15)*AE29)&gt;1,1,(1/M15)*AE29)</f>
        <v>0.66666666666666663</v>
      </c>
      <c r="AD56" s="105">
        <f t="shared" si="37"/>
        <v>0.81649658092772603</v>
      </c>
      <c r="AE56" s="132">
        <f t="shared" si="38"/>
        <v>0.81649658092772603</v>
      </c>
      <c r="AF56" s="131">
        <f>IF(((1/I15)*AH29)&gt;1,1,(1/I15)*AH29)</f>
        <v>9.3473504925569439E-3</v>
      </c>
      <c r="AG56" s="105">
        <f t="shared" si="39"/>
        <v>9.6681696781536389E-2</v>
      </c>
      <c r="AH56" s="132">
        <f t="shared" si="40"/>
        <v>9.6681696781536389E-2</v>
      </c>
      <c r="AI56" s="131">
        <f>IF(((1/D15)*AK29)&gt;1,1,(1/D15)*AK29)</f>
        <v>1</v>
      </c>
      <c r="AJ56" s="105">
        <f t="shared" si="41"/>
        <v>1</v>
      </c>
      <c r="AK56" s="132">
        <f t="shared" si="42"/>
        <v>1</v>
      </c>
      <c r="AL56" s="105">
        <f t="shared" si="43"/>
        <v>87.638835840822907</v>
      </c>
    </row>
    <row r="57" spans="1:38" s="107" customFormat="1" ht="15.75" x14ac:dyDescent="0.25">
      <c r="A57" s="31" t="s">
        <v>9</v>
      </c>
      <c r="B57" s="133">
        <f>IF(((1/B15)*D30)&gt;1,1,(1/B15)*D30)</f>
        <v>0.63441042124851976</v>
      </c>
      <c r="C57" s="134">
        <f t="shared" si="19"/>
        <v>0.79649885200703197</v>
      </c>
      <c r="D57" s="135">
        <f t="shared" si="20"/>
        <v>0.79649885200703197</v>
      </c>
      <c r="E57" s="133">
        <f>IF(((1/C15)*G30)&gt;1,1,(1/C15)*G30)</f>
        <v>1</v>
      </c>
      <c r="F57" s="134">
        <f t="shared" si="21"/>
        <v>1</v>
      </c>
      <c r="G57" s="135">
        <f t="shared" si="22"/>
        <v>1</v>
      </c>
      <c r="H57" s="133">
        <f>IF(((1/D15)*J30)&gt;1,1,(1/D15)*J30)</f>
        <v>0.54666666666666675</v>
      </c>
      <c r="I57" s="134">
        <f t="shared" si="23"/>
        <v>0.73936910042729453</v>
      </c>
      <c r="J57" s="135">
        <f t="shared" si="24"/>
        <v>0.73936910042729453</v>
      </c>
      <c r="K57" s="133">
        <f>IF(((1/F15)*M30)&gt;1,1,(1/F15)*M30)</f>
        <v>0.95000000000000007</v>
      </c>
      <c r="L57" s="134">
        <f t="shared" si="25"/>
        <v>0.97467943448089644</v>
      </c>
      <c r="M57" s="135">
        <f t="shared" si="26"/>
        <v>0.97467943448089644</v>
      </c>
      <c r="N57" s="133">
        <f>IF(((1/G15)*P30)&gt;1,1,(1/G15)*P30)</f>
        <v>1</v>
      </c>
      <c r="O57" s="134">
        <f t="shared" si="27"/>
        <v>1</v>
      </c>
      <c r="P57" s="135">
        <f t="shared" si="28"/>
        <v>1</v>
      </c>
      <c r="Q57" s="133">
        <f>IF(((1/H15)*S30)&gt;1,1,(1/H15)*S30)</f>
        <v>0.627</v>
      </c>
      <c r="R57" s="134">
        <f t="shared" si="29"/>
        <v>0.79183331579316618</v>
      </c>
      <c r="S57" s="135">
        <f t="shared" si="30"/>
        <v>0.79183331579316618</v>
      </c>
      <c r="T57" s="133">
        <f>IF(((1/J15)*V30)&gt;1,1,(1/J15)*V30)</f>
        <v>0.31446540880503143</v>
      </c>
      <c r="U57" s="134">
        <f t="shared" si="31"/>
        <v>0.56077215409204428</v>
      </c>
      <c r="V57" s="135">
        <f t="shared" si="32"/>
        <v>0.56077215409204428</v>
      </c>
      <c r="W57" s="133">
        <f>IF(((1/K15)*Y30)&gt;1,1,(1/K15)*Y30)</f>
        <v>1</v>
      </c>
      <c r="X57" s="134">
        <f t="shared" si="33"/>
        <v>1</v>
      </c>
      <c r="Y57" s="135">
        <f t="shared" si="34"/>
        <v>1</v>
      </c>
      <c r="Z57" s="133">
        <f>IF(((1/L15)*AB30)&gt;1,1,(1/L15)*AB30)</f>
        <v>0.5</v>
      </c>
      <c r="AA57" s="134">
        <f t="shared" si="35"/>
        <v>0.70710678118654757</v>
      </c>
      <c r="AB57" s="135">
        <f t="shared" si="36"/>
        <v>0.70710678118654757</v>
      </c>
      <c r="AC57" s="133">
        <f>IF(((1/M15)*AE30)&gt;1,1,(1/M15)*AE30)</f>
        <v>0.41666666666666669</v>
      </c>
      <c r="AD57" s="134">
        <f t="shared" si="37"/>
        <v>0.6454972243679028</v>
      </c>
      <c r="AE57" s="135">
        <f t="shared" si="38"/>
        <v>0.6454972243679028</v>
      </c>
      <c r="AF57" s="133">
        <f>IF(((1/I15)*AH30)&gt;1,1,(1/I15)*AH30)</f>
        <v>1.5418197993287877E-2</v>
      </c>
      <c r="AG57" s="134">
        <f t="shared" si="39"/>
        <v>0.12417003661627823</v>
      </c>
      <c r="AH57" s="135">
        <f t="shared" si="40"/>
        <v>0.12417003661627823</v>
      </c>
      <c r="AI57" s="133">
        <f>IF(((1/D15)*AK30)&gt;1,1,(1/D15)*AK30)</f>
        <v>1</v>
      </c>
      <c r="AJ57" s="134">
        <f t="shared" si="41"/>
        <v>1</v>
      </c>
      <c r="AK57" s="135">
        <f t="shared" si="42"/>
        <v>1</v>
      </c>
      <c r="AL57" s="105">
        <f t="shared" si="43"/>
        <v>93.399268989711629</v>
      </c>
    </row>
    <row r="58" spans="1:38" s="107" customFormat="1" x14ac:dyDescent="0.25"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</row>
    <row r="59" spans="1:38" s="107" customFormat="1" x14ac:dyDescent="0.25"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</row>
    <row r="60" spans="1:38" s="107" customFormat="1" x14ac:dyDescent="0.25"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</row>
    <row r="61" spans="1:38" s="107" customFormat="1" x14ac:dyDescent="0.25"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</row>
    <row r="62" spans="1:38" s="107" customFormat="1" x14ac:dyDescent="0.25"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</row>
    <row r="63" spans="1:38" s="107" customFormat="1" x14ac:dyDescent="0.25"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</row>
    <row r="64" spans="1:38" s="107" customFormat="1" x14ac:dyDescent="0.25"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</row>
    <row r="65" spans="1:37" s="107" customFormat="1" x14ac:dyDescent="0.25">
      <c r="A65" s="108"/>
      <c r="B65" s="108"/>
      <c r="C65" s="108"/>
      <c r="D65" s="105"/>
      <c r="E65" s="108"/>
      <c r="F65" s="108"/>
      <c r="G65" s="105"/>
      <c r="H65" s="108"/>
      <c r="I65" s="108"/>
      <c r="J65" s="105"/>
      <c r="K65" s="108"/>
      <c r="L65" s="108"/>
      <c r="M65" s="105"/>
      <c r="N65" s="108"/>
      <c r="O65" s="108"/>
      <c r="P65" s="105"/>
      <c r="Q65" s="108"/>
      <c r="R65" s="108"/>
      <c r="S65" s="105"/>
      <c r="T65" s="108"/>
      <c r="U65" s="108"/>
      <c r="V65" s="105"/>
      <c r="W65" s="108"/>
      <c r="X65" s="108"/>
      <c r="Y65" s="105"/>
      <c r="Z65" s="108"/>
      <c r="AA65" s="108"/>
      <c r="AB65" s="105"/>
      <c r="AE65" s="105"/>
      <c r="AH65" s="105"/>
      <c r="AK65" s="105"/>
    </row>
    <row r="66" spans="1:37" s="107" customFormat="1" x14ac:dyDescent="0.25">
      <c r="A66" s="108"/>
      <c r="B66" s="108"/>
      <c r="C66" s="108"/>
      <c r="D66" s="105"/>
      <c r="E66" s="108"/>
      <c r="F66" s="108"/>
      <c r="G66" s="105"/>
      <c r="H66" s="108"/>
      <c r="I66" s="108"/>
      <c r="J66" s="105"/>
      <c r="K66" s="108"/>
      <c r="L66" s="108"/>
      <c r="M66" s="105"/>
      <c r="N66" s="108"/>
      <c r="O66" s="108"/>
      <c r="P66" s="105"/>
      <c r="Q66" s="108"/>
      <c r="R66" s="108"/>
      <c r="S66" s="105"/>
      <c r="T66" s="108"/>
      <c r="U66" s="108"/>
      <c r="V66" s="105"/>
      <c r="W66" s="108"/>
      <c r="X66" s="108"/>
      <c r="Y66" s="105"/>
      <c r="Z66" s="108"/>
      <c r="AA66" s="108"/>
      <c r="AB66" s="105"/>
      <c r="AC66" s="108"/>
      <c r="AD66" s="108"/>
      <c r="AE66" s="105"/>
      <c r="AF66" s="108"/>
      <c r="AG66" s="108"/>
      <c r="AH66" s="105"/>
      <c r="AI66" s="108"/>
      <c r="AJ66" s="108"/>
      <c r="AK66" s="105"/>
    </row>
    <row r="67" spans="1:37" s="107" customFormat="1" x14ac:dyDescent="0.25">
      <c r="A67" s="108"/>
      <c r="B67" s="108"/>
      <c r="C67" s="108"/>
      <c r="D67" s="105"/>
      <c r="E67" s="108"/>
      <c r="F67" s="108"/>
      <c r="G67" s="105"/>
      <c r="H67" s="108"/>
      <c r="I67" s="108"/>
      <c r="J67" s="105"/>
      <c r="K67" s="108"/>
      <c r="L67" s="108"/>
      <c r="M67" s="105"/>
      <c r="N67" s="108"/>
      <c r="O67" s="108"/>
      <c r="P67" s="105"/>
      <c r="Q67" s="108"/>
      <c r="R67" s="108"/>
      <c r="S67" s="105"/>
      <c r="T67" s="108"/>
      <c r="U67" s="108"/>
      <c r="V67" s="105"/>
      <c r="W67" s="108"/>
      <c r="X67" s="108"/>
      <c r="Y67" s="105"/>
      <c r="Z67" s="108"/>
      <c r="AA67" s="108"/>
      <c r="AB67" s="105"/>
      <c r="AC67" s="108"/>
      <c r="AD67" s="108"/>
      <c r="AE67" s="105"/>
      <c r="AF67" s="108"/>
      <c r="AG67" s="108"/>
      <c r="AH67" s="105"/>
      <c r="AI67" s="108"/>
      <c r="AJ67" s="108"/>
      <c r="AK67" s="105"/>
    </row>
    <row r="68" spans="1:37" s="107" customFormat="1" x14ac:dyDescent="0.25"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9"/>
      <c r="R68" s="105"/>
      <c r="S68" s="105"/>
      <c r="U68" s="105"/>
      <c r="V68" s="105"/>
      <c r="X68" s="105"/>
      <c r="Y68" s="105"/>
      <c r="AA68" s="105"/>
      <c r="AB68" s="105"/>
      <c r="AC68" s="109"/>
      <c r="AE68" s="105"/>
      <c r="AF68" s="110"/>
      <c r="AG68" s="110"/>
      <c r="AH68" s="105"/>
      <c r="AI68" s="106"/>
      <c r="AJ68" s="106"/>
      <c r="AK68" s="105"/>
    </row>
    <row r="69" spans="1:37" s="107" customFormat="1" x14ac:dyDescent="0.25"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9"/>
      <c r="R69" s="105"/>
      <c r="S69" s="105"/>
      <c r="U69" s="105"/>
      <c r="V69" s="105"/>
      <c r="X69" s="105"/>
      <c r="Y69" s="105"/>
      <c r="AA69" s="105"/>
      <c r="AB69" s="105"/>
      <c r="AC69" s="109"/>
      <c r="AE69" s="105"/>
      <c r="AF69" s="110"/>
      <c r="AG69" s="110"/>
      <c r="AH69" s="105"/>
      <c r="AI69" s="106"/>
      <c r="AJ69" s="106"/>
      <c r="AK69" s="105"/>
    </row>
    <row r="70" spans="1:37" s="107" customFormat="1" x14ac:dyDescent="0.25"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9"/>
      <c r="R70" s="105"/>
      <c r="S70" s="105"/>
      <c r="U70" s="105"/>
      <c r="V70" s="105"/>
      <c r="X70" s="105"/>
      <c r="Y70" s="105"/>
      <c r="AA70" s="105"/>
      <c r="AB70" s="105"/>
      <c r="AC70" s="109"/>
      <c r="AE70" s="105"/>
      <c r="AF70" s="110"/>
      <c r="AG70" s="110"/>
      <c r="AH70" s="105"/>
      <c r="AI70" s="106"/>
      <c r="AJ70" s="106"/>
      <c r="AK70" s="105"/>
    </row>
    <row r="71" spans="1:37" s="107" customFormat="1" x14ac:dyDescent="0.25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9"/>
      <c r="R71" s="105"/>
      <c r="S71" s="105"/>
      <c r="U71" s="105"/>
      <c r="V71" s="105"/>
      <c r="X71" s="105"/>
      <c r="Y71" s="105"/>
      <c r="AA71" s="105"/>
      <c r="AB71" s="105"/>
      <c r="AC71" s="109"/>
      <c r="AE71" s="105"/>
      <c r="AF71" s="110"/>
      <c r="AG71" s="110"/>
      <c r="AH71" s="105"/>
      <c r="AI71" s="106"/>
      <c r="AJ71" s="106"/>
      <c r="AK71" s="105"/>
    </row>
    <row r="72" spans="1:37" s="107" customFormat="1" x14ac:dyDescent="0.25"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9"/>
      <c r="R72" s="105"/>
      <c r="S72" s="105"/>
      <c r="U72" s="105"/>
      <c r="V72" s="105"/>
      <c r="X72" s="105"/>
      <c r="Y72" s="105"/>
      <c r="AA72" s="105"/>
      <c r="AB72" s="105"/>
      <c r="AC72" s="109"/>
      <c r="AE72" s="105"/>
      <c r="AF72" s="110"/>
      <c r="AG72" s="110"/>
      <c r="AH72" s="105"/>
      <c r="AI72" s="106"/>
      <c r="AJ72" s="106"/>
      <c r="AK72" s="105"/>
    </row>
    <row r="73" spans="1:37" s="107" customFormat="1" x14ac:dyDescent="0.25"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9"/>
      <c r="R73" s="105"/>
      <c r="S73" s="105"/>
      <c r="U73" s="105"/>
      <c r="V73" s="105"/>
      <c r="X73" s="105"/>
      <c r="Y73" s="105"/>
      <c r="AA73" s="105"/>
      <c r="AB73" s="105"/>
      <c r="AC73" s="109"/>
      <c r="AE73" s="105"/>
      <c r="AF73" s="110"/>
      <c r="AG73" s="110"/>
      <c r="AH73" s="105"/>
      <c r="AI73" s="106"/>
      <c r="AJ73" s="106"/>
      <c r="AK73" s="105"/>
    </row>
    <row r="74" spans="1:37" s="107" customFormat="1" x14ac:dyDescent="0.25"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9"/>
      <c r="R74" s="105"/>
      <c r="S74" s="105"/>
      <c r="U74" s="105"/>
      <c r="V74" s="105"/>
      <c r="X74" s="105"/>
      <c r="Y74" s="105"/>
      <c r="AA74" s="105"/>
      <c r="AB74" s="105"/>
      <c r="AC74" s="109"/>
      <c r="AE74" s="105"/>
      <c r="AF74" s="110"/>
      <c r="AG74" s="110"/>
      <c r="AH74" s="105"/>
      <c r="AI74" s="106"/>
      <c r="AJ74" s="106"/>
      <c r="AK74" s="105"/>
    </row>
    <row r="75" spans="1:37" s="107" customFormat="1" x14ac:dyDescent="0.25"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9"/>
      <c r="R75" s="105"/>
      <c r="S75" s="105"/>
      <c r="U75" s="105"/>
      <c r="V75" s="105"/>
      <c r="X75" s="105"/>
      <c r="Y75" s="105"/>
      <c r="AA75" s="105"/>
      <c r="AB75" s="105"/>
      <c r="AC75" s="109"/>
      <c r="AE75" s="105"/>
      <c r="AF75" s="110"/>
      <c r="AG75" s="110"/>
      <c r="AH75" s="105"/>
      <c r="AI75" s="106"/>
      <c r="AJ75" s="106"/>
      <c r="AK75" s="105"/>
    </row>
    <row r="76" spans="1:37" s="107" customFormat="1" x14ac:dyDescent="0.25"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9"/>
      <c r="R76" s="105"/>
      <c r="S76" s="105"/>
      <c r="U76" s="105"/>
      <c r="V76" s="105"/>
      <c r="X76" s="105"/>
      <c r="Y76" s="105"/>
      <c r="AA76" s="105"/>
      <c r="AB76" s="105"/>
      <c r="AC76" s="109"/>
      <c r="AE76" s="105"/>
      <c r="AF76" s="110"/>
      <c r="AG76" s="110"/>
      <c r="AH76" s="105"/>
      <c r="AI76" s="106"/>
      <c r="AJ76" s="106"/>
      <c r="AK76" s="105"/>
    </row>
    <row r="77" spans="1:37" s="107" customFormat="1" x14ac:dyDescent="0.25"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9"/>
      <c r="R77" s="105"/>
      <c r="S77" s="105"/>
      <c r="U77" s="105"/>
      <c r="V77" s="105"/>
      <c r="X77" s="105"/>
      <c r="Y77" s="105"/>
      <c r="AA77" s="105"/>
      <c r="AB77" s="105"/>
      <c r="AC77" s="109"/>
      <c r="AE77" s="105"/>
      <c r="AF77" s="110"/>
      <c r="AG77" s="110"/>
      <c r="AH77" s="105"/>
      <c r="AI77" s="106"/>
      <c r="AJ77" s="106"/>
      <c r="AK77" s="105"/>
    </row>
    <row r="78" spans="1:37" s="107" customFormat="1" x14ac:dyDescent="0.25">
      <c r="A78" s="108"/>
      <c r="B78" s="108"/>
      <c r="C78" s="108"/>
      <c r="D78" s="105"/>
      <c r="E78" s="108"/>
      <c r="F78" s="108"/>
      <c r="G78" s="105"/>
      <c r="H78" s="108"/>
      <c r="I78" s="108"/>
      <c r="J78" s="105"/>
      <c r="K78" s="108"/>
      <c r="L78" s="108"/>
      <c r="M78" s="105"/>
      <c r="N78" s="108"/>
      <c r="O78" s="108"/>
      <c r="P78" s="105"/>
      <c r="Q78" s="108"/>
      <c r="R78" s="108"/>
      <c r="S78" s="105"/>
      <c r="T78" s="108"/>
      <c r="U78" s="108"/>
      <c r="V78" s="105"/>
      <c r="W78" s="108"/>
      <c r="X78" s="108"/>
      <c r="Y78" s="105"/>
      <c r="Z78" s="108"/>
      <c r="AA78" s="108"/>
      <c r="AB78" s="105"/>
      <c r="AE78" s="105"/>
      <c r="AH78" s="105"/>
      <c r="AK78" s="105"/>
    </row>
    <row r="79" spans="1:37" s="107" customFormat="1" x14ac:dyDescent="0.25">
      <c r="A79" s="108"/>
      <c r="B79" s="108"/>
      <c r="C79" s="108"/>
      <c r="D79" s="105"/>
      <c r="E79" s="108"/>
      <c r="F79" s="108"/>
      <c r="G79" s="105"/>
      <c r="H79" s="108"/>
      <c r="I79" s="108"/>
      <c r="J79" s="105"/>
      <c r="K79" s="108"/>
      <c r="L79" s="108"/>
      <c r="M79" s="105"/>
      <c r="N79" s="108"/>
      <c r="O79" s="108"/>
      <c r="P79" s="105"/>
      <c r="Q79" s="108"/>
      <c r="R79" s="108"/>
      <c r="S79" s="105"/>
      <c r="T79" s="108"/>
      <c r="U79" s="108"/>
      <c r="V79" s="105"/>
      <c r="W79" s="108"/>
      <c r="X79" s="108"/>
      <c r="Y79" s="105"/>
      <c r="Z79" s="108"/>
      <c r="AA79" s="108"/>
      <c r="AB79" s="105"/>
      <c r="AE79" s="105"/>
      <c r="AH79" s="105"/>
      <c r="AK79" s="105"/>
    </row>
    <row r="80" spans="1:37" s="107" customFormat="1" x14ac:dyDescent="0.25">
      <c r="D80" s="105"/>
      <c r="G80" s="105"/>
      <c r="J80" s="105"/>
      <c r="M80" s="105"/>
      <c r="P80" s="105"/>
      <c r="S80" s="105"/>
      <c r="V80" s="105"/>
      <c r="Y80" s="105"/>
      <c r="AB80" s="105"/>
      <c r="AE80" s="105"/>
      <c r="AH80" s="105"/>
      <c r="AK80" s="105"/>
    </row>
    <row r="81" spans="1:37" s="107" customFormat="1" x14ac:dyDescent="0.25">
      <c r="A81" s="108"/>
      <c r="B81" s="108"/>
      <c r="C81" s="108"/>
      <c r="D81" s="105"/>
      <c r="E81" s="108"/>
      <c r="F81" s="108"/>
      <c r="G81" s="105"/>
      <c r="H81" s="108"/>
      <c r="I81" s="108"/>
      <c r="J81" s="105"/>
      <c r="K81" s="108"/>
      <c r="L81" s="108"/>
      <c r="M81" s="105"/>
      <c r="N81" s="108"/>
      <c r="O81" s="108"/>
      <c r="P81" s="105"/>
      <c r="Q81" s="108"/>
      <c r="R81" s="108"/>
      <c r="S81" s="105"/>
      <c r="T81" s="108"/>
      <c r="U81" s="108"/>
      <c r="V81" s="105"/>
      <c r="W81" s="108"/>
      <c r="X81" s="108"/>
      <c r="Y81" s="105"/>
      <c r="Z81" s="108"/>
      <c r="AA81" s="108"/>
      <c r="AB81" s="105"/>
      <c r="AC81" s="108"/>
      <c r="AD81" s="108"/>
      <c r="AE81" s="105"/>
      <c r="AF81" s="108"/>
      <c r="AG81" s="108"/>
      <c r="AH81" s="105"/>
      <c r="AI81" s="108"/>
      <c r="AJ81" s="108"/>
      <c r="AK81" s="105"/>
    </row>
    <row r="82" spans="1:37" s="107" customFormat="1" x14ac:dyDescent="0.25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9"/>
      <c r="R82" s="105"/>
      <c r="S82" s="105"/>
      <c r="U82" s="105"/>
      <c r="V82" s="105"/>
      <c r="X82" s="105"/>
      <c r="Y82" s="105"/>
      <c r="AA82" s="105"/>
      <c r="AB82" s="105"/>
      <c r="AC82" s="109"/>
      <c r="AE82" s="105"/>
      <c r="AF82" s="110"/>
      <c r="AG82" s="110"/>
      <c r="AH82" s="105"/>
      <c r="AI82" s="106"/>
      <c r="AJ82" s="106"/>
      <c r="AK82" s="105"/>
    </row>
    <row r="83" spans="1:37" s="107" customFormat="1" x14ac:dyDescent="0.25"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9"/>
      <c r="R83" s="105"/>
      <c r="S83" s="105"/>
      <c r="U83" s="105"/>
      <c r="V83" s="105"/>
      <c r="X83" s="105"/>
      <c r="Y83" s="105"/>
      <c r="AA83" s="105"/>
      <c r="AB83" s="105"/>
      <c r="AC83" s="109"/>
      <c r="AE83" s="105"/>
      <c r="AF83" s="110"/>
      <c r="AG83" s="110"/>
      <c r="AH83" s="105"/>
      <c r="AI83" s="106"/>
      <c r="AJ83" s="106"/>
      <c r="AK83" s="105"/>
    </row>
    <row r="84" spans="1:37" s="107" customFormat="1" x14ac:dyDescent="0.25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9"/>
      <c r="R84" s="105"/>
      <c r="S84" s="105"/>
      <c r="U84" s="105"/>
      <c r="V84" s="105"/>
      <c r="X84" s="105"/>
      <c r="Y84" s="105"/>
      <c r="AA84" s="105"/>
      <c r="AB84" s="105"/>
      <c r="AC84" s="109"/>
      <c r="AE84" s="105"/>
      <c r="AF84" s="110"/>
      <c r="AG84" s="110"/>
      <c r="AH84" s="105"/>
      <c r="AI84" s="106"/>
      <c r="AJ84" s="106"/>
      <c r="AK84" s="105"/>
    </row>
    <row r="85" spans="1:37" s="107" customFormat="1" x14ac:dyDescent="0.25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9"/>
      <c r="R85" s="105"/>
      <c r="S85" s="105"/>
      <c r="U85" s="105"/>
      <c r="V85" s="105"/>
      <c r="X85" s="105"/>
      <c r="Y85" s="105"/>
      <c r="AA85" s="105"/>
      <c r="AB85" s="105"/>
      <c r="AC85" s="109"/>
      <c r="AE85" s="105"/>
      <c r="AF85" s="110"/>
      <c r="AG85" s="110"/>
      <c r="AH85" s="105"/>
      <c r="AI85" s="106"/>
      <c r="AJ85" s="106"/>
      <c r="AK85" s="105"/>
    </row>
    <row r="86" spans="1:37" s="107" customFormat="1" x14ac:dyDescent="0.25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9"/>
      <c r="R86" s="105"/>
      <c r="S86" s="105"/>
      <c r="U86" s="105"/>
      <c r="V86" s="105"/>
      <c r="X86" s="105"/>
      <c r="Y86" s="105"/>
      <c r="AA86" s="105"/>
      <c r="AB86" s="105"/>
      <c r="AC86" s="109"/>
      <c r="AE86" s="105"/>
      <c r="AF86" s="110"/>
      <c r="AG86" s="110"/>
      <c r="AH86" s="105"/>
      <c r="AI86" s="106"/>
      <c r="AJ86" s="106"/>
      <c r="AK86" s="105"/>
    </row>
    <row r="87" spans="1:37" s="107" customFormat="1" x14ac:dyDescent="0.25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9"/>
      <c r="R87" s="105"/>
      <c r="S87" s="105"/>
      <c r="U87" s="105"/>
      <c r="V87" s="105"/>
      <c r="X87" s="105"/>
      <c r="Y87" s="105"/>
      <c r="AA87" s="105"/>
      <c r="AB87" s="105"/>
      <c r="AC87" s="109"/>
      <c r="AE87" s="105"/>
      <c r="AF87" s="110"/>
      <c r="AG87" s="110"/>
      <c r="AH87" s="105"/>
      <c r="AI87" s="106"/>
      <c r="AJ87" s="106"/>
      <c r="AK87" s="105"/>
    </row>
    <row r="88" spans="1:37" s="107" customFormat="1" x14ac:dyDescent="0.25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9"/>
      <c r="R88" s="105"/>
      <c r="S88" s="105"/>
      <c r="U88" s="105"/>
      <c r="V88" s="105"/>
      <c r="X88" s="105"/>
      <c r="Y88" s="105"/>
      <c r="AA88" s="105"/>
      <c r="AB88" s="105"/>
      <c r="AC88" s="109"/>
      <c r="AE88" s="105"/>
      <c r="AF88" s="110"/>
      <c r="AG88" s="110"/>
      <c r="AH88" s="105"/>
      <c r="AI88" s="106"/>
      <c r="AJ88" s="106"/>
      <c r="AK88" s="105"/>
    </row>
    <row r="89" spans="1:37" s="107" customFormat="1" x14ac:dyDescent="0.25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9"/>
      <c r="R89" s="105"/>
      <c r="S89" s="105"/>
      <c r="U89" s="105"/>
      <c r="V89" s="105"/>
      <c r="X89" s="105"/>
      <c r="Y89" s="105"/>
      <c r="AA89" s="105"/>
      <c r="AB89" s="105"/>
      <c r="AC89" s="109"/>
      <c r="AE89" s="105"/>
      <c r="AF89" s="110"/>
      <c r="AG89" s="110"/>
      <c r="AH89" s="105"/>
      <c r="AI89" s="106"/>
      <c r="AJ89" s="106"/>
      <c r="AK89" s="105"/>
    </row>
    <row r="90" spans="1:37" s="107" customFormat="1" x14ac:dyDescent="0.25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9"/>
      <c r="R90" s="105"/>
      <c r="S90" s="105"/>
      <c r="U90" s="105"/>
      <c r="V90" s="105"/>
      <c r="X90" s="105"/>
      <c r="Y90" s="105"/>
      <c r="AA90" s="105"/>
      <c r="AB90" s="105"/>
      <c r="AC90" s="109"/>
      <c r="AE90" s="105"/>
      <c r="AF90" s="110"/>
      <c r="AG90" s="110"/>
      <c r="AH90" s="105"/>
      <c r="AI90" s="106"/>
      <c r="AJ90" s="106"/>
      <c r="AK90" s="105"/>
    </row>
    <row r="91" spans="1:37" s="107" customFormat="1" x14ac:dyDescent="0.25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9"/>
      <c r="R91" s="105"/>
      <c r="S91" s="105"/>
      <c r="U91" s="105"/>
      <c r="V91" s="105"/>
      <c r="X91" s="105"/>
      <c r="Y91" s="105"/>
      <c r="AA91" s="105"/>
      <c r="AB91" s="105"/>
      <c r="AC91" s="109"/>
      <c r="AE91" s="105"/>
      <c r="AF91" s="110"/>
      <c r="AG91" s="110"/>
      <c r="AH91" s="105"/>
      <c r="AI91" s="106"/>
      <c r="AJ91" s="106"/>
      <c r="AK91" s="105"/>
    </row>
    <row r="92" spans="1:37" s="107" customFormat="1" x14ac:dyDescent="0.25">
      <c r="A92" s="108"/>
      <c r="B92" s="108"/>
      <c r="C92" s="108"/>
      <c r="D92" s="105"/>
      <c r="E92" s="108"/>
      <c r="F92" s="108"/>
      <c r="G92" s="105"/>
      <c r="H92" s="108"/>
      <c r="I92" s="108"/>
      <c r="J92" s="105"/>
      <c r="K92" s="108"/>
      <c r="L92" s="108"/>
      <c r="M92" s="105"/>
      <c r="N92" s="108"/>
      <c r="O92" s="108"/>
      <c r="P92" s="105"/>
      <c r="Q92" s="108"/>
      <c r="R92" s="108"/>
      <c r="S92" s="105"/>
      <c r="T92" s="108"/>
      <c r="U92" s="108"/>
      <c r="V92" s="105"/>
      <c r="W92" s="108"/>
      <c r="X92" s="108"/>
      <c r="Y92" s="105"/>
      <c r="Z92" s="108"/>
      <c r="AA92" s="108"/>
      <c r="AB92" s="105"/>
      <c r="AE92" s="105"/>
      <c r="AH92" s="105"/>
      <c r="AK92" s="105"/>
    </row>
    <row r="93" spans="1:37" s="107" customFormat="1" x14ac:dyDescent="0.25">
      <c r="A93" s="108"/>
      <c r="B93" s="108"/>
      <c r="C93" s="108"/>
      <c r="D93" s="105"/>
      <c r="E93" s="108"/>
      <c r="F93" s="108"/>
      <c r="G93" s="105"/>
      <c r="H93" s="108"/>
      <c r="I93" s="108"/>
      <c r="J93" s="105"/>
      <c r="K93" s="108"/>
      <c r="L93" s="108"/>
      <c r="M93" s="105"/>
      <c r="N93" s="108"/>
      <c r="O93" s="108"/>
      <c r="P93" s="105"/>
      <c r="Q93" s="108"/>
      <c r="R93" s="108"/>
      <c r="S93" s="105"/>
      <c r="T93" s="108"/>
      <c r="U93" s="108"/>
      <c r="V93" s="105"/>
      <c r="W93" s="108"/>
      <c r="X93" s="108"/>
      <c r="Y93" s="105"/>
      <c r="Z93" s="108"/>
      <c r="AA93" s="108"/>
      <c r="AB93" s="105"/>
      <c r="AE93" s="105"/>
      <c r="AH93" s="105"/>
      <c r="AK93" s="105"/>
    </row>
    <row r="94" spans="1:37" s="107" customFormat="1" x14ac:dyDescent="0.25">
      <c r="A94" s="108"/>
      <c r="B94" s="108"/>
      <c r="C94" s="108"/>
      <c r="D94" s="105"/>
      <c r="E94" s="108"/>
      <c r="F94" s="108"/>
      <c r="G94" s="105"/>
      <c r="H94" s="108"/>
      <c r="I94" s="108"/>
      <c r="J94" s="105"/>
      <c r="K94" s="108"/>
      <c r="L94" s="108"/>
      <c r="M94" s="105"/>
      <c r="N94" s="108"/>
      <c r="O94" s="108"/>
      <c r="P94" s="105"/>
      <c r="Q94" s="108"/>
      <c r="R94" s="108"/>
      <c r="S94" s="105"/>
      <c r="T94" s="108"/>
      <c r="U94" s="108"/>
      <c r="V94" s="105"/>
      <c r="W94" s="108"/>
      <c r="X94" s="108"/>
      <c r="Y94" s="105"/>
      <c r="Z94" s="108"/>
      <c r="AA94" s="108"/>
      <c r="AB94" s="105"/>
      <c r="AE94" s="105"/>
      <c r="AH94" s="105"/>
      <c r="AK94" s="105"/>
    </row>
    <row r="95" spans="1:37" s="107" customFormat="1" x14ac:dyDescent="0.25">
      <c r="A95" s="108"/>
      <c r="B95" s="108"/>
      <c r="C95" s="108"/>
      <c r="D95" s="105"/>
      <c r="E95" s="108"/>
      <c r="F95" s="108"/>
      <c r="G95" s="105"/>
      <c r="H95" s="108"/>
      <c r="I95" s="108"/>
      <c r="J95" s="105"/>
      <c r="K95" s="108"/>
      <c r="L95" s="108"/>
      <c r="M95" s="105"/>
      <c r="N95" s="108"/>
      <c r="O95" s="108"/>
      <c r="P95" s="105"/>
      <c r="Q95" s="108"/>
      <c r="R95" s="108"/>
      <c r="S95" s="105"/>
      <c r="T95" s="108"/>
      <c r="U95" s="108"/>
      <c r="V95" s="105"/>
      <c r="W95" s="108"/>
      <c r="X95" s="108"/>
      <c r="Y95" s="105"/>
      <c r="Z95" s="108"/>
      <c r="AA95" s="108"/>
      <c r="AB95" s="105"/>
      <c r="AE95" s="105"/>
      <c r="AH95" s="105"/>
      <c r="AK95" s="105"/>
    </row>
    <row r="96" spans="1:37" s="107" customFormat="1" x14ac:dyDescent="0.25">
      <c r="A96" s="108"/>
      <c r="B96" s="108"/>
      <c r="C96" s="108"/>
      <c r="D96" s="105"/>
      <c r="E96" s="108"/>
      <c r="F96" s="108"/>
      <c r="G96" s="105"/>
      <c r="H96" s="108"/>
      <c r="I96" s="108"/>
      <c r="J96" s="105"/>
      <c r="K96" s="108"/>
      <c r="L96" s="108"/>
      <c r="M96" s="105"/>
      <c r="N96" s="108"/>
      <c r="O96" s="108"/>
      <c r="P96" s="105"/>
      <c r="Q96" s="108"/>
      <c r="R96" s="108"/>
      <c r="S96" s="105"/>
      <c r="T96" s="108"/>
      <c r="U96" s="108"/>
      <c r="V96" s="105"/>
      <c r="W96" s="108"/>
      <c r="X96" s="108"/>
      <c r="Y96" s="105"/>
      <c r="Z96" s="108"/>
      <c r="AA96" s="108"/>
      <c r="AB96" s="105"/>
      <c r="AE96" s="105"/>
      <c r="AH96" s="105"/>
      <c r="AK96" s="105"/>
    </row>
    <row r="97" spans="1:38" s="107" customFormat="1" x14ac:dyDescent="0.25">
      <c r="A97" s="108"/>
      <c r="B97" s="108"/>
      <c r="C97" s="108"/>
      <c r="D97" s="105"/>
      <c r="E97" s="108"/>
      <c r="F97" s="108"/>
      <c r="G97" s="105"/>
      <c r="H97" s="108"/>
      <c r="I97" s="108"/>
      <c r="J97" s="105"/>
      <c r="K97" s="108"/>
      <c r="L97" s="108"/>
      <c r="M97" s="105"/>
      <c r="N97" s="108"/>
      <c r="O97" s="108"/>
      <c r="P97" s="105"/>
      <c r="Q97" s="108"/>
      <c r="R97" s="108"/>
      <c r="S97" s="105"/>
      <c r="T97" s="108"/>
      <c r="U97" s="108"/>
      <c r="V97" s="105"/>
      <c r="W97" s="108"/>
      <c r="X97" s="108"/>
      <c r="Y97" s="105"/>
      <c r="Z97" s="108"/>
      <c r="AA97" s="108"/>
      <c r="AB97" s="105"/>
      <c r="AE97" s="105"/>
      <c r="AH97" s="105"/>
      <c r="AK97" s="105"/>
    </row>
    <row r="98" spans="1:38" s="107" customFormat="1" ht="122.25" customHeight="1" x14ac:dyDescent="0.25">
      <c r="A98" s="108"/>
      <c r="B98" s="108"/>
      <c r="C98" s="108"/>
      <c r="D98" s="105"/>
      <c r="E98" s="108"/>
      <c r="F98" s="108"/>
      <c r="G98" s="105"/>
      <c r="H98" s="108"/>
      <c r="I98" s="108"/>
      <c r="J98" s="105"/>
      <c r="K98" s="108"/>
      <c r="L98" s="108"/>
      <c r="M98" s="105"/>
      <c r="N98" s="108"/>
      <c r="O98" s="108"/>
      <c r="P98" s="105"/>
      <c r="Q98" s="108"/>
      <c r="R98" s="108"/>
      <c r="S98" s="105"/>
      <c r="T98" s="108"/>
      <c r="U98" s="108"/>
      <c r="V98" s="105"/>
      <c r="W98" s="108"/>
      <c r="X98" s="108"/>
      <c r="Y98" s="105"/>
      <c r="Z98" s="108"/>
      <c r="AA98" s="108"/>
      <c r="AB98" s="105"/>
      <c r="AC98" s="108"/>
      <c r="AD98" s="108"/>
      <c r="AE98" s="105"/>
      <c r="AF98" s="108"/>
      <c r="AG98" s="108"/>
      <c r="AH98" s="105"/>
      <c r="AI98" s="108"/>
      <c r="AJ98" s="108"/>
      <c r="AK98" s="105"/>
      <c r="AL98" s="108"/>
    </row>
    <row r="99" spans="1:38" s="107" customFormat="1" x14ac:dyDescent="0.25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K99" s="105"/>
      <c r="AL99" s="105"/>
    </row>
    <row r="100" spans="1:38" s="107" customFormat="1" x14ac:dyDescent="0.25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K100" s="105"/>
      <c r="AL100" s="105"/>
    </row>
    <row r="101" spans="1:38" s="107" customFormat="1" x14ac:dyDescent="0.25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K101" s="105"/>
      <c r="AL101" s="105"/>
    </row>
    <row r="102" spans="1:38" s="107" customFormat="1" x14ac:dyDescent="0.25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K102" s="105"/>
      <c r="AL102" s="105"/>
    </row>
    <row r="103" spans="1:38" s="107" customFormat="1" x14ac:dyDescent="0.25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K103" s="105"/>
      <c r="AL103" s="105"/>
    </row>
    <row r="104" spans="1:38" s="107" customFormat="1" x14ac:dyDescent="0.25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K104" s="105"/>
      <c r="AL104" s="105"/>
    </row>
    <row r="105" spans="1:38" s="107" customFormat="1" x14ac:dyDescent="0.25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K105" s="105"/>
      <c r="AL105" s="105"/>
    </row>
    <row r="106" spans="1:38" s="107" customFormat="1" x14ac:dyDescent="0.25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K106" s="105"/>
      <c r="AL106" s="105"/>
    </row>
    <row r="107" spans="1:38" s="107" customFormat="1" x14ac:dyDescent="0.25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K107" s="105"/>
      <c r="AL107" s="105"/>
    </row>
    <row r="108" spans="1:38" s="107" customFormat="1" x14ac:dyDescent="0.25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K108" s="105"/>
      <c r="AL108" s="105"/>
    </row>
    <row r="109" spans="1:38" s="107" customFormat="1" x14ac:dyDescent="0.25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5"/>
      <c r="W109" s="108"/>
      <c r="X109" s="108"/>
      <c r="Y109" s="108"/>
      <c r="Z109" s="108"/>
      <c r="AA109" s="108"/>
      <c r="AB109" s="108"/>
    </row>
    <row r="110" spans="1:38" s="107" customFormat="1" x14ac:dyDescent="0.25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</row>
    <row r="111" spans="1:38" s="107" customFormat="1" ht="122.25" customHeight="1" x14ac:dyDescent="0.25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5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</row>
    <row r="112" spans="1:38" s="107" customFormat="1" x14ac:dyDescent="0.25"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K112" s="105"/>
      <c r="AL112" s="105"/>
    </row>
    <row r="113" spans="1:38" s="107" customFormat="1" x14ac:dyDescent="0.25"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K113" s="105"/>
      <c r="AL113" s="105"/>
    </row>
    <row r="114" spans="1:38" s="107" customFormat="1" x14ac:dyDescent="0.25"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K114" s="105"/>
      <c r="AL114" s="105"/>
    </row>
    <row r="115" spans="1:38" s="107" customFormat="1" x14ac:dyDescent="0.25"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K115" s="105"/>
      <c r="AL115" s="105"/>
    </row>
    <row r="116" spans="1:38" s="107" customFormat="1" x14ac:dyDescent="0.25"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K116" s="105"/>
      <c r="AL116" s="105"/>
    </row>
    <row r="117" spans="1:38" s="107" customFormat="1" x14ac:dyDescent="0.25"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K117" s="105"/>
      <c r="AL117" s="105"/>
    </row>
    <row r="118" spans="1:38" s="107" customFormat="1" x14ac:dyDescent="0.25"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K118" s="105"/>
      <c r="AL118" s="105"/>
    </row>
    <row r="119" spans="1:38" s="107" customFormat="1" x14ac:dyDescent="0.25"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K119" s="105"/>
      <c r="AL119" s="105"/>
    </row>
    <row r="120" spans="1:38" s="107" customFormat="1" x14ac:dyDescent="0.25"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K120" s="105"/>
      <c r="AL120" s="105"/>
    </row>
    <row r="121" spans="1:38" s="107" customFormat="1" x14ac:dyDescent="0.25"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K121" s="105"/>
      <c r="AL121" s="105"/>
    </row>
    <row r="122" spans="1:38" s="107" customFormat="1" x14ac:dyDescent="0.25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</row>
    <row r="123" spans="1:38" s="107" customFormat="1" x14ac:dyDescent="0.25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</row>
    <row r="124" spans="1:38" s="107" customFormat="1" x14ac:dyDescent="0.25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</row>
    <row r="125" spans="1:38" s="107" customFormat="1" x14ac:dyDescent="0.25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</row>
    <row r="126" spans="1:38" s="107" customFormat="1" ht="122.25" customHeight="1" x14ac:dyDescent="0.25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</row>
    <row r="127" spans="1:38" s="107" customFormat="1" x14ac:dyDescent="0.25"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K127" s="105"/>
      <c r="AL127" s="105"/>
    </row>
    <row r="128" spans="1:38" s="107" customFormat="1" x14ac:dyDescent="0.25"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K128" s="105"/>
      <c r="AL128" s="105"/>
    </row>
    <row r="129" spans="1:38" s="107" customFormat="1" x14ac:dyDescent="0.25"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K129" s="105"/>
      <c r="AL129" s="105"/>
    </row>
    <row r="130" spans="1:38" s="107" customFormat="1" x14ac:dyDescent="0.25"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K130" s="105"/>
      <c r="AL130" s="105"/>
    </row>
    <row r="131" spans="1:38" s="107" customFormat="1" x14ac:dyDescent="0.25"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K131" s="105"/>
      <c r="AL131" s="105"/>
    </row>
    <row r="132" spans="1:38" s="107" customFormat="1" x14ac:dyDescent="0.25"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K132" s="105"/>
      <c r="AL132" s="105"/>
    </row>
    <row r="133" spans="1:38" s="107" customFormat="1" x14ac:dyDescent="0.25"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K133" s="105"/>
      <c r="AL133" s="105"/>
    </row>
    <row r="134" spans="1:38" s="107" customFormat="1" x14ac:dyDescent="0.25"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K134" s="105"/>
      <c r="AL134" s="105"/>
    </row>
    <row r="135" spans="1:38" s="107" customFormat="1" x14ac:dyDescent="0.25"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K135" s="105"/>
      <c r="AL135" s="105"/>
    </row>
    <row r="136" spans="1:38" s="107" customFormat="1" x14ac:dyDescent="0.25"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K136" s="105"/>
      <c r="AL136" s="105"/>
    </row>
    <row r="137" spans="1:38" s="107" customFormat="1" x14ac:dyDescent="0.25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</row>
    <row r="138" spans="1:38" s="107" customFormat="1" x14ac:dyDescent="0.25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</row>
    <row r="139" spans="1:38" s="107" customFormat="1" x14ac:dyDescent="0.25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</row>
    <row r="140" spans="1:38" s="107" customFormat="1" x14ac:dyDescent="0.25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</row>
    <row r="141" spans="1:38" s="107" customFormat="1" ht="122.25" customHeight="1" x14ac:dyDescent="0.25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</row>
    <row r="142" spans="1:38" s="107" customFormat="1" x14ac:dyDescent="0.25"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K142" s="105"/>
      <c r="AL142" s="105"/>
    </row>
    <row r="143" spans="1:38" s="107" customFormat="1" x14ac:dyDescent="0.25"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K143" s="105"/>
      <c r="AL143" s="105"/>
    </row>
    <row r="144" spans="1:38" s="107" customFormat="1" x14ac:dyDescent="0.25"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K144" s="105"/>
      <c r="AL144" s="105"/>
    </row>
    <row r="145" spans="1:38" s="107" customFormat="1" x14ac:dyDescent="0.25"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K145" s="105"/>
      <c r="AL145" s="105"/>
    </row>
    <row r="146" spans="1:38" s="107" customFormat="1" x14ac:dyDescent="0.25"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K146" s="105"/>
      <c r="AL146" s="105"/>
    </row>
    <row r="147" spans="1:38" s="107" customFormat="1" x14ac:dyDescent="0.25"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K147" s="105"/>
      <c r="AL147" s="105"/>
    </row>
    <row r="148" spans="1:38" s="107" customFormat="1" x14ac:dyDescent="0.25"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K148" s="105"/>
      <c r="AL148" s="105"/>
    </row>
    <row r="149" spans="1:38" s="107" customFormat="1" x14ac:dyDescent="0.25"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K149" s="105"/>
      <c r="AL149" s="105"/>
    </row>
    <row r="150" spans="1:38" s="107" customFormat="1" x14ac:dyDescent="0.25"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K150" s="105"/>
      <c r="AL150" s="105"/>
    </row>
    <row r="151" spans="1:38" s="107" customFormat="1" x14ac:dyDescent="0.25"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K151" s="105"/>
      <c r="AL151" s="105"/>
    </row>
    <row r="152" spans="1:38" s="107" customFormat="1" x14ac:dyDescent="0.25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</row>
    <row r="153" spans="1:38" s="107" customFormat="1" x14ac:dyDescent="0.25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</row>
    <row r="154" spans="1:38" s="107" customFormat="1" x14ac:dyDescent="0.25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</row>
    <row r="155" spans="1:38" s="107" customFormat="1" ht="122.25" customHeight="1" x14ac:dyDescent="0.25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08"/>
      <c r="AK155" s="108"/>
      <c r="AL155" s="108"/>
    </row>
    <row r="156" spans="1:38" s="107" customFormat="1" x14ac:dyDescent="0.25"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K156" s="105"/>
      <c r="AL156" s="105"/>
    </row>
    <row r="157" spans="1:38" s="107" customFormat="1" x14ac:dyDescent="0.25"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K157" s="105"/>
      <c r="AL157" s="105"/>
    </row>
    <row r="158" spans="1:38" s="107" customFormat="1" x14ac:dyDescent="0.25"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K158" s="105"/>
      <c r="AL158" s="105"/>
    </row>
    <row r="159" spans="1:38" s="107" customFormat="1" x14ac:dyDescent="0.25"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K159" s="105"/>
      <c r="AL159" s="105"/>
    </row>
    <row r="160" spans="1:38" s="107" customFormat="1" x14ac:dyDescent="0.25"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K160" s="105"/>
      <c r="AL160" s="105"/>
    </row>
    <row r="161" spans="1:38" s="107" customFormat="1" x14ac:dyDescent="0.25"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K161" s="105"/>
      <c r="AL161" s="105"/>
    </row>
    <row r="162" spans="1:38" s="107" customFormat="1" x14ac:dyDescent="0.25"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K162" s="105"/>
      <c r="AL162" s="105"/>
    </row>
    <row r="163" spans="1:38" s="107" customFormat="1" x14ac:dyDescent="0.25"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K163" s="105"/>
      <c r="AL163" s="105"/>
    </row>
    <row r="164" spans="1:38" s="107" customFormat="1" x14ac:dyDescent="0.25"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K164" s="105"/>
      <c r="AL164" s="105"/>
    </row>
    <row r="165" spans="1:38" s="107" customFormat="1" x14ac:dyDescent="0.25"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K165" s="105"/>
      <c r="AL165" s="105"/>
    </row>
    <row r="166" spans="1:38" s="107" customFormat="1" x14ac:dyDescent="0.25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</row>
    <row r="167" spans="1:38" s="107" customFormat="1" x14ac:dyDescent="0.25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</row>
    <row r="168" spans="1:38" s="107" customFormat="1" x14ac:dyDescent="0.25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</row>
    <row r="169" spans="1:38" s="107" customFormat="1" x14ac:dyDescent="0.25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</row>
    <row r="170" spans="1:38" s="107" customFormat="1" x14ac:dyDescent="0.25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</row>
    <row r="171" spans="1:38" s="107" customFormat="1" x14ac:dyDescent="0.25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</row>
    <row r="172" spans="1:38" s="107" customFormat="1" x14ac:dyDescent="0.25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</row>
    <row r="173" spans="1:38" s="107" customFormat="1" x14ac:dyDescent="0.25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</row>
    <row r="174" spans="1:38" s="107" customFormat="1" x14ac:dyDescent="0.25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</row>
    <row r="175" spans="1:38" s="107" customFormat="1" x14ac:dyDescent="0.25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</row>
    <row r="176" spans="1:38" s="107" customFormat="1" x14ac:dyDescent="0.25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</row>
    <row r="177" spans="1:28" s="107" customFormat="1" x14ac:dyDescent="0.25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</row>
    <row r="178" spans="1:28" s="107" customFormat="1" x14ac:dyDescent="0.25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</row>
    <row r="179" spans="1:28" s="107" customFormat="1" x14ac:dyDescent="0.25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</row>
    <row r="180" spans="1:28" s="107" customFormat="1" x14ac:dyDescent="0.25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</row>
    <row r="181" spans="1:28" s="107" customFormat="1" x14ac:dyDescent="0.25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</row>
    <row r="182" spans="1:28" s="107" customFormat="1" x14ac:dyDescent="0.25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</row>
    <row r="183" spans="1:28" s="107" customFormat="1" x14ac:dyDescent="0.25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</row>
    <row r="184" spans="1:28" s="107" customFormat="1" x14ac:dyDescent="0.25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</row>
    <row r="185" spans="1:28" s="107" customFormat="1" x14ac:dyDescent="0.25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</row>
    <row r="186" spans="1:28" s="107" customFormat="1" x14ac:dyDescent="0.25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</row>
    <row r="187" spans="1:28" s="107" customFormat="1" x14ac:dyDescent="0.25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</row>
    <row r="188" spans="1:28" s="107" customFormat="1" x14ac:dyDescent="0.25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</row>
    <row r="189" spans="1:28" s="107" customFormat="1" x14ac:dyDescent="0.25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</row>
    <row r="190" spans="1:28" s="107" customFormat="1" x14ac:dyDescent="0.25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</row>
    <row r="191" spans="1:28" s="107" customFormat="1" x14ac:dyDescent="0.25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</row>
    <row r="192" spans="1:28" s="107" customFormat="1" x14ac:dyDescent="0.25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</row>
    <row r="193" spans="1:28" s="107" customFormat="1" x14ac:dyDescent="0.25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</row>
    <row r="194" spans="1:28" s="107" customFormat="1" x14ac:dyDescent="0.25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</row>
    <row r="195" spans="1:28" s="107" customFormat="1" x14ac:dyDescent="0.25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</row>
    <row r="196" spans="1:28" s="107" customFormat="1" x14ac:dyDescent="0.25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</row>
    <row r="197" spans="1:28" s="107" customFormat="1" x14ac:dyDescent="0.25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</row>
    <row r="198" spans="1:28" s="107" customFormat="1" x14ac:dyDescent="0.25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</row>
    <row r="199" spans="1:28" s="107" customFormat="1" x14ac:dyDescent="0.25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</row>
    <row r="200" spans="1:28" s="107" customFormat="1" x14ac:dyDescent="0.25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</row>
    <row r="201" spans="1:28" s="107" customFormat="1" x14ac:dyDescent="0.25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</row>
    <row r="202" spans="1:28" s="107" customFormat="1" x14ac:dyDescent="0.25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</row>
    <row r="203" spans="1:28" s="107" customFormat="1" x14ac:dyDescent="0.25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</row>
    <row r="204" spans="1:28" s="107" customFormat="1" x14ac:dyDescent="0.25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</row>
    <row r="205" spans="1:28" s="107" customFormat="1" x14ac:dyDescent="0.25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</row>
    <row r="206" spans="1:28" s="107" customFormat="1" x14ac:dyDescent="0.25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</row>
    <row r="207" spans="1:28" s="107" customFormat="1" x14ac:dyDescent="0.25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</row>
    <row r="208" spans="1:28" s="107" customFormat="1" x14ac:dyDescent="0.25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</row>
    <row r="209" spans="1:28" s="107" customFormat="1" x14ac:dyDescent="0.25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</row>
    <row r="210" spans="1:28" s="107" customFormat="1" x14ac:dyDescent="0.25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</row>
    <row r="211" spans="1:28" s="107" customFormat="1" x14ac:dyDescent="0.25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</row>
    <row r="212" spans="1:28" s="107" customFormat="1" x14ac:dyDescent="0.25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</row>
    <row r="213" spans="1:28" s="107" customFormat="1" x14ac:dyDescent="0.25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</row>
    <row r="214" spans="1:28" s="107" customFormat="1" x14ac:dyDescent="0.25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</row>
    <row r="215" spans="1:28" s="107" customFormat="1" x14ac:dyDescent="0.25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</row>
    <row r="216" spans="1:28" s="107" customFormat="1" x14ac:dyDescent="0.25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</row>
    <row r="217" spans="1:28" s="107" customFormat="1" x14ac:dyDescent="0.25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</row>
    <row r="218" spans="1:28" s="107" customFormat="1" x14ac:dyDescent="0.25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</row>
    <row r="219" spans="1:28" s="107" customFormat="1" x14ac:dyDescent="0.25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</row>
    <row r="220" spans="1:28" s="107" customFormat="1" x14ac:dyDescent="0.25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</row>
    <row r="221" spans="1:28" s="107" customFormat="1" x14ac:dyDescent="0.25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</row>
    <row r="222" spans="1:28" s="107" customFormat="1" x14ac:dyDescent="0.25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</row>
    <row r="223" spans="1:28" s="107" customFormat="1" x14ac:dyDescent="0.25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</row>
    <row r="224" spans="1:28" s="107" customFormat="1" x14ac:dyDescent="0.25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</row>
    <row r="225" spans="1:28" s="107" customFormat="1" x14ac:dyDescent="0.25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</row>
    <row r="226" spans="1:28" s="107" customFormat="1" x14ac:dyDescent="0.25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</row>
    <row r="227" spans="1:28" s="107" customFormat="1" x14ac:dyDescent="0.25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</row>
    <row r="228" spans="1:28" s="107" customFormat="1" x14ac:dyDescent="0.25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</row>
    <row r="229" spans="1:28" s="107" customFormat="1" x14ac:dyDescent="0.25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</row>
    <row r="230" spans="1:28" s="107" customFormat="1" x14ac:dyDescent="0.25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</row>
    <row r="231" spans="1:28" s="107" customFormat="1" x14ac:dyDescent="0.25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</row>
    <row r="232" spans="1:28" s="107" customFormat="1" x14ac:dyDescent="0.25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</row>
    <row r="233" spans="1:28" s="107" customFormat="1" x14ac:dyDescent="0.25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</row>
    <row r="234" spans="1:28" s="107" customFormat="1" x14ac:dyDescent="0.25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</row>
    <row r="235" spans="1:28" s="107" customFormat="1" x14ac:dyDescent="0.25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</row>
    <row r="236" spans="1:28" s="107" customFormat="1" x14ac:dyDescent="0.25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</row>
    <row r="237" spans="1:28" s="107" customFormat="1" x14ac:dyDescent="0.25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</row>
    <row r="238" spans="1:28" s="107" customFormat="1" x14ac:dyDescent="0.25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</row>
    <row r="239" spans="1:28" s="107" customFormat="1" x14ac:dyDescent="0.25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</row>
    <row r="240" spans="1:28" s="107" customFormat="1" x14ac:dyDescent="0.25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</row>
    <row r="241" spans="1:28" s="107" customFormat="1" x14ac:dyDescent="0.25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</row>
    <row r="242" spans="1:28" s="107" customFormat="1" x14ac:dyDescent="0.25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</row>
    <row r="243" spans="1:28" s="107" customFormat="1" x14ac:dyDescent="0.25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</row>
    <row r="244" spans="1:28" s="107" customFormat="1" x14ac:dyDescent="0.25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</row>
    <row r="245" spans="1:28" s="107" customFormat="1" x14ac:dyDescent="0.25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</row>
    <row r="246" spans="1:28" s="107" customFormat="1" x14ac:dyDescent="0.25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</row>
    <row r="247" spans="1:28" s="107" customFormat="1" x14ac:dyDescent="0.25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</row>
    <row r="248" spans="1:28" s="107" customFormat="1" x14ac:dyDescent="0.25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</row>
    <row r="249" spans="1:28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</row>
    <row r="250" spans="1:28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</row>
    <row r="251" spans="1:28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</row>
    <row r="252" spans="1:28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</row>
    <row r="253" spans="1:28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</row>
    <row r="254" spans="1:28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</row>
    <row r="255" spans="1:28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</row>
    <row r="256" spans="1:28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</row>
    <row r="257" spans="1:28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</row>
    <row r="258" spans="1:28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</row>
    <row r="259" spans="1:28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</row>
    <row r="260" spans="1:28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</row>
    <row r="261" spans="1:28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</row>
    <row r="262" spans="1:28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</row>
    <row r="263" spans="1:28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</row>
    <row r="264" spans="1:28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</row>
    <row r="265" spans="1:28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</row>
    <row r="266" spans="1:28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</row>
    <row r="267" spans="1:28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</row>
    <row r="268" spans="1:28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</row>
    <row r="269" spans="1:28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</row>
    <row r="270" spans="1:28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</row>
    <row r="271" spans="1:28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</row>
    <row r="272" spans="1:28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</row>
    <row r="273" spans="1:28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</row>
    <row r="274" spans="1:28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</row>
    <row r="275" spans="1:28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</row>
    <row r="276" spans="1:28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</row>
    <row r="277" spans="1:28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</row>
    <row r="278" spans="1:28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</row>
    <row r="279" spans="1:28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</row>
    <row r="280" spans="1:28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</row>
    <row r="281" spans="1:28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</row>
    <row r="282" spans="1:28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</row>
    <row r="283" spans="1:28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</row>
    <row r="284" spans="1:28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</row>
    <row r="285" spans="1:28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</row>
    <row r="286" spans="1:28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</row>
    <row r="287" spans="1:28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</row>
    <row r="288" spans="1:28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</row>
    <row r="289" spans="1:28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</row>
    <row r="290" spans="1:28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</row>
    <row r="291" spans="1:28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</row>
    <row r="292" spans="1:28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</row>
    <row r="293" spans="1:28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</row>
    <row r="294" spans="1:28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</row>
    <row r="295" spans="1:28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</row>
    <row r="296" spans="1:28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</row>
    <row r="297" spans="1:28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</row>
    <row r="298" spans="1:28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</row>
    <row r="299" spans="1:28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</row>
    <row r="300" spans="1:28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</row>
    <row r="301" spans="1:28" x14ac:dyDescent="0.2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</row>
    <row r="302" spans="1:28" x14ac:dyDescent="0.2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</row>
    <row r="303" spans="1:28" x14ac:dyDescent="0.2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</row>
    <row r="304" spans="1:28" x14ac:dyDescent="0.2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</row>
    <row r="305" spans="1:28" x14ac:dyDescent="0.2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</row>
    <row r="306" spans="1:28" x14ac:dyDescent="0.2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</row>
    <row r="307" spans="1:28" x14ac:dyDescent="0.2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</row>
    <row r="308" spans="1:28" x14ac:dyDescent="0.2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</row>
    <row r="309" spans="1:28" x14ac:dyDescent="0.2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</row>
    <row r="310" spans="1:28" x14ac:dyDescent="0.2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</row>
    <row r="311" spans="1:28" x14ac:dyDescent="0.2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</row>
    <row r="312" spans="1:28" x14ac:dyDescent="0.2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</row>
    <row r="313" spans="1:28" x14ac:dyDescent="0.2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</row>
    <row r="314" spans="1:28" x14ac:dyDescent="0.2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</row>
    <row r="315" spans="1:28" x14ac:dyDescent="0.2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</row>
    <row r="316" spans="1:28" x14ac:dyDescent="0.2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</row>
    <row r="317" spans="1:28" x14ac:dyDescent="0.2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</row>
    <row r="318" spans="1:28" x14ac:dyDescent="0.2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</row>
    <row r="319" spans="1:28" x14ac:dyDescent="0.2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</row>
    <row r="320" spans="1:28" x14ac:dyDescent="0.2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</row>
    <row r="321" spans="1:28" x14ac:dyDescent="0.2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</row>
    <row r="322" spans="1:28" x14ac:dyDescent="0.2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</row>
    <row r="323" spans="1:28" x14ac:dyDescent="0.2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</row>
    <row r="324" spans="1:28" x14ac:dyDescent="0.2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</row>
    <row r="325" spans="1:28" x14ac:dyDescent="0.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</row>
    <row r="326" spans="1:28" x14ac:dyDescent="0.2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</row>
    <row r="327" spans="1:28" x14ac:dyDescent="0.2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</row>
    <row r="328" spans="1:28" x14ac:dyDescent="0.2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</row>
    <row r="329" spans="1:28" x14ac:dyDescent="0.2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</row>
    <row r="330" spans="1:28" x14ac:dyDescent="0.2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</row>
    <row r="331" spans="1:28" x14ac:dyDescent="0.2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</row>
    <row r="332" spans="1:28" x14ac:dyDescent="0.2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</row>
    <row r="333" spans="1:28" x14ac:dyDescent="0.2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</row>
    <row r="334" spans="1:28" x14ac:dyDescent="0.2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</row>
    <row r="335" spans="1:28" x14ac:dyDescent="0.2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</row>
    <row r="336" spans="1:28" x14ac:dyDescent="0.2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</row>
    <row r="337" spans="1:28" x14ac:dyDescent="0.2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</row>
    <row r="338" spans="1:28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</row>
    <row r="339" spans="1:28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</row>
    <row r="340" spans="1:28" x14ac:dyDescent="0.2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</row>
    <row r="341" spans="1:28" x14ac:dyDescent="0.2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</row>
    <row r="342" spans="1:28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</row>
    <row r="343" spans="1:28" x14ac:dyDescent="0.2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</row>
    <row r="344" spans="1:28" x14ac:dyDescent="0.2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</row>
    <row r="345" spans="1:28" x14ac:dyDescent="0.2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</row>
    <row r="346" spans="1:28" x14ac:dyDescent="0.2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</row>
    <row r="347" spans="1:28" x14ac:dyDescent="0.2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</row>
    <row r="348" spans="1:28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</row>
    <row r="349" spans="1:28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</row>
    <row r="350" spans="1:28" x14ac:dyDescent="0.2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</row>
    <row r="351" spans="1:28" x14ac:dyDescent="0.2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</row>
    <row r="352" spans="1:28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</row>
    <row r="353" spans="1:28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</row>
    <row r="354" spans="1:28" x14ac:dyDescent="0.2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</row>
    <row r="355" spans="1:28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</row>
    <row r="356" spans="1:28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</row>
    <row r="357" spans="1:28" x14ac:dyDescent="0.2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</row>
    <row r="358" spans="1:28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</row>
    <row r="359" spans="1:28" x14ac:dyDescent="0.2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</row>
    <row r="360" spans="1:28" x14ac:dyDescent="0.2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</row>
    <row r="361" spans="1:28" x14ac:dyDescent="0.2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</row>
    <row r="362" spans="1:28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</row>
    <row r="363" spans="1:28" x14ac:dyDescent="0.2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</row>
    <row r="364" spans="1:28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</row>
    <row r="365" spans="1:28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</row>
    <row r="366" spans="1:28" x14ac:dyDescent="0.2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</row>
    <row r="367" spans="1:28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</row>
    <row r="368" spans="1:28" x14ac:dyDescent="0.2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</row>
    <row r="369" spans="1:28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</row>
    <row r="370" spans="1:28" x14ac:dyDescent="0.2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</row>
    <row r="371" spans="1:28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</row>
    <row r="372" spans="1:28" x14ac:dyDescent="0.2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</row>
    <row r="373" spans="1:28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</row>
    <row r="374" spans="1:28" x14ac:dyDescent="0.2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</row>
    <row r="375" spans="1:28" x14ac:dyDescent="0.2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</row>
  </sheetData>
  <mergeCells count="28">
    <mergeCell ref="AD34:AD35"/>
    <mergeCell ref="AG34:AG35"/>
    <mergeCell ref="AJ34:AJ35"/>
    <mergeCell ref="R1:AC1"/>
    <mergeCell ref="R34:R35"/>
    <mergeCell ref="S34:S35"/>
    <mergeCell ref="U34:U35"/>
    <mergeCell ref="X34:X35"/>
    <mergeCell ref="Y34:Y35"/>
    <mergeCell ref="AA34:AA35"/>
    <mergeCell ref="AC19:AE19"/>
    <mergeCell ref="AF19:AH19"/>
    <mergeCell ref="C34:C35"/>
    <mergeCell ref="F34:F35"/>
    <mergeCell ref="I34:I35"/>
    <mergeCell ref="L34:L35"/>
    <mergeCell ref="M34:M35"/>
    <mergeCell ref="O34:O35"/>
    <mergeCell ref="Q19:S19"/>
    <mergeCell ref="T19:V19"/>
    <mergeCell ref="W19:Y19"/>
    <mergeCell ref="Z19:AB19"/>
    <mergeCell ref="N19:P19"/>
    <mergeCell ref="B1:M1"/>
    <mergeCell ref="B19:D19"/>
    <mergeCell ref="E19:G19"/>
    <mergeCell ref="H19:J19"/>
    <mergeCell ref="K19:M19"/>
  </mergeCells>
  <conditionalFormatting sqref="C21:C3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3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3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3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3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I3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3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L3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N3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:O3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:R3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T3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:W3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X3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:Z3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:AA3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:AC3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1:AD3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:AF3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1:AG3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C6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B7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:F7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7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:L7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7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:O7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7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7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7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:U7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8:W7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X7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:Z7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8:AA7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8:AC7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8:AD7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8:AF7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8:AG7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9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B91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:E9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F9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:H9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2:I9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9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L9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:N9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:O9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Q9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:R9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:T9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2:U9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2:W9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2:X9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2:Z9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2:AA9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2:AC9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2:AD9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2:AF9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2:AG9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F64 F5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I6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L6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O6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U6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8:X6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8:AA6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8:AD6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1:AH3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1:AL3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6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2:AL5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2:Y43 AB42:AB43 AE42:AE43 S42:S43 P42:P43 M42:M43 J42:J43 G42:G43 AH42:AH43 AK42:AK43 J45:J46 M45:M46 P45:P46 S45:S46 Y45:Y46 AB45:AB46 AE45:AE46 AH45:AH46 AK45:AK46 G45:G46 G5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9:Y108 AB99:AB108 AE99:AE108 V99:V108 S99:S108 J99:J108 G99:G108 AH99:AH108 AK99:AK10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2:V43 V45:V4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:D10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43 C44 D45:D46 D58:D10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9:AL10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2:Y121 AB112:AB121 AE112:AE121 V112:V121 S112:S121 M112:M121 G112:G121 AH112:AH121 AK112:AK12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:D12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12:AL12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7:AB136 AE127:AE136 S127:S136 P127:P136 M127:M136 AK127:AK13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7:AL13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2:Y151 AB142:AB151 AE142:AE151 V142:V151 S142:S151 P142:P151 M142:M151 J142:J151 G142:G151 AH142:AH151 AK142:AK15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:D15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42:AL15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6:AK16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6:AL16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:G13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:D16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6:G16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:J16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6:P1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6:V16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6:Y16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6:AH16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M10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:P10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7:V13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7:Y13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7:AH13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6:S16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6:M16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6:AB16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6:AE16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3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:D1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:P1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2:J1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8"/>
  <sheetViews>
    <sheetView tabSelected="1" topLeftCell="E1" zoomScale="85" zoomScaleNormal="85" workbookViewId="0">
      <selection activeCell="E37" sqref="E37"/>
    </sheetView>
  </sheetViews>
  <sheetFormatPr defaultRowHeight="15" x14ac:dyDescent="0.25"/>
  <cols>
    <col min="1" max="1" width="32.28515625" customWidth="1"/>
    <col min="2" max="3" width="9.140625" customWidth="1"/>
    <col min="4" max="4" width="61" customWidth="1"/>
    <col min="5" max="5" width="64.140625" customWidth="1"/>
  </cols>
  <sheetData>
    <row r="2" spans="1:5" x14ac:dyDescent="0.25">
      <c r="A2">
        <v>0.01</v>
      </c>
      <c r="B2" s="105">
        <f t="shared" ref="B2:B16" si="0">SQRT(A2)</f>
        <v>0.1</v>
      </c>
      <c r="C2" s="105"/>
      <c r="D2">
        <f>A2*A2</f>
        <v>1E-4</v>
      </c>
      <c r="E2">
        <f>D2</f>
        <v>1E-4</v>
      </c>
    </row>
    <row r="3" spans="1:5" x14ac:dyDescent="0.25">
      <c r="A3" s="105">
        <f>(1/100)*'0-40-100 среднее'!D23</f>
        <v>4.3010752688172053E-2</v>
      </c>
      <c r="B3" s="105">
        <f t="shared" si="0"/>
        <v>0.20739033894608508</v>
      </c>
      <c r="C3" s="105"/>
      <c r="D3">
        <f t="shared" ref="D3:D16" si="1">A3*A3</f>
        <v>1.8499248468030996E-3</v>
      </c>
      <c r="E3">
        <f t="shared" ref="E3:E16" si="2">D3</f>
        <v>1.8499248468030996E-3</v>
      </c>
    </row>
    <row r="4" spans="1:5" x14ac:dyDescent="0.25">
      <c r="A4" s="105">
        <f>(1/100)*'0-40-100 среднее'!D27</f>
        <v>0.10479285134037369</v>
      </c>
      <c r="B4" s="105">
        <f t="shared" si="0"/>
        <v>0.32371723979481493</v>
      </c>
      <c r="C4" s="105"/>
      <c r="D4">
        <f t="shared" si="1"/>
        <v>1.0981541692045661E-2</v>
      </c>
      <c r="E4">
        <f t="shared" si="2"/>
        <v>1.0981541692045661E-2</v>
      </c>
    </row>
    <row r="5" spans="1:5" x14ac:dyDescent="0.25">
      <c r="A5" s="105">
        <f>(1/100)*'0-40-100 среднее'!D21</f>
        <v>0.10512219618346168</v>
      </c>
      <c r="B5" s="105">
        <f t="shared" si="0"/>
        <v>0.32422553289872419</v>
      </c>
      <c r="C5" s="105"/>
      <c r="D5">
        <f t="shared" si="1"/>
        <v>1.1050676130434206E-2</v>
      </c>
      <c r="E5">
        <f t="shared" si="2"/>
        <v>1.1050676130434206E-2</v>
      </c>
    </row>
    <row r="6" spans="1:5" x14ac:dyDescent="0.25">
      <c r="A6" s="105">
        <f>(1/100)*'0-40-100 среднее'!D26</f>
        <v>0.15550239234449761</v>
      </c>
      <c r="B6" s="105">
        <f t="shared" si="0"/>
        <v>0.39433791644286198</v>
      </c>
      <c r="C6" s="105"/>
      <c r="D6">
        <f t="shared" si="1"/>
        <v>2.4180994024862072E-2</v>
      </c>
      <c r="E6">
        <f t="shared" si="2"/>
        <v>2.4180994024862072E-2</v>
      </c>
    </row>
    <row r="7" spans="1:5" x14ac:dyDescent="0.25">
      <c r="A7" s="105">
        <f>(1/100)*'0-40-100 среднее'!D25</f>
        <v>0.15656921451215219</v>
      </c>
      <c r="B7" s="105">
        <f t="shared" si="0"/>
        <v>0.39568827947280949</v>
      </c>
      <c r="C7" s="105"/>
      <c r="D7">
        <f t="shared" si="1"/>
        <v>2.4513918932952329E-2</v>
      </c>
      <c r="E7">
        <f t="shared" si="2"/>
        <v>2.4513918932952329E-2</v>
      </c>
    </row>
    <row r="8" spans="1:5" x14ac:dyDescent="0.25">
      <c r="A8" s="105">
        <f>(1/100)*'0-40-100 среднее'!D24</f>
        <v>0.19731881022203607</v>
      </c>
      <c r="B8" s="105">
        <f t="shared" si="0"/>
        <v>0.44420581966250294</v>
      </c>
      <c r="C8" s="105"/>
      <c r="D8">
        <f t="shared" si="1"/>
        <v>3.8934712867439887E-2</v>
      </c>
      <c r="E8">
        <f t="shared" si="2"/>
        <v>3.8934712867439887E-2</v>
      </c>
    </row>
    <row r="9" spans="1:5" x14ac:dyDescent="0.25">
      <c r="A9" s="105">
        <f>(1/100)*'0-40-100 среднее'!D22</f>
        <v>0.31661891117478508</v>
      </c>
      <c r="B9" s="105">
        <f t="shared" si="0"/>
        <v>0.562689000403229</v>
      </c>
      <c r="C9" s="105"/>
      <c r="D9">
        <f t="shared" si="1"/>
        <v>0.10024753491350644</v>
      </c>
      <c r="E9">
        <f t="shared" si="2"/>
        <v>0.10024753491350644</v>
      </c>
    </row>
    <row r="10" spans="1:5" x14ac:dyDescent="0.25">
      <c r="A10" s="105">
        <f>(1/100)*'0-40-100 среднее'!D30</f>
        <v>0.4377431906614786</v>
      </c>
      <c r="B10" s="105">
        <f t="shared" si="0"/>
        <v>0.66162163708684629</v>
      </c>
      <c r="C10" s="105"/>
      <c r="D10">
        <f t="shared" si="1"/>
        <v>0.19161910097049159</v>
      </c>
      <c r="E10">
        <f t="shared" si="2"/>
        <v>0.19161910097049159</v>
      </c>
    </row>
    <row r="11" spans="1:5" x14ac:dyDescent="0.25">
      <c r="A11" s="105">
        <f>(1/100)*'0-40-100 среднее'!D28</f>
        <v>0.49868073878627978</v>
      </c>
      <c r="B11" s="105">
        <f t="shared" si="0"/>
        <v>0.70617330648097976</v>
      </c>
      <c r="C11" s="105"/>
      <c r="D11">
        <f t="shared" si="1"/>
        <v>0.2486824792364298</v>
      </c>
      <c r="E11">
        <f t="shared" si="2"/>
        <v>0.2486824792364298</v>
      </c>
    </row>
    <row r="12" spans="1:5" x14ac:dyDescent="0.25">
      <c r="A12" s="105">
        <f>(1/100)*'0-40-100 среднее'!D29</f>
        <v>0.55543710021321957</v>
      </c>
      <c r="B12" s="105">
        <f t="shared" si="0"/>
        <v>0.74527652600442174</v>
      </c>
      <c r="C12" s="105"/>
      <c r="D12">
        <f t="shared" si="1"/>
        <v>0.30851037229327011</v>
      </c>
      <c r="E12">
        <f t="shared" si="2"/>
        <v>0.30851037229327011</v>
      </c>
    </row>
    <row r="13" spans="1:5" x14ac:dyDescent="0.25">
      <c r="A13">
        <v>0.8</v>
      </c>
      <c r="B13" s="105">
        <f t="shared" si="0"/>
        <v>0.89442719099991586</v>
      </c>
      <c r="C13" s="105"/>
      <c r="D13">
        <f t="shared" si="1"/>
        <v>0.64000000000000012</v>
      </c>
      <c r="E13">
        <f t="shared" si="2"/>
        <v>0.64000000000000012</v>
      </c>
    </row>
    <row r="14" spans="1:5" x14ac:dyDescent="0.25">
      <c r="A14">
        <v>0.87</v>
      </c>
      <c r="B14" s="105">
        <f t="shared" si="0"/>
        <v>0.93273790530888145</v>
      </c>
      <c r="C14" s="105"/>
      <c r="D14">
        <f t="shared" si="1"/>
        <v>0.75690000000000002</v>
      </c>
      <c r="E14">
        <f t="shared" si="2"/>
        <v>0.75690000000000002</v>
      </c>
    </row>
    <row r="15" spans="1:5" x14ac:dyDescent="0.25">
      <c r="A15">
        <v>0.99</v>
      </c>
      <c r="B15" s="105">
        <f t="shared" si="0"/>
        <v>0.99498743710661997</v>
      </c>
      <c r="C15" s="105"/>
      <c r="D15">
        <f t="shared" si="1"/>
        <v>0.98009999999999997</v>
      </c>
      <c r="E15">
        <f t="shared" si="2"/>
        <v>0.98009999999999997</v>
      </c>
    </row>
    <row r="16" spans="1:5" x14ac:dyDescent="0.25">
      <c r="A16">
        <v>1</v>
      </c>
      <c r="B16" s="105">
        <f t="shared" si="0"/>
        <v>1</v>
      </c>
      <c r="C16" s="105"/>
      <c r="D16">
        <f t="shared" si="1"/>
        <v>1</v>
      </c>
      <c r="E16">
        <f t="shared" si="2"/>
        <v>1</v>
      </c>
    </row>
    <row r="31" spans="1:5" x14ac:dyDescent="0.25">
      <c r="A31" s="105">
        <v>0.13</v>
      </c>
      <c r="B31" s="122">
        <v>0.72728856946677056</v>
      </c>
      <c r="C31" s="122"/>
      <c r="D31" s="125">
        <v>0.23</v>
      </c>
      <c r="E31" s="124"/>
    </row>
    <row r="32" spans="1:5" x14ac:dyDescent="0.25">
      <c r="A32" s="105">
        <v>0.18</v>
      </c>
      <c r="B32" s="122">
        <v>0.84283534736772781</v>
      </c>
      <c r="C32" s="122"/>
      <c r="D32" s="125">
        <v>0.33</v>
      </c>
      <c r="E32" s="124"/>
    </row>
    <row r="33" spans="1:5" x14ac:dyDescent="0.25">
      <c r="A33" s="105">
        <v>0.19</v>
      </c>
      <c r="B33" s="122">
        <v>0.87231451654281533</v>
      </c>
      <c r="C33" s="122"/>
      <c r="D33" s="125">
        <v>0.35</v>
      </c>
      <c r="E33" s="124"/>
    </row>
    <row r="34" spans="1:5" x14ac:dyDescent="0.25">
      <c r="A34" s="105">
        <v>0.22</v>
      </c>
      <c r="B34" s="122">
        <v>0.94042276378916645</v>
      </c>
      <c r="C34" s="122"/>
      <c r="D34" s="125">
        <v>0.4</v>
      </c>
      <c r="E34" s="124"/>
    </row>
    <row r="35" spans="1:5" x14ac:dyDescent="0.25">
      <c r="A35" s="105">
        <v>0.23</v>
      </c>
      <c r="B35" s="122">
        <v>0.95804361215602607</v>
      </c>
      <c r="C35" s="122"/>
      <c r="D35" s="122">
        <v>0.95804361215602607</v>
      </c>
      <c r="E35" s="123"/>
    </row>
    <row r="36" spans="1:5" x14ac:dyDescent="0.25">
      <c r="A36" s="105">
        <v>0.24</v>
      </c>
      <c r="B36" s="122">
        <v>0.9682524358957445</v>
      </c>
      <c r="C36" s="122"/>
      <c r="D36" s="122">
        <v>0.9682524358957445</v>
      </c>
      <c r="E36" s="123"/>
    </row>
    <row r="37" spans="1:5" x14ac:dyDescent="0.25">
      <c r="A37" s="105">
        <v>0.25</v>
      </c>
      <c r="B37" s="122">
        <v>0.99990626318153408</v>
      </c>
      <c r="C37" s="122"/>
      <c r="D37" s="122">
        <v>0.99990626318153408</v>
      </c>
      <c r="E37" s="123"/>
    </row>
    <row r="38" spans="1:5" x14ac:dyDescent="0.25">
      <c r="A38" s="105">
        <v>0.27</v>
      </c>
      <c r="B38" s="122">
        <v>1</v>
      </c>
      <c r="C38" s="122"/>
      <c r="D38" s="122">
        <v>1</v>
      </c>
      <c r="E38" s="123"/>
    </row>
    <row r="39" spans="1:5" x14ac:dyDescent="0.25">
      <c r="A39" s="105">
        <v>0.28000000000000003</v>
      </c>
      <c r="B39" s="122">
        <v>1</v>
      </c>
      <c r="C39" s="122"/>
      <c r="D39" s="122">
        <v>1</v>
      </c>
      <c r="E39" s="123"/>
    </row>
    <row r="40" spans="1:5" x14ac:dyDescent="0.25">
      <c r="A40" s="105">
        <v>0.32</v>
      </c>
      <c r="B40" s="122">
        <v>1</v>
      </c>
      <c r="C40" s="122"/>
      <c r="D40" s="122">
        <v>1</v>
      </c>
      <c r="E40" s="123"/>
    </row>
    <row r="55" spans="1:4" x14ac:dyDescent="0.25">
      <c r="A55">
        <v>0.06</v>
      </c>
      <c r="B55">
        <v>0.24</v>
      </c>
      <c r="D55">
        <v>0.1</v>
      </c>
    </row>
    <row r="56" spans="1:4" x14ac:dyDescent="0.25">
      <c r="A56">
        <v>0.15</v>
      </c>
      <c r="D56">
        <v>0.3</v>
      </c>
    </row>
    <row r="57" spans="1:4" x14ac:dyDescent="0.25">
      <c r="A57">
        <v>0.15</v>
      </c>
      <c r="B57">
        <v>0.39</v>
      </c>
      <c r="D57">
        <v>0.3</v>
      </c>
    </row>
    <row r="58" spans="1:4" x14ac:dyDescent="0.25">
      <c r="A58">
        <v>0.22</v>
      </c>
      <c r="B58">
        <v>0.47</v>
      </c>
      <c r="D58">
        <v>0.38</v>
      </c>
    </row>
    <row r="59" spans="1:4" x14ac:dyDescent="0.25">
      <c r="A59">
        <v>0.22</v>
      </c>
      <c r="B59">
        <v>0.47</v>
      </c>
      <c r="D59">
        <v>0.38</v>
      </c>
    </row>
    <row r="60" spans="1:4" x14ac:dyDescent="0.25">
      <c r="A60">
        <v>0.28000000000000003</v>
      </c>
      <c r="B60">
        <v>0.53</v>
      </c>
      <c r="D60">
        <v>0.53</v>
      </c>
    </row>
    <row r="61" spans="1:4" x14ac:dyDescent="0.25">
      <c r="A61">
        <v>0.45</v>
      </c>
      <c r="B61">
        <v>0.67</v>
      </c>
      <c r="D61">
        <v>0.67</v>
      </c>
    </row>
    <row r="62" spans="1:4" x14ac:dyDescent="0.25">
      <c r="A62">
        <v>0.63</v>
      </c>
      <c r="B62">
        <v>0.79</v>
      </c>
      <c r="D62">
        <v>0.79</v>
      </c>
    </row>
    <row r="63" spans="1:4" x14ac:dyDescent="0.25">
      <c r="A63">
        <v>0.72</v>
      </c>
      <c r="B63">
        <v>0.85</v>
      </c>
      <c r="D63">
        <v>0.85</v>
      </c>
    </row>
    <row r="64" spans="1:4" x14ac:dyDescent="0.25">
      <c r="A64">
        <v>0.8</v>
      </c>
      <c r="B64">
        <v>0.89</v>
      </c>
      <c r="D64">
        <v>0.89</v>
      </c>
    </row>
    <row r="67" spans="1:6" x14ac:dyDescent="0.25">
      <c r="A67" s="126"/>
      <c r="B67" s="126"/>
      <c r="C67" s="126"/>
      <c r="D67" s="126"/>
    </row>
    <row r="68" spans="1:6" ht="31.5" x14ac:dyDescent="0.25">
      <c r="A68" s="127">
        <f>B68-MIN(B68:B77)</f>
        <v>0</v>
      </c>
      <c r="B68" s="105">
        <v>83.5151829527465</v>
      </c>
      <c r="C68" s="105"/>
      <c r="D68" s="31">
        <f>A68*10</f>
        <v>0</v>
      </c>
      <c r="E68" s="31" t="s">
        <v>5</v>
      </c>
      <c r="F68" s="136">
        <v>0</v>
      </c>
    </row>
    <row r="69" spans="1:6" ht="15.75" x14ac:dyDescent="0.25">
      <c r="A69" s="127">
        <f>B69-MIN(B68:B68)</f>
        <v>3.4136960418607032</v>
      </c>
      <c r="B69" s="105">
        <v>86.928878994607203</v>
      </c>
      <c r="C69" s="105"/>
      <c r="D69" s="31">
        <f t="shared" ref="D69:D77" si="3">A69*10</f>
        <v>34.136960418607032</v>
      </c>
      <c r="E69" s="31" t="s">
        <v>8</v>
      </c>
      <c r="F69" s="136">
        <v>34.136960418607032</v>
      </c>
    </row>
    <row r="70" spans="1:6" ht="15.75" x14ac:dyDescent="0.25">
      <c r="A70" s="127">
        <f>B70-MIN(B68:B77)</f>
        <v>4.123652888076407</v>
      </c>
      <c r="B70" s="105">
        <v>87.638835840822907</v>
      </c>
      <c r="C70" s="105"/>
      <c r="D70" s="31">
        <f t="shared" si="3"/>
        <v>41.23652888076407</v>
      </c>
      <c r="E70" s="31" t="s">
        <v>7</v>
      </c>
      <c r="F70" s="136">
        <v>41.23652888076407</v>
      </c>
    </row>
    <row r="71" spans="1:6" ht="31.5" x14ac:dyDescent="0.25">
      <c r="A71" s="127">
        <f>B71-MIN(B68:B77)</f>
        <v>4.3134422807028869</v>
      </c>
      <c r="B71" s="105">
        <v>87.828625233449387</v>
      </c>
      <c r="C71" s="105"/>
      <c r="D71" s="31">
        <f t="shared" si="3"/>
        <v>43.134422807028869</v>
      </c>
      <c r="E71" s="31" t="s">
        <v>3</v>
      </c>
      <c r="F71" s="136">
        <v>43.134422807028869</v>
      </c>
    </row>
    <row r="72" spans="1:6" ht="15.75" x14ac:dyDescent="0.25">
      <c r="A72" s="127">
        <f>B72-MIN(B68:B77)</f>
        <v>4.4379033446137015</v>
      </c>
      <c r="B72" s="105">
        <v>87.953086297360201</v>
      </c>
      <c r="C72" s="105"/>
      <c r="D72" s="31">
        <f t="shared" si="3"/>
        <v>44.379033446137015</v>
      </c>
      <c r="E72" s="31" t="s">
        <v>4</v>
      </c>
      <c r="F72" s="136">
        <v>44.379033446137015</v>
      </c>
    </row>
    <row r="73" spans="1:6" ht="15.75" x14ac:dyDescent="0.25">
      <c r="A73" s="127">
        <f>B73-MIN(B68:B77)</f>
        <v>6.4449120642891984</v>
      </c>
      <c r="B73" s="105">
        <v>89.960095017035698</v>
      </c>
      <c r="C73" s="105"/>
      <c r="D73" s="31">
        <f t="shared" si="3"/>
        <v>64.449120642891984</v>
      </c>
      <c r="E73" s="31" t="s">
        <v>0</v>
      </c>
      <c r="F73" s="136">
        <v>64.449120642891984</v>
      </c>
    </row>
    <row r="74" spans="1:6" ht="15.75" x14ac:dyDescent="0.25">
      <c r="A74" s="127">
        <f>B74-MIN(B68:B77)</f>
        <v>7.3266557560474723</v>
      </c>
      <c r="B74" s="105">
        <v>90.841838708793972</v>
      </c>
      <c r="C74" s="105"/>
      <c r="D74" s="31">
        <f t="shared" si="3"/>
        <v>73.266557560474723</v>
      </c>
      <c r="E74" s="31" t="s">
        <v>2</v>
      </c>
      <c r="F74" s="136">
        <v>73.266557560474723</v>
      </c>
    </row>
    <row r="75" spans="1:6" ht="15.75" x14ac:dyDescent="0.25">
      <c r="A75" s="127">
        <f>B75-MIN(B68:B77)</f>
        <v>7.7293427769162406</v>
      </c>
      <c r="B75" s="105">
        <v>91.24452572966274</v>
      </c>
      <c r="C75" s="105"/>
      <c r="D75" s="31">
        <f t="shared" si="3"/>
        <v>77.293427769162406</v>
      </c>
      <c r="E75" s="31" t="s">
        <v>1</v>
      </c>
      <c r="F75" s="136">
        <v>77.293427769162406</v>
      </c>
    </row>
    <row r="76" spans="1:6" ht="15.75" x14ac:dyDescent="0.25">
      <c r="A76" s="127">
        <f>B76-MIN(B68:B77)</f>
        <v>9.8840860369651296</v>
      </c>
      <c r="B76" s="105">
        <v>93.399268989711629</v>
      </c>
      <c r="C76" s="105"/>
      <c r="D76" s="31">
        <f t="shared" si="3"/>
        <v>98.840860369651296</v>
      </c>
      <c r="E76" s="31" t="s">
        <v>9</v>
      </c>
      <c r="F76" s="136">
        <v>98.840860369651296</v>
      </c>
    </row>
    <row r="77" spans="1:6" ht="15.75" x14ac:dyDescent="0.25">
      <c r="A77" s="127">
        <f>B77-MIN(B68:B77)</f>
        <v>9.8938533835460873</v>
      </c>
      <c r="B77" s="105">
        <v>93.409036336292587</v>
      </c>
      <c r="C77" s="105"/>
      <c r="D77" s="31">
        <f t="shared" si="3"/>
        <v>98.938533835460873</v>
      </c>
      <c r="E77" s="31" t="s">
        <v>6</v>
      </c>
      <c r="F77" s="136">
        <v>98.938533835460873</v>
      </c>
    </row>
    <row r="78" spans="1:6" x14ac:dyDescent="0.25">
      <c r="B78" s="136"/>
      <c r="C78" s="136"/>
    </row>
  </sheetData>
  <autoFilter ref="A67:B77">
    <sortState ref="A68:B78">
      <sortCondition ref="A67:A77"/>
    </sortState>
  </autoFilter>
  <conditionalFormatting sqref="A3:A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0">
    <cfRule type="aboveAverage" dxfId="1" priority="3"/>
  </conditionalFormatting>
  <conditionalFormatting sqref="B31:C40">
    <cfRule type="aboveAverage" dxfId="0" priority="2"/>
  </conditionalFormatting>
  <conditionalFormatting sqref="B68:C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0-40-100 среднее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В. Николенко</dc:creator>
  <cp:lastModifiedBy>Кирилл В. Николенко</cp:lastModifiedBy>
  <cp:lastPrinted>2020-03-18T09:19:35Z</cp:lastPrinted>
  <dcterms:created xsi:type="dcterms:W3CDTF">2020-01-27T09:20:32Z</dcterms:created>
  <dcterms:modified xsi:type="dcterms:W3CDTF">2020-03-19T06:46:10Z</dcterms:modified>
</cp:coreProperties>
</file>