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CLTV" sheetId="2" r:id="rId4"/>
    <sheet state="visible" name="Cohorts" sheetId="3" r:id="rId5"/>
    <sheet state="visible" name="CAC Overview" sheetId="4" r:id="rId6"/>
    <sheet state="visible" name="CAC Sep-13" sheetId="5" r:id="rId7"/>
    <sheet state="visible" name="CAC Oct-13" sheetId="6" r:id="rId8"/>
    <sheet state="visible" name="CAC Nov-13" sheetId="7" r:id="rId9"/>
    <sheet state="visible" name="CAC Dec-13" sheetId="8" r:id="rId10"/>
    <sheet state="visible" name="CAC Jan-14" sheetId="9" r:id="rId11"/>
  </sheets>
  <definedNames/>
  <calcPr/>
</workbook>
</file>

<file path=xl/sharedStrings.xml><?xml version="1.0" encoding="utf-8"?>
<sst xmlns="http://schemas.openxmlformats.org/spreadsheetml/2006/main" count="300" uniqueCount="112">
  <si>
    <t>Customer Lifetime Value Calculation</t>
  </si>
  <si>
    <t>For more information about this template, see www.startupdocs.se by Erik Byrenius. Latest update: 2015-12-03. See sheet "Summary" for more instructions.</t>
  </si>
  <si>
    <t>Unit Economics Template</t>
  </si>
  <si>
    <t>For more information about this template, see www.startupdocs.se by Erik Byrenius. Latest update: 2015-12-03.</t>
  </si>
  <si>
    <t>http://startupdocs.se/unit-economics-cltv-cac-and-cohorts/</t>
  </si>
  <si>
    <t>Please note that in this example, I make no distinction between different customer segments. In reality, it's quite likely that some customers are more valuable than others.</t>
  </si>
  <si>
    <t>For example, customers acquired through a certain channel (e.g. group buying) might have lower retention rates (and hence lower CLTV) than others.</t>
  </si>
  <si>
    <t>This template is created with an e-commerce business in mind, but can be adapted to other business models.</t>
  </si>
  <si>
    <t>The document is in view-only mode. To edit it, make a copy (File &gt; Make a copy) and play around with the copy.</t>
  </si>
  <si>
    <t>See "CLTV" and "Cohorts" sheets for assumptions and calculation of Customer Lifetime Value, approximated as Customer 1-Year Value and Customer 5-Year Value.</t>
  </si>
  <si>
    <t>See "CAC..." sheets for assumptions and calculation of Customer Acquisition Cost and how different channels build up to this value.</t>
  </si>
  <si>
    <t>Explanations</t>
  </si>
  <si>
    <t>Assumptions</t>
  </si>
  <si>
    <t>Blue numbers are input fields - edit them!</t>
  </si>
  <si>
    <t>Green numbers are read from other sheets.</t>
  </si>
  <si>
    <t>Black numbers are calculated - don't touch!</t>
  </si>
  <si>
    <t>Green cells are exported to other sheets</t>
  </si>
  <si>
    <t>Average yearly transaction cost growth</t>
  </si>
  <si>
    <t>OVERVIEW</t>
  </si>
  <si>
    <t>Average yearly transaction value growth</t>
  </si>
  <si>
    <t>Cost per transaction</t>
  </si>
  <si>
    <t>Cohort activity exponent from month 3</t>
  </si>
  <si>
    <t>C1YV</t>
  </si>
  <si>
    <t>Profit made during first 12 months since customer joined, excluding CAC.</t>
  </si>
  <si>
    <t>CLTV</t>
  </si>
  <si>
    <t>Profit made during first 5 years since customer joined, excluding CAC and assuming that things don't change during that time.</t>
  </si>
  <si>
    <t>Month</t>
  </si>
  <si>
    <t>CAC_paid</t>
  </si>
  <si>
    <t>Percentage customers buying</t>
  </si>
  <si>
    <t>Average cost per bought customer.</t>
  </si>
  <si>
    <t>CAC_organic</t>
  </si>
  <si>
    <t>Transactions per active customer</t>
  </si>
  <si>
    <t>Transactions per customer</t>
  </si>
  <si>
    <t>Average transaction value</t>
  </si>
  <si>
    <t>Average cost per customer who found the service organically.</t>
  </si>
  <si>
    <t>CAC_total</t>
  </si>
  <si>
    <t>Total transaction value</t>
  </si>
  <si>
    <t>Gross margin</t>
  </si>
  <si>
    <t>Revenue</t>
  </si>
  <si>
    <t>Cost</t>
  </si>
  <si>
    <t>Profit</t>
  </si>
  <si>
    <t>Acc. CLTV</t>
  </si>
  <si>
    <t>Average cost per new customer in total</t>
  </si>
  <si>
    <t>Leave this column for simpler formulas in Summary sheet</t>
  </si>
  <si>
    <t>C1YV / CAC</t>
  </si>
  <si>
    <t>The ratio between C1YV and CAC shows how solid your model is in an early business when it's hard to see more than 12 months ahead.</t>
  </si>
  <si>
    <t>C1YV / CAC_paid</t>
  </si>
  <si>
    <t>If this number is &gt;1, the customers you acquire through paid channels generate more profit for you during the first year than they cost to acquire.</t>
  </si>
  <si>
    <t>CLTV / CAC</t>
  </si>
  <si>
    <t>The ratio between CLTV and CAC shows how solid your user acquisition model is long-term, given that you have accurate data. &gt;3 is good.</t>
  </si>
  <si>
    <t>CLTV / CAC_paid</t>
  </si>
  <si>
    <t>CAC break-even</t>
  </si>
  <si>
    <t>Months until the value of a customer is as high as the cost for acquiring an additional one. A must-know to understand cash flow.</t>
  </si>
  <si>
    <t>CAC_paid break-even</t>
  </si>
  <si>
    <t>Months until the value of a customer is as high as the cost for acquiring an additional one through paid channels.</t>
  </si>
  <si>
    <t>Helper = ignore</t>
  </si>
  <si>
    <t>Customer Cohorts</t>
  </si>
  <si>
    <t>Customer Acquisition Cost Overview</t>
  </si>
  <si>
    <t>Number of new customers joined</t>
  </si>
  <si>
    <t>Sep-13</t>
  </si>
  <si>
    <t>Oct-13</t>
  </si>
  <si>
    <t>Percentage customers paying in month</t>
  </si>
  <si>
    <t>Nov-13</t>
  </si>
  <si>
    <t>Dec-13</t>
  </si>
  <si>
    <t>Jan-14</t>
  </si>
  <si>
    <t>Average CAC</t>
  </si>
  <si>
    <t>Row number in monthly CAC sheets</t>
  </si>
  <si>
    <t>SEM (no-brand query)</t>
  </si>
  <si>
    <t>Customers who joined in month</t>
  </si>
  <si>
    <t>Acquisitions</t>
  </si>
  <si>
    <t>Reorders</t>
  </si>
  <si>
    <t>CAC</t>
  </si>
  <si>
    <t>SEO (no-brand query)</t>
  </si>
  <si>
    <t>Coefficient and exponent approximation. These numbers are used in the CLTV calculation to predict future customer behavior.</t>
  </si>
  <si>
    <t>Average retention month X</t>
  </si>
  <si>
    <t>Social media</t>
  </si>
  <si>
    <t>TV</t>
  </si>
  <si>
    <t>Display</t>
  </si>
  <si>
    <t>Affiliate</t>
  </si>
  <si>
    <t>Retention/newsletter</t>
  </si>
  <si>
    <t>Cooperations</t>
  </si>
  <si>
    <t>Group buying</t>
  </si>
  <si>
    <t>Other paid marketing</t>
  </si>
  <si>
    <t>Customer Acquisition Cost (CAC) and Cost Per Reorder (CPR) calculation</t>
  </si>
  <si>
    <t>Traffic</t>
  </si>
  <si>
    <t>% traffic returning users</t>
  </si>
  <si>
    <t>Traffic new users</t>
  </si>
  <si>
    <t>New users ordering</t>
  </si>
  <si>
    <t>Traffic returning users</t>
  </si>
  <si>
    <t>Returning users ordering</t>
  </si>
  <si>
    <t>CPR</t>
  </si>
  <si>
    <t>Total paid/scalable</t>
  </si>
  <si>
    <t>Best fitting trendline</t>
  </si>
  <si>
    <t>If you only have little data from the last few months, exclude those from the coefficient and exponent calculations above.</t>
  </si>
  <si>
    <t>Average number of orders in month, per paying customer</t>
  </si>
  <si>
    <t>Customer joined in month</t>
  </si>
  <si>
    <t>SEO (brand query)</t>
  </si>
  <si>
    <t>2+</t>
  </si>
  <si>
    <t>Average orders month X</t>
  </si>
  <si>
    <t>SEM (brand query)</t>
  </si>
  <si>
    <t>Average order value</t>
  </si>
  <si>
    <t>Direct traffic</t>
  </si>
  <si>
    <t>Other organic marketing</t>
  </si>
  <si>
    <t>Total organic/non-scalable</t>
  </si>
  <si>
    <t>Word of mouth</t>
  </si>
  <si>
    <t>TOTAL</t>
  </si>
  <si>
    <t>Average basket size month X</t>
  </si>
  <si>
    <t>Average gross margin</t>
  </si>
  <si>
    <t>Net revenue per customer</t>
  </si>
  <si>
    <t>Net revenue first 6 months</t>
  </si>
  <si>
    <t>Total revenue per month in cohort</t>
  </si>
  <si>
    <t>Total revenue in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</si>
</sst>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&quot;€ &quot;#,##0.00"/>
    <numFmt numFmtId="165" formatCode="#,##0.0000"/>
    <numFmt numFmtId="166" formatCode="&quot;€ &quot;#,##0.00;&quot;€ &quot;- #,##0.00"/>
    <numFmt numFmtId="167" formatCode="#,##0.000"/>
    <numFmt numFmtId="168" formatCode="#,##0.0"/>
    <numFmt numFmtId="169" formatCode="0.0%"/>
    <numFmt numFmtId="170" formatCode="mmm&quot;-&quot;yy"/>
    <numFmt numFmtId="171" formatCode="&quot;€ &quot;#,##0"/>
    <numFmt numFmtId="172" formatCode="0.000"/>
    <numFmt numFmtId="173" formatCode="m/d/yyyy h:mm:ss"/>
    <numFmt numFmtId="174" formatCode="MMM/yy"/>
  </numFmts>
  <fonts count="22">
    <font>
      <sz val="10.0"/>
      <color rgb="FF000000"/>
      <name val="Arial"/>
    </font>
    <font>
      <b/>
      <sz val="12.0"/>
    </font>
    <font>
      <b/>
      <sz val="14.0"/>
      <name val="Calibri"/>
    </font>
    <font>
      <sz val="10.0"/>
      <color rgb="FF000000"/>
      <name val="Calibri"/>
    </font>
    <font>
      <sz val="10.0"/>
      <color rgb="FF3366FF"/>
      <name val="Calibri"/>
    </font>
    <font>
      <sz val="9.0"/>
      <color rgb="FF000000"/>
    </font>
    <font>
      <sz val="9.0"/>
    </font>
    <font>
      <u/>
      <sz val="9.0"/>
      <color rgb="FF000000"/>
    </font>
    <font>
      <b/>
      <sz val="9.0"/>
      <color rgb="FF000000"/>
    </font>
    <font>
      <b/>
      <sz val="9.0"/>
    </font>
    <font>
      <sz val="9.0"/>
      <color rgb="FF3366FF"/>
    </font>
    <font>
      <sz val="9.0"/>
      <color rgb="FF6AA84F"/>
    </font>
    <font/>
    <font>
      <b/>
      <sz val="9.0"/>
      <color rgb="FFFFFFFF"/>
    </font>
    <font>
      <sz val="9.0"/>
      <color rgb="FFFFFFFF"/>
    </font>
    <font>
      <b/>
      <sz val="9.0"/>
      <color rgb="FF6AA84F"/>
    </font>
    <font>
      <b/>
      <sz val="10.0"/>
    </font>
    <font>
      <sz val="10.0"/>
      <name val="Calibri"/>
    </font>
    <font>
      <sz val="9.0"/>
      <color rgb="FF3366FF"/>
      <name val="Calibri"/>
    </font>
    <font>
      <sz val="10.0"/>
    </font>
    <font>
      <sz val="9.0"/>
      <color rgb="FFCCCCCC"/>
    </font>
    <font>
      <b/>
      <sz val="10.0"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shrinkToFit="0" vertical="center" wrapText="0"/>
    </xf>
    <xf borderId="0" fillId="2" fontId="2" numFmtId="164" xfId="0" applyAlignment="1" applyFont="1" applyNumberFormat="1">
      <alignment shrinkToFit="0" vertical="center" wrapText="0"/>
    </xf>
    <xf borderId="0" fillId="2" fontId="3" numFmtId="164" xfId="0" applyAlignment="1" applyFont="1" applyNumberFormat="1">
      <alignment shrinkToFit="0" vertical="center" wrapText="0"/>
    </xf>
    <xf borderId="0" fillId="2" fontId="3" numFmtId="10" xfId="0" applyAlignment="1" applyFont="1" applyNumberFormat="1">
      <alignment shrinkToFit="0" vertical="center" wrapText="0"/>
    </xf>
    <xf borderId="0" fillId="2" fontId="4" numFmtId="165" xfId="0" applyAlignment="1" applyFont="1" applyNumberFormat="1">
      <alignment horizontal="center" shrinkToFit="0" vertical="bottom" wrapText="0"/>
    </xf>
    <xf borderId="0" fillId="2" fontId="3" numFmtId="0" xfId="0" applyAlignment="1" applyFont="1">
      <alignment shrinkToFit="0" vertical="center" wrapText="0"/>
    </xf>
    <xf borderId="0" fillId="2" fontId="5" numFmtId="0" xfId="0" applyAlignment="1" applyFont="1">
      <alignment shrinkToFit="0" vertical="bottom" wrapText="0"/>
    </xf>
    <xf borderId="0" fillId="2" fontId="5" numFmtId="166" xfId="0" applyAlignment="1" applyFont="1" applyNumberFormat="1">
      <alignment shrinkToFit="0" vertical="bottom" wrapText="0"/>
    </xf>
    <xf borderId="0" fillId="0" fontId="1" numFmtId="0" xfId="0" applyAlignment="1" applyFont="1">
      <alignment shrinkToFit="0" wrapText="0"/>
    </xf>
    <xf borderId="0" fillId="2" fontId="5" numFmtId="166" xfId="0" applyAlignment="1" applyFont="1" applyNumberFormat="1">
      <alignment horizontal="left" shrinkToFit="0" vertical="bottom" wrapText="0"/>
    </xf>
    <xf borderId="0" fillId="0" fontId="6" numFmtId="0" xfId="0" applyAlignment="1" applyFont="1">
      <alignment shrinkToFit="0" wrapText="1"/>
    </xf>
    <xf borderId="0" fillId="2" fontId="5" numFmtId="0" xfId="0" applyAlignment="1" applyFont="1">
      <alignment shrinkToFit="0" vertical="center" wrapText="0"/>
    </xf>
    <xf borderId="0" fillId="2" fontId="5" numFmtId="164" xfId="0" applyAlignment="1" applyFont="1" applyNumberFormat="1">
      <alignment shrinkToFit="0" vertical="center" wrapText="0"/>
    </xf>
    <xf borderId="0" fillId="0" fontId="6" numFmtId="164" xfId="0" applyAlignment="1" applyFont="1" applyNumberFormat="1">
      <alignment shrinkToFit="0" wrapText="1"/>
    </xf>
    <xf borderId="0" fillId="2" fontId="6" numFmtId="10" xfId="0" applyAlignment="1" applyFont="1" applyNumberFormat="1">
      <alignment shrinkToFit="0" vertical="bottom" wrapText="0"/>
    </xf>
    <xf borderId="0" fillId="2" fontId="5" numFmtId="10" xfId="0" applyAlignment="1" applyFont="1" applyNumberFormat="1">
      <alignment shrinkToFit="0" vertical="center" wrapText="0"/>
    </xf>
    <xf borderId="0" fillId="2" fontId="7" numFmtId="166" xfId="0" applyAlignment="1" applyFont="1" applyNumberFormat="1">
      <alignment horizontal="left" shrinkToFit="0" vertical="bottom" wrapText="0"/>
    </xf>
    <xf borderId="0" fillId="2" fontId="8" numFmtId="166" xfId="0" applyAlignment="1" applyFont="1" applyNumberFormat="1">
      <alignment shrinkToFit="0" vertical="bottom" wrapText="0"/>
    </xf>
    <xf borderId="0" fillId="0" fontId="6" numFmtId="0" xfId="0" applyAlignment="1" applyFont="1">
      <alignment shrinkToFit="0" wrapText="0"/>
    </xf>
    <xf borderId="0" fillId="2" fontId="8" numFmtId="166" xfId="0" applyAlignment="1" applyFont="1" applyNumberFormat="1">
      <alignment horizontal="right" shrinkToFit="0" vertical="bottom" wrapText="0"/>
    </xf>
    <xf borderId="1" fillId="0" fontId="9" numFmtId="0" xfId="0" applyAlignment="1" applyBorder="1" applyFont="1">
      <alignment shrinkToFit="0" wrapText="1"/>
    </xf>
    <xf borderId="2" fillId="2" fontId="9" numFmtId="0" xfId="0" applyAlignment="1" applyBorder="1" applyFont="1">
      <alignment horizontal="left" shrinkToFit="0" vertical="bottom" wrapText="0"/>
    </xf>
    <xf borderId="3" fillId="0" fontId="10" numFmtId="0" xfId="0" applyAlignment="1" applyBorder="1" applyFont="1">
      <alignment shrinkToFit="0" wrapText="1"/>
    </xf>
    <xf borderId="4" fillId="2" fontId="5" numFmtId="10" xfId="0" applyAlignment="1" applyBorder="1" applyFont="1" applyNumberFormat="1">
      <alignment shrinkToFit="0" vertical="center" wrapText="0"/>
    </xf>
    <xf borderId="3" fillId="0" fontId="11" numFmtId="0" xfId="0" applyAlignment="1" applyBorder="1" applyFont="1">
      <alignment shrinkToFit="0" wrapText="1"/>
    </xf>
    <xf borderId="5" fillId="2" fontId="5" numFmtId="10" xfId="0" applyAlignment="1" applyBorder="1" applyFont="1" applyNumberFormat="1">
      <alignment shrinkToFit="0" vertical="center" wrapText="0"/>
    </xf>
    <xf borderId="3" fillId="0" fontId="6" numFmtId="0" xfId="0" applyAlignment="1" applyBorder="1" applyFont="1">
      <alignment shrinkToFit="0" wrapText="1"/>
    </xf>
    <xf borderId="6" fillId="2" fontId="10" numFmtId="10" xfId="0" applyAlignment="1" applyBorder="1" applyFont="1" applyNumberFormat="1">
      <alignment horizontal="right" shrinkToFit="0" vertical="bottom" wrapText="0"/>
    </xf>
    <xf borderId="7" fillId="3" fontId="6" numFmtId="0" xfId="0" applyAlignment="1" applyBorder="1" applyFill="1" applyFont="1">
      <alignment shrinkToFit="0" wrapText="1"/>
    </xf>
    <xf borderId="8" fillId="0" fontId="12" numFmtId="0" xfId="0" applyAlignment="1" applyBorder="1" applyFont="1">
      <alignment shrinkToFit="0" wrapText="1"/>
    </xf>
    <xf borderId="0" fillId="2" fontId="8" numFmtId="0" xfId="0" applyAlignment="1" applyFont="1">
      <alignment horizontal="right" shrinkToFit="0" vertical="center" wrapText="0"/>
    </xf>
    <xf borderId="2" fillId="4" fontId="13" numFmtId="0" xfId="0" applyAlignment="1" applyBorder="1" applyFill="1" applyFont="1">
      <alignment shrinkToFit="0" wrapText="1"/>
    </xf>
    <xf borderId="0" fillId="2" fontId="8" numFmtId="0" xfId="0" applyAlignment="1" applyFont="1">
      <alignment shrinkToFit="0" vertical="center" wrapText="0"/>
    </xf>
    <xf borderId="4" fillId="4" fontId="13" numFmtId="164" xfId="0" applyAlignment="1" applyBorder="1" applyFont="1" applyNumberFormat="1">
      <alignment shrinkToFit="0" wrapText="1"/>
    </xf>
    <xf borderId="6" fillId="2" fontId="10" numFmtId="164" xfId="0" applyAlignment="1" applyBorder="1" applyFont="1" applyNumberFormat="1">
      <alignment horizontal="right" shrinkToFit="0" vertical="bottom" wrapText="0"/>
    </xf>
    <xf borderId="4" fillId="4" fontId="14" numFmtId="0" xfId="0" applyAlignment="1" applyBorder="1" applyFont="1">
      <alignment shrinkToFit="0" wrapText="0"/>
    </xf>
    <xf borderId="4" fillId="4" fontId="14" numFmtId="0" xfId="0" applyAlignment="1" applyBorder="1" applyFont="1">
      <alignment shrinkToFit="0" wrapText="1"/>
    </xf>
    <xf borderId="9" fillId="2" fontId="11" numFmtId="167" xfId="0" applyAlignment="1" applyBorder="1" applyFont="1" applyNumberFormat="1">
      <alignment horizontal="right" shrinkToFit="0" vertical="bottom" wrapText="0"/>
    </xf>
    <xf borderId="5" fillId="4" fontId="14" numFmtId="0" xfId="0" applyAlignment="1" applyBorder="1" applyFont="1">
      <alignment shrinkToFit="0" wrapText="1"/>
    </xf>
    <xf borderId="10" fillId="2" fontId="5" numFmtId="10" xfId="0" applyAlignment="1" applyBorder="1" applyFont="1" applyNumberFormat="1">
      <alignment shrinkToFit="0" vertical="center" wrapText="0"/>
    </xf>
    <xf borderId="6" fillId="0" fontId="9" numFmtId="0" xfId="0" applyAlignment="1" applyBorder="1" applyFont="1">
      <alignment shrinkToFit="0" wrapText="1"/>
    </xf>
    <xf borderId="10" fillId="0" fontId="12" numFmtId="0" xfId="0" applyAlignment="1" applyBorder="1" applyFont="1">
      <alignment shrinkToFit="0" wrapText="1"/>
    </xf>
    <xf borderId="11" fillId="0" fontId="12" numFmtId="0" xfId="0" applyAlignment="1" applyBorder="1" applyFont="1">
      <alignment shrinkToFit="0" wrapText="1"/>
    </xf>
    <xf borderId="0" fillId="0" fontId="15" numFmtId="164" xfId="0" applyAlignment="1" applyFont="1" applyNumberFormat="1">
      <alignment shrinkToFit="0" wrapText="1"/>
    </xf>
    <xf borderId="10" fillId="2" fontId="8" numFmtId="0" xfId="0" applyAlignment="1" applyBorder="1" applyFont="1">
      <alignment shrinkToFit="0" vertical="center" wrapText="0"/>
    </xf>
    <xf borderId="8" fillId="0" fontId="6" numFmtId="0" xfId="0" applyAlignment="1" applyBorder="1" applyFont="1">
      <alignment shrinkToFit="0" wrapText="1"/>
    </xf>
    <xf borderId="10" fillId="0" fontId="6" numFmtId="164" xfId="0" applyAlignment="1" applyBorder="1" applyFont="1" applyNumberFormat="1">
      <alignment shrinkToFit="0" wrapText="1"/>
    </xf>
    <xf borderId="10" fillId="0" fontId="6" numFmtId="0" xfId="0" applyAlignment="1" applyBorder="1" applyFont="1">
      <alignment shrinkToFit="0" wrapText="1"/>
    </xf>
    <xf borderId="10" fillId="0" fontId="12" numFmtId="0" xfId="0" applyAlignment="1" applyBorder="1" applyFont="1">
      <alignment shrinkToFit="0" wrapText="1"/>
    </xf>
    <xf borderId="0" fillId="2" fontId="5" numFmtId="0" xfId="0" applyAlignment="1" applyFont="1">
      <alignment horizontal="center" shrinkToFit="0" vertical="bottom" wrapText="1"/>
    </xf>
    <xf borderId="0" fillId="0" fontId="9" numFmtId="164" xfId="0" applyAlignment="1" applyFont="1" applyNumberFormat="1">
      <alignment shrinkToFit="0" wrapText="1"/>
    </xf>
    <xf borderId="12" fillId="2" fontId="5" numFmtId="0" xfId="0" applyAlignment="1" applyBorder="1" applyFont="1">
      <alignment horizontal="center" shrinkToFit="0" vertical="bottom" wrapText="1"/>
    </xf>
    <xf borderId="13" fillId="2" fontId="5" numFmtId="0" xfId="0" applyAlignment="1" applyBorder="1" applyFont="1">
      <alignment horizontal="center" shrinkToFit="0" vertical="bottom" wrapText="1"/>
    </xf>
    <xf borderId="13" fillId="2" fontId="5" numFmtId="164" xfId="0" applyAlignment="1" applyBorder="1" applyFont="1" applyNumberFormat="1">
      <alignment horizontal="center" shrinkToFit="0" vertical="bottom" wrapText="1"/>
    </xf>
    <xf borderId="14" fillId="2" fontId="8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shrinkToFit="0" vertical="center" wrapText="1"/>
    </xf>
    <xf borderId="6" fillId="0" fontId="16" numFmtId="0" xfId="0" applyAlignment="1" applyBorder="1" applyFont="1">
      <alignment shrinkToFit="0" wrapText="1"/>
    </xf>
    <xf borderId="0" fillId="2" fontId="3" numFmtId="0" xfId="0" applyAlignment="1" applyFont="1">
      <alignment shrinkToFit="0" vertical="center" wrapText="1"/>
    </xf>
    <xf borderId="0" fillId="2" fontId="5" numFmtId="0" xfId="0" applyAlignment="1" applyFont="1">
      <alignment horizontal="right" shrinkToFit="0" vertical="bottom" wrapText="0"/>
    </xf>
    <xf borderId="6" fillId="2" fontId="5" numFmtId="0" xfId="0" applyAlignment="1" applyBorder="1" applyFont="1">
      <alignment horizontal="right" shrinkToFit="0" vertical="bottom" wrapText="0"/>
    </xf>
    <xf borderId="0" fillId="0" fontId="9" numFmtId="4" xfId="0" applyAlignment="1" applyFont="1" applyNumberFormat="1">
      <alignment shrinkToFit="0" wrapText="1"/>
    </xf>
    <xf borderId="0" fillId="2" fontId="11" numFmtId="10" xfId="0" applyAlignment="1" applyFont="1" applyNumberFormat="1">
      <alignment horizontal="right" shrinkToFit="0" vertical="bottom" wrapText="0"/>
    </xf>
    <xf borderId="0" fillId="0" fontId="16" numFmtId="0" xfId="0" applyAlignment="1" applyFont="1">
      <alignment shrinkToFit="0" wrapText="1"/>
    </xf>
    <xf borderId="0" fillId="2" fontId="11" numFmtId="2" xfId="0" applyAlignment="1" applyFont="1" applyNumberFormat="1">
      <alignment horizontal="right" shrinkToFit="0" vertical="bottom" wrapText="0"/>
    </xf>
    <xf borderId="0" fillId="2" fontId="6" numFmtId="4" xfId="0" applyAlignment="1" applyFont="1" applyNumberFormat="1">
      <alignment horizontal="right" shrinkToFit="0" vertical="bottom" wrapText="0"/>
    </xf>
    <xf borderId="0" fillId="0" fontId="12" numFmtId="0" xfId="0" applyAlignment="1" applyFont="1">
      <alignment shrinkToFit="0" wrapText="0"/>
    </xf>
    <xf borderId="8" fillId="0" fontId="12" numFmtId="0" xfId="0" applyAlignment="1" applyBorder="1" applyFont="1">
      <alignment shrinkToFit="0" wrapText="1"/>
    </xf>
    <xf borderId="0" fillId="2" fontId="11" numFmtId="164" xfId="0" applyAlignment="1" applyFont="1" applyNumberFormat="1">
      <alignment horizontal="right" shrinkToFit="0" vertical="bottom" wrapText="0"/>
    </xf>
    <xf borderId="0" fillId="0" fontId="9" numFmtId="168" xfId="0" applyAlignment="1" applyFont="1" applyNumberFormat="1">
      <alignment shrinkToFit="0" wrapText="1"/>
    </xf>
    <xf borderId="0" fillId="2" fontId="6" numFmtId="164" xfId="0" applyAlignment="1" applyFont="1" applyNumberFormat="1">
      <alignment horizontal="right" shrinkToFit="0" vertical="bottom" wrapText="0"/>
    </xf>
    <xf borderId="9" fillId="0" fontId="9" numFmtId="0" xfId="0" applyAlignment="1" applyBorder="1" applyFont="1">
      <alignment shrinkToFit="0" wrapText="1"/>
    </xf>
    <xf borderId="0" fillId="2" fontId="11" numFmtId="169" xfId="0" applyAlignment="1" applyFont="1" applyNumberFormat="1">
      <alignment horizontal="right" shrinkToFit="0" vertical="bottom" wrapText="0"/>
    </xf>
    <xf borderId="10" fillId="0" fontId="9" numFmtId="168" xfId="0" applyAlignment="1" applyBorder="1" applyFont="1" applyNumberFormat="1">
      <alignment shrinkToFit="0" wrapText="1"/>
    </xf>
    <xf borderId="10" fillId="0" fontId="6" numFmtId="0" xfId="0" applyAlignment="1" applyBorder="1" applyFont="1">
      <alignment shrinkToFit="0" wrapText="0"/>
    </xf>
    <xf borderId="11" fillId="0" fontId="6" numFmtId="0" xfId="0" applyAlignment="1" applyBorder="1" applyFont="1">
      <alignment shrinkToFit="0" wrapText="1"/>
    </xf>
    <xf borderId="8" fillId="2" fontId="9" numFmtId="164" xfId="0" applyAlignment="1" applyBorder="1" applyFont="1" applyNumberFormat="1">
      <alignment horizontal="right" shrinkToFit="0" vertical="bottom" wrapText="0"/>
    </xf>
    <xf borderId="6" fillId="2" fontId="3" numFmtId="0" xfId="0" applyAlignment="1" applyBorder="1" applyFont="1">
      <alignment shrinkToFit="0" vertical="center" wrapText="0"/>
    </xf>
    <xf borderId="0" fillId="2" fontId="6" numFmtId="169" xfId="0" applyAlignment="1" applyFont="1" applyNumberFormat="1">
      <alignment horizontal="right" shrinkToFit="0" vertical="bottom" wrapText="0"/>
    </xf>
    <xf borderId="0" fillId="0" fontId="6" numFmtId="3" xfId="0" applyAlignment="1" applyFont="1" applyNumberFormat="1">
      <alignment shrinkToFit="0" wrapText="1"/>
    </xf>
    <xf borderId="0" fillId="2" fontId="6" numFmtId="10" xfId="0" applyAlignment="1" applyFont="1" applyNumberFormat="1">
      <alignment horizontal="right" shrinkToFit="0" vertical="bottom" wrapText="0"/>
    </xf>
    <xf borderId="0" fillId="2" fontId="6" numFmtId="2" xfId="0" applyAlignment="1" applyFont="1" applyNumberFormat="1">
      <alignment horizontal="right" shrinkToFit="0" vertical="bottom" wrapText="0"/>
    </xf>
    <xf borderId="0" fillId="2" fontId="5" numFmtId="10" xfId="0" applyAlignment="1" applyFont="1" applyNumberFormat="1">
      <alignment horizontal="right" shrinkToFit="0" vertical="bottom" wrapText="0"/>
    </xf>
    <xf borderId="0" fillId="2" fontId="5" numFmtId="2" xfId="0" applyAlignment="1" applyFont="1" applyNumberFormat="1">
      <alignment horizontal="right" shrinkToFit="0" vertical="bottom" wrapText="0"/>
    </xf>
    <xf borderId="0" fillId="2" fontId="5" numFmtId="4" xfId="0" applyAlignment="1" applyFont="1" applyNumberFormat="1">
      <alignment horizontal="right" shrinkToFit="0" vertical="bottom" wrapText="0"/>
    </xf>
    <xf borderId="0" fillId="2" fontId="5" numFmtId="164" xfId="0" applyAlignment="1" applyFont="1" applyNumberFormat="1">
      <alignment horizontal="right" shrinkToFit="0" vertical="bottom" wrapText="0"/>
    </xf>
    <xf borderId="0" fillId="2" fontId="5" numFmtId="169" xfId="0" applyAlignment="1" applyFont="1" applyNumberFormat="1">
      <alignment horizontal="right" shrinkToFit="0" vertical="bottom" wrapText="0"/>
    </xf>
    <xf borderId="8" fillId="2" fontId="8" numFmtId="164" xfId="0" applyAlignment="1" applyBorder="1" applyFont="1" applyNumberFormat="1">
      <alignment horizontal="right" shrinkToFit="0" vertical="bottom" wrapText="0"/>
    </xf>
    <xf borderId="8" fillId="3" fontId="8" numFmtId="164" xfId="0" applyAlignment="1" applyBorder="1" applyFont="1" applyNumberFormat="1">
      <alignment horizontal="right"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5" numFmtId="170" xfId="0" applyAlignment="1" applyFont="1" applyNumberFormat="1">
      <alignment shrinkToFit="0" vertical="bottom" wrapText="0"/>
    </xf>
    <xf borderId="0" fillId="2" fontId="17" numFmtId="0" xfId="0" applyAlignment="1" applyFont="1">
      <alignment shrinkToFit="0" vertical="center" wrapText="0"/>
    </xf>
    <xf borderId="0" fillId="0" fontId="10" numFmtId="3" xfId="0" applyAlignment="1" applyFont="1" applyNumberFormat="1">
      <alignment shrinkToFit="0" vertical="bottom" wrapText="0"/>
    </xf>
    <xf borderId="0" fillId="2" fontId="18" numFmtId="164" xfId="0" applyAlignment="1" applyFont="1" applyNumberFormat="1">
      <alignment shrinkToFit="0" vertical="center" wrapText="0"/>
    </xf>
    <xf borderId="0" fillId="0" fontId="11" numFmtId="3" xfId="0" applyAlignment="1" applyFont="1" applyNumberFormat="1">
      <alignment shrinkToFit="0" vertical="bottom" wrapText="0"/>
    </xf>
    <xf borderId="0" fillId="2" fontId="10" numFmtId="166" xfId="0" applyAlignment="1" applyFont="1" applyNumberFormat="1">
      <alignment horizontal="left" shrinkToFit="0" vertical="bottom" wrapText="0"/>
    </xf>
    <xf borderId="0" fillId="0" fontId="10" numFmtId="0" xfId="0" applyAlignment="1" applyFont="1">
      <alignment shrinkToFit="0" wrapText="1"/>
    </xf>
    <xf borderId="0" fillId="0" fontId="9" numFmtId="0" xfId="0" applyAlignment="1" applyFont="1">
      <alignment shrinkToFit="0" wrapText="0"/>
    </xf>
    <xf borderId="0" fillId="0" fontId="6" numFmtId="49" xfId="0" applyAlignment="1" applyFont="1" applyNumberFormat="1">
      <alignment horizontal="right" shrinkToFit="0" wrapText="1"/>
    </xf>
    <xf borderId="0" fillId="0" fontId="6" numFmtId="0" xfId="0" applyAlignment="1" applyFont="1">
      <alignment horizontal="right" shrinkToFit="0" wrapText="1"/>
    </xf>
    <xf borderId="0" fillId="0" fontId="5" numFmtId="0" xfId="0" applyAlignment="1" applyFont="1">
      <alignment shrinkToFit="0" wrapText="0"/>
    </xf>
    <xf borderId="0" fillId="0" fontId="10" numFmtId="171" xfId="0" applyAlignment="1" applyFont="1" applyNumberFormat="1">
      <alignment shrinkToFit="0" wrapText="1"/>
    </xf>
    <xf borderId="0" fillId="0" fontId="10" numFmtId="169" xfId="0" applyAlignment="1" applyFont="1" applyNumberFormat="1">
      <alignment shrinkToFit="0" vertical="bottom" wrapText="0"/>
    </xf>
    <xf borderId="0" fillId="0" fontId="10" numFmtId="9" xfId="0" applyAlignment="1" applyFont="1" applyNumberFormat="1">
      <alignment shrinkToFit="0" wrapText="1"/>
    </xf>
    <xf borderId="0" fillId="0" fontId="10" numFmtId="3" xfId="0" applyAlignment="1" applyFont="1" applyNumberFormat="1">
      <alignment shrinkToFit="0" wrapText="1"/>
    </xf>
    <xf borderId="0" fillId="0" fontId="10" numFmtId="0" xfId="0" applyAlignment="1" applyFont="1">
      <alignment shrinkToFit="0" wrapText="0"/>
    </xf>
    <xf borderId="0" fillId="0" fontId="11" numFmtId="3" xfId="0" applyAlignment="1" applyFont="1" applyNumberFormat="1">
      <alignment horizontal="right" shrinkToFit="0" vertical="bottom" wrapText="1"/>
    </xf>
    <xf borderId="0" fillId="0" fontId="10" numFmtId="164" xfId="0" applyAlignment="1" applyFont="1" applyNumberFormat="1">
      <alignment shrinkToFit="0" wrapText="1"/>
    </xf>
    <xf borderId="0" fillId="0" fontId="11" numFmtId="164" xfId="0" applyAlignment="1" applyFont="1" applyNumberFormat="1">
      <alignment horizontal="right" shrinkToFit="0" vertical="bottom" wrapText="1"/>
    </xf>
    <xf borderId="0" fillId="0" fontId="10" numFmtId="165" xfId="0" applyAlignment="1" applyFont="1" applyNumberFormat="1">
      <alignment shrinkToFit="0" wrapText="1"/>
    </xf>
    <xf borderId="0" fillId="0" fontId="11" numFmtId="9" xfId="0" applyAlignment="1" applyFont="1" applyNumberFormat="1">
      <alignment shrinkToFit="0" wrapText="1"/>
    </xf>
    <xf borderId="0" fillId="0" fontId="11" numFmtId="3" xfId="0" applyAlignment="1" applyFont="1" applyNumberFormat="1">
      <alignment shrinkToFit="0" wrapText="1"/>
    </xf>
    <xf borderId="0" fillId="0" fontId="11" numFmtId="164" xfId="0" applyAlignment="1" applyFont="1" applyNumberFormat="1">
      <alignment shrinkToFit="0" wrapText="1"/>
    </xf>
    <xf borderId="9" fillId="2" fontId="5" numFmtId="0" xfId="0" applyAlignment="1" applyBorder="1" applyFont="1">
      <alignment horizontal="right" shrinkToFit="0" vertical="bottom" wrapText="0"/>
    </xf>
    <xf borderId="10" fillId="2" fontId="5" numFmtId="10" xfId="0" applyAlignment="1" applyBorder="1" applyFont="1" applyNumberFormat="1">
      <alignment horizontal="right" shrinkToFit="0" vertical="bottom" wrapText="0"/>
    </xf>
    <xf borderId="10" fillId="2" fontId="5" numFmtId="2" xfId="0" applyAlignment="1" applyBorder="1" applyFont="1" applyNumberFormat="1">
      <alignment horizontal="right" shrinkToFit="0" vertical="bottom" wrapText="0"/>
    </xf>
    <xf borderId="10" fillId="2" fontId="5" numFmtId="4" xfId="0" applyAlignment="1" applyBorder="1" applyFont="1" applyNumberFormat="1">
      <alignment horizontal="right" shrinkToFit="0" vertical="bottom" wrapText="0"/>
    </xf>
    <xf borderId="10" fillId="2" fontId="5" numFmtId="164" xfId="0" applyAlignment="1" applyBorder="1" applyFont="1" applyNumberFormat="1">
      <alignment horizontal="right" shrinkToFit="0" vertical="bottom" wrapText="0"/>
    </xf>
    <xf borderId="0" fillId="3" fontId="5" numFmtId="169" xfId="0" applyAlignment="1" applyFont="1" applyNumberFormat="1">
      <alignment shrinkToFit="0" vertical="bottom" wrapText="0"/>
    </xf>
    <xf borderId="10" fillId="2" fontId="5" numFmtId="169" xfId="0" applyAlignment="1" applyBorder="1" applyFont="1" applyNumberFormat="1">
      <alignment horizontal="right" shrinkToFit="0" vertical="bottom" wrapText="0"/>
    </xf>
    <xf borderId="0" fillId="0" fontId="6" numFmtId="0" xfId="0" applyAlignment="1" applyFont="1">
      <alignment shrinkToFit="0" vertical="bottom" wrapText="1"/>
    </xf>
    <xf borderId="0" fillId="0" fontId="5" numFmtId="169" xfId="0" applyAlignment="1" applyFont="1" applyNumberFormat="1">
      <alignment shrinkToFit="0" vertical="bottom" wrapText="0"/>
    </xf>
    <xf borderId="4" fillId="2" fontId="3" numFmtId="0" xfId="0" applyAlignment="1" applyBorder="1" applyFont="1">
      <alignment shrinkToFit="0" vertical="center" wrapText="0"/>
    </xf>
    <xf borderId="0" fillId="0" fontId="19" numFmtId="164" xfId="0" applyAlignment="1" applyFont="1" applyNumberFormat="1">
      <alignment shrinkToFit="0" vertical="bottom" wrapText="1"/>
    </xf>
    <xf borderId="4" fillId="2" fontId="3" numFmtId="164" xfId="0" applyAlignment="1" applyBorder="1" applyFont="1" applyNumberFormat="1">
      <alignment shrinkToFit="0" vertical="center" wrapText="0"/>
    </xf>
    <xf borderId="0" fillId="0" fontId="19" numFmtId="3" xfId="0" applyAlignment="1" applyFont="1" applyNumberFormat="1">
      <alignment shrinkToFit="0" vertical="bottom" wrapText="1"/>
    </xf>
    <xf borderId="0" fillId="0" fontId="10" numFmtId="164" xfId="0" applyAlignment="1" applyFont="1" applyNumberFormat="1">
      <alignment shrinkToFit="0" vertical="bottom" wrapText="1"/>
    </xf>
    <xf borderId="0" fillId="0" fontId="19" numFmtId="0" xfId="0" applyAlignment="1" applyFont="1">
      <alignment shrinkToFit="0" vertical="bottom" wrapText="1"/>
    </xf>
    <xf borderId="0" fillId="0" fontId="19" numFmtId="0" xfId="0" applyAlignment="1" applyFont="1">
      <alignment shrinkToFit="0" wrapText="1"/>
    </xf>
    <xf borderId="0" fillId="0" fontId="6" numFmtId="171" xfId="0" applyAlignment="1" applyFont="1" applyNumberFormat="1">
      <alignment shrinkToFit="0" vertical="bottom" wrapText="1"/>
    </xf>
    <xf borderId="0" fillId="3" fontId="6" numFmtId="172" xfId="0" applyAlignment="1" applyFont="1" applyNumberFormat="1">
      <alignment shrinkToFit="0" vertical="bottom" wrapText="0"/>
    </xf>
    <xf borderId="0" fillId="2" fontId="1" numFmtId="0" xfId="0" applyAlignment="1" applyFont="1">
      <alignment shrinkToFit="0" vertical="center" wrapText="1"/>
    </xf>
    <xf borderId="0" fillId="2" fontId="17" numFmtId="0" xfId="0" applyAlignment="1" applyFont="1">
      <alignment shrinkToFit="0" vertical="center" wrapText="1"/>
    </xf>
    <xf borderId="0" fillId="2" fontId="3" numFmtId="164" xfId="0" applyAlignment="1" applyFont="1" applyNumberFormat="1">
      <alignment shrinkToFit="0" vertical="center" wrapText="1"/>
    </xf>
    <xf borderId="0" fillId="2" fontId="5" numFmtId="166" xfId="0" applyAlignment="1" applyFont="1" applyNumberFormat="1">
      <alignment horizontal="left" shrinkToFit="0" vertical="bottom" wrapText="1"/>
    </xf>
    <xf borderId="10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shrinkToFit="0" wrapText="1"/>
    </xf>
    <xf borderId="6" fillId="0" fontId="10" numFmtId="171" xfId="0" applyAlignment="1" applyBorder="1" applyFont="1" applyNumberFormat="1">
      <alignment shrinkToFit="0" wrapText="1"/>
    </xf>
    <xf borderId="0" fillId="0" fontId="6" numFmtId="171" xfId="0" applyAlignment="1" applyFont="1" applyNumberFormat="1">
      <alignment shrinkToFit="0" wrapText="1"/>
    </xf>
    <xf borderId="4" fillId="0" fontId="10" numFmtId="3" xfId="0" applyAlignment="1" applyBorder="1" applyFont="1" applyNumberFormat="1">
      <alignment shrinkToFit="0" wrapText="1"/>
    </xf>
    <xf borderId="0" fillId="5" fontId="9" numFmtId="0" xfId="0" applyAlignment="1" applyFill="1" applyFont="1">
      <alignment shrinkToFit="0" wrapText="0"/>
    </xf>
    <xf borderId="0" fillId="5" fontId="9" numFmtId="171" xfId="0" applyAlignment="1" applyFont="1" applyNumberFormat="1">
      <alignment shrinkToFit="0" wrapText="1"/>
    </xf>
    <xf borderId="4" fillId="0" fontId="10" numFmtId="9" xfId="0" applyAlignment="1" applyBorder="1" applyFont="1" applyNumberFormat="1">
      <alignment shrinkToFit="0" wrapText="1"/>
    </xf>
    <xf borderId="0" fillId="0" fontId="20" numFmtId="0" xfId="0" applyAlignment="1" applyFont="1">
      <alignment shrinkToFit="0" vertical="bottom" wrapText="0"/>
    </xf>
    <xf borderId="0" fillId="5" fontId="15" numFmtId="9" xfId="0" applyAlignment="1" applyFont="1" applyNumberFormat="1">
      <alignment shrinkToFit="0" wrapText="1"/>
    </xf>
    <xf borderId="4" fillId="0" fontId="6" numFmtId="3" xfId="0" applyAlignment="1" applyBorder="1" applyFont="1" applyNumberFormat="1">
      <alignment shrinkToFit="0" wrapText="1"/>
    </xf>
    <xf borderId="0" fillId="0" fontId="20" numFmtId="169" xfId="0" applyAlignment="1" applyFont="1" applyNumberFormat="1">
      <alignment shrinkToFit="0" vertical="bottom" wrapText="0"/>
    </xf>
    <xf borderId="0" fillId="5" fontId="15" numFmtId="3" xfId="0" applyAlignment="1" applyFont="1" applyNumberFormat="1">
      <alignment shrinkToFit="0" wrapText="1"/>
    </xf>
    <xf borderId="4" fillId="3" fontId="10" numFmtId="3" xfId="0" applyAlignment="1" applyBorder="1" applyFont="1" applyNumberFormat="1">
      <alignment shrinkToFit="0" wrapText="1"/>
    </xf>
    <xf borderId="0" fillId="5" fontId="15" numFmtId="164" xfId="0" applyAlignment="1" applyFont="1" applyNumberFormat="1">
      <alignment shrinkToFit="0" wrapText="1"/>
    </xf>
    <xf borderId="0" fillId="5" fontId="9" numFmtId="3" xfId="0" applyAlignment="1" applyFont="1" applyNumberFormat="1">
      <alignment shrinkToFit="0" wrapText="1"/>
    </xf>
    <xf borderId="0" fillId="3" fontId="6" numFmtId="164" xfId="0" applyAlignment="1" applyFont="1" applyNumberFormat="1">
      <alignment shrinkToFit="0" wrapText="1"/>
    </xf>
    <xf borderId="0" fillId="5" fontId="10" numFmtId="0" xfId="0" applyAlignment="1" applyFont="1">
      <alignment shrinkToFit="0" vertical="bottom" wrapText="1"/>
    </xf>
    <xf borderId="0" fillId="5" fontId="16" numFmtId="0" xfId="0" applyAlignment="1" applyFont="1">
      <alignment shrinkToFit="0" wrapText="1"/>
    </xf>
    <xf borderId="0" fillId="6" fontId="6" numFmtId="0" xfId="0" applyAlignment="1" applyFill="1" applyFont="1">
      <alignment shrinkToFit="0" vertical="bottom" wrapText="1"/>
    </xf>
    <xf borderId="0" fillId="3" fontId="10" numFmtId="3" xfId="0" applyAlignment="1" applyFont="1" applyNumberFormat="1">
      <alignment shrinkToFit="0" wrapText="1"/>
    </xf>
    <xf borderId="0" fillId="6" fontId="6" numFmtId="171" xfId="0" applyAlignment="1" applyFont="1" applyNumberFormat="1">
      <alignment shrinkToFit="0" vertical="bottom" wrapText="1"/>
    </xf>
    <xf borderId="0" fillId="7" fontId="11" numFmtId="3" xfId="0" applyAlignment="1" applyFill="1" applyFont="1" applyNumberFormat="1">
      <alignment horizontal="right" shrinkToFit="0" vertical="bottom" wrapText="1"/>
    </xf>
    <xf borderId="0" fillId="0" fontId="10" numFmtId="2" xfId="0" applyAlignment="1" applyFont="1" applyNumberFormat="1">
      <alignment shrinkToFit="0" vertical="bottom" wrapText="0"/>
    </xf>
    <xf borderId="0" fillId="6" fontId="6" numFmtId="164" xfId="0" applyAlignment="1" applyFont="1" applyNumberFormat="1">
      <alignment shrinkToFit="0" wrapText="1"/>
    </xf>
    <xf borderId="0" fillId="6" fontId="19" numFmtId="3" xfId="0" applyAlignment="1" applyFont="1" applyNumberFormat="1">
      <alignment shrinkToFit="0" vertical="bottom" wrapText="1"/>
    </xf>
    <xf borderId="0" fillId="6" fontId="10" numFmtId="164" xfId="0" applyAlignment="1" applyFont="1" applyNumberFormat="1">
      <alignment shrinkToFit="0" vertical="bottom" wrapText="1"/>
    </xf>
    <xf borderId="0" fillId="6" fontId="19" numFmtId="0" xfId="0" applyAlignment="1" applyFont="1">
      <alignment shrinkToFit="0" vertical="bottom" wrapText="1"/>
    </xf>
    <xf borderId="0" fillId="7" fontId="11" numFmtId="164" xfId="0" applyAlignment="1" applyFont="1" applyNumberFormat="1">
      <alignment horizontal="right" shrinkToFit="0" vertical="bottom" wrapText="1"/>
    </xf>
    <xf borderId="6" fillId="0" fontId="6" numFmtId="171" xfId="0" applyAlignment="1" applyBorder="1" applyFont="1" applyNumberFormat="1">
      <alignment shrinkToFit="0" wrapText="1"/>
    </xf>
    <xf borderId="0" fillId="0" fontId="6" numFmtId="9" xfId="0" applyAlignment="1" applyFont="1" applyNumberFormat="1">
      <alignment shrinkToFit="0" wrapText="1"/>
    </xf>
    <xf borderId="8" fillId="5" fontId="9" numFmtId="0" xfId="0" applyAlignment="1" applyBorder="1" applyFont="1">
      <alignment shrinkToFit="0" wrapText="1"/>
    </xf>
    <xf borderId="6" fillId="5" fontId="9" numFmtId="171" xfId="0" applyAlignment="1" applyBorder="1" applyFont="1" applyNumberFormat="1">
      <alignment shrinkToFit="0" wrapText="1"/>
    </xf>
    <xf borderId="0" fillId="5" fontId="9" numFmtId="9" xfId="0" applyAlignment="1" applyFont="1" applyNumberFormat="1">
      <alignment shrinkToFit="0" wrapText="1"/>
    </xf>
    <xf borderId="0" fillId="0" fontId="5" numFmtId="0" xfId="0" applyAlignment="1" applyFont="1">
      <alignment horizontal="right" shrinkToFit="0" vertical="bottom" wrapText="0"/>
    </xf>
    <xf borderId="0" fillId="3" fontId="9" numFmtId="3" xfId="0" applyAlignment="1" applyFont="1" applyNumberFormat="1">
      <alignment shrinkToFit="0" wrapText="1"/>
    </xf>
    <xf borderId="0" fillId="3" fontId="9" numFmtId="164" xfId="0" applyAlignment="1" applyFont="1" applyNumberFormat="1">
      <alignment shrinkToFit="0" wrapText="1"/>
    </xf>
    <xf borderId="0" fillId="3" fontId="5" numFmtId="4" xfId="0" applyAlignment="1" applyFont="1" applyNumberFormat="1">
      <alignment shrinkToFit="0" vertical="bottom" wrapText="0"/>
    </xf>
    <xf borderId="0" fillId="5" fontId="9" numFmtId="164" xfId="0" applyAlignment="1" applyFont="1" applyNumberFormat="1">
      <alignment shrinkToFit="0" wrapText="1"/>
    </xf>
    <xf borderId="0" fillId="0" fontId="10" numFmtId="164" xfId="0" applyAlignment="1" applyFont="1" applyNumberFormat="1">
      <alignment shrinkToFit="0" vertical="bottom" wrapText="0"/>
    </xf>
    <xf borderId="0" fillId="4" fontId="13" numFmtId="0" xfId="0" applyAlignment="1" applyFont="1">
      <alignment shrinkToFit="0" wrapText="1"/>
    </xf>
    <xf borderId="0" fillId="4" fontId="13" numFmtId="171" xfId="0" applyAlignment="1" applyFont="1" applyNumberFormat="1">
      <alignment shrinkToFit="0" wrapText="1"/>
    </xf>
    <xf borderId="0" fillId="4" fontId="13" numFmtId="3" xfId="0" applyAlignment="1" applyFont="1" applyNumberFormat="1">
      <alignment shrinkToFit="0" wrapText="1"/>
    </xf>
    <xf borderId="0" fillId="4" fontId="13" numFmtId="9" xfId="0" applyAlignment="1" applyFont="1" applyNumberFormat="1">
      <alignment shrinkToFit="0" wrapText="1"/>
    </xf>
    <xf borderId="0" fillId="3" fontId="8" numFmtId="164" xfId="0" applyAlignment="1" applyFont="1" applyNumberFormat="1">
      <alignment shrinkToFit="0" wrapText="1"/>
    </xf>
    <xf borderId="0" fillId="4" fontId="13" numFmtId="164" xfId="0" applyAlignment="1" applyFont="1" applyNumberFormat="1">
      <alignment shrinkToFit="0" wrapText="1"/>
    </xf>
    <xf borderId="0" fillId="0" fontId="12" numFmtId="0" xfId="0" applyAlignment="1" applyFont="1">
      <alignment shrinkToFit="0" wrapText="1"/>
    </xf>
    <xf borderId="0" fillId="0" fontId="12" numFmtId="3" xfId="0" applyAlignment="1" applyFont="1" applyNumberFormat="1">
      <alignment shrinkToFit="0" wrapText="1"/>
    </xf>
    <xf borderId="0" fillId="3" fontId="6" numFmtId="16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13" numFmtId="0" xfId="0" applyAlignment="1" applyFont="1">
      <alignment shrinkToFit="0" wrapText="0"/>
    </xf>
    <xf borderId="0" fillId="4" fontId="10" numFmtId="0" xfId="0" applyAlignment="1" applyFont="1">
      <alignment shrinkToFit="0" vertical="bottom" wrapText="1"/>
    </xf>
    <xf borderId="0" fillId="4" fontId="21" numFmtId="0" xfId="0" applyAlignment="1" applyFont="1">
      <alignment shrinkToFit="0" wrapText="1"/>
    </xf>
    <xf borderId="0" fillId="7" fontId="6" numFmtId="171" xfId="0" applyAlignment="1" applyFont="1" applyNumberFormat="1">
      <alignment shrinkToFit="0" vertical="bottom" wrapText="1"/>
    </xf>
    <xf borderId="0" fillId="7" fontId="6" numFmtId="164" xfId="0" applyAlignment="1" applyFont="1" applyNumberFormat="1">
      <alignment shrinkToFit="0" wrapText="1"/>
    </xf>
    <xf borderId="0" fillId="7" fontId="19" numFmtId="3" xfId="0" applyAlignment="1" applyFont="1" applyNumberFormat="1">
      <alignment shrinkToFit="0" vertical="bottom" wrapText="1"/>
    </xf>
    <xf borderId="0" fillId="7" fontId="10" numFmtId="164" xfId="0" applyAlignment="1" applyFont="1" applyNumberFormat="1">
      <alignment shrinkToFit="0" vertical="bottom" wrapText="1"/>
    </xf>
    <xf borderId="0" fillId="7" fontId="19" numFmtId="0" xfId="0" applyAlignment="1" applyFont="1">
      <alignment shrinkToFit="0" vertical="bottom" wrapText="1"/>
    </xf>
    <xf borderId="0" fillId="0" fontId="5" numFmtId="164" xfId="0" applyAlignment="1" applyFont="1" applyNumberFormat="1">
      <alignment shrinkToFit="0" vertical="bottom" wrapText="0"/>
    </xf>
    <xf borderId="0" fillId="0" fontId="5" numFmtId="173" xfId="0" applyAlignment="1" applyFont="1" applyNumberFormat="1">
      <alignment shrinkToFit="0" vertical="bottom" wrapText="0"/>
    </xf>
    <xf borderId="0" fillId="0" fontId="5" numFmtId="9" xfId="0" applyAlignment="1" applyFont="1" applyNumberFormat="1">
      <alignment shrinkToFit="0" vertical="bottom" wrapText="0"/>
    </xf>
    <xf borderId="0" fillId="0" fontId="5" numFmtId="1" xfId="0" applyAlignment="1" applyFont="1" applyNumberFormat="1">
      <alignment shrinkToFit="0" vertical="bottom" wrapText="0"/>
    </xf>
    <xf borderId="0" fillId="0" fontId="5" numFmtId="171" xfId="0" applyAlignment="1" applyFont="1" applyNumberFormat="1">
      <alignment shrinkToFit="0" vertical="bottom" wrapText="0"/>
    </xf>
    <xf borderId="0" fillId="0" fontId="5" numFmtId="17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/>
            </a:pPr>
            <a:r>
              <a:t>Retention, real data and trendline</a:t>
            </a:r>
          </a:p>
        </c:rich>
      </c:tx>
      <c:overlay val="0"/>
    </c:title>
    <c:plotArea>
      <c:layout>
        <c:manualLayout>
          <c:xMode val="edge"/>
          <c:yMode val="edge"/>
          <c:x val="0.12167"/>
          <c:y val="0.15364"/>
          <c:w val="0.795"/>
          <c:h val="0.75741"/>
        </c:manualLayout>
      </c:layout>
      <c:lineChart>
        <c:ser>
          <c:idx val="0"/>
          <c:order val="0"/>
          <c:spPr>
            <a:ln cmpd="sng" w="19050">
              <a:solidFill>
                <a:srgbClr val="00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Cohorts!$D$35:$Z$35</c:f>
            </c:strRef>
          </c:cat>
          <c:val>
            <c:numRef>
              <c:f>Cohorts!$D$36:$Z$36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CCCCCC"/>
              </a:solidFill>
              <a:prstDash val="solid"/>
            </a:ln>
          </c:spPr>
          <c:marker>
            <c:symbol val="none"/>
          </c:marker>
          <c:cat>
            <c:strRef>
              <c:f>Cohorts!$D$35:$Z$35</c:f>
            </c:strRef>
          </c:cat>
          <c:val>
            <c:numRef>
              <c:f>Cohorts!$D$37:$Z$37</c:f>
            </c:numRef>
          </c:val>
          <c:smooth val="0"/>
        </c:ser>
        <c:axId val="1310121567"/>
        <c:axId val="1103711810"/>
      </c:lineChart>
      <c:catAx>
        <c:axId val="131012156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103711810"/>
      </c:catAx>
      <c:valAx>
        <c:axId val="1103711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310121567"/>
      </c:valAx>
      <c:spPr>
        <a:solidFill>
          <a:srgbClr val="FFFFFF"/>
        </a:solidFill>
      </c:spPr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Paid Channels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 Overview'!$B$47</c:f>
            </c:strRef>
          </c:tx>
          <c:spPr>
            <a:ln cmpd="sng"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'CAC Overview'!$C$4:$G$4</c:f>
            </c:strRef>
          </c:cat>
          <c:val>
            <c:numRef>
              <c:f>'CAC Overview'!$C$47:$G$47</c:f>
            </c:numRef>
          </c:val>
          <c:smooth val="0"/>
        </c:ser>
        <c:ser>
          <c:idx val="1"/>
          <c:order val="1"/>
          <c:tx>
            <c:strRef>
              <c:f>'CAC Overview'!$B$48</c:f>
            </c:strRef>
          </c:tx>
          <c:spPr>
            <a:ln cmpd="sng" w="19050">
              <a:solidFill>
                <a:srgbClr val="BF9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BF9000"/>
              </a:solidFill>
              <a:ln cmpd="sng">
                <a:solidFill>
                  <a:srgbClr val="BF9000"/>
                </a:solidFill>
              </a:ln>
            </c:spPr>
          </c:marker>
          <c:cat>
            <c:strRef>
              <c:f>'CAC Overview'!$C$4:$G$4</c:f>
            </c:strRef>
          </c:cat>
          <c:val>
            <c:numRef>
              <c:f>'CAC Overview'!$C$48:$G$48</c:f>
            </c:numRef>
          </c:val>
          <c:smooth val="0"/>
        </c:ser>
        <c:axId val="710729253"/>
        <c:axId val="1556965299"/>
      </c:lineChart>
      <c:catAx>
        <c:axId val="71072925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1556965299"/>
      </c:catAx>
      <c:valAx>
        <c:axId val="1556965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710729253"/>
      </c:valAx>
      <c:lineChart>
        <c:varyColors val="0"/>
        <c:ser>
          <c:idx val="2"/>
          <c:order val="2"/>
          <c:tx>
            <c:strRef>
              <c:f>'CAC Overview'!$B$49</c:f>
            </c:strRef>
          </c:tx>
          <c:spPr>
            <a:ln cmpd="sng" w="19050">
              <a:solidFill>
                <a:srgbClr val="0000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'CAC Overview'!$C$4:$G$4</c:f>
            </c:strRef>
          </c:cat>
          <c:val>
            <c:numRef>
              <c:f>'CAC Overview'!$C$49:$G$49</c:f>
            </c:numRef>
          </c:val>
          <c:smooth val="0"/>
        </c:ser>
        <c:axId val="947688479"/>
        <c:axId val="566914471"/>
      </c:lineChart>
      <c:catAx>
        <c:axId val="947688479"/>
        <c:scaling>
          <c:orientation val="minMax"/>
        </c:scaling>
        <c:delete val="1"/>
        <c:axPos val="b"/>
        <c:txPr>
          <a:bodyPr/>
          <a:lstStyle/>
          <a:p>
            <a:pPr lvl="0">
              <a:defRPr b="0" i="0"/>
            </a:pPr>
          </a:p>
        </c:txPr>
        <c:crossAx val="566914471"/>
      </c:catAx>
      <c:valAx>
        <c:axId val="566914471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947688479"/>
        <c:crosses val="max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Organic Channels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'CAC Overview'!$B$69</c:f>
            </c:strRef>
          </c:tx>
          <c:spPr>
            <a:ln cmpd="sng"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cat>
            <c:strRef>
              <c:f>'CAC Overview'!$C$4:$G$4</c:f>
            </c:strRef>
          </c:cat>
          <c:val>
            <c:numRef>
              <c:f>'CAC Overview'!$C$69:$G$69</c:f>
            </c:numRef>
          </c:val>
          <c:smooth val="0"/>
        </c:ser>
        <c:ser>
          <c:idx val="1"/>
          <c:order val="1"/>
          <c:tx>
            <c:strRef>
              <c:f>'CAC Overview'!$B$70</c:f>
            </c:strRef>
          </c:tx>
          <c:spPr>
            <a:ln cmpd="sng" w="19050">
              <a:solidFill>
                <a:srgbClr val="BF9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BF9000"/>
              </a:solidFill>
              <a:ln cmpd="sng">
                <a:solidFill>
                  <a:srgbClr val="BF9000"/>
                </a:solidFill>
              </a:ln>
            </c:spPr>
          </c:marker>
          <c:cat>
            <c:strRef>
              <c:f>'CAC Overview'!$C$4:$G$4</c:f>
            </c:strRef>
          </c:cat>
          <c:val>
            <c:numRef>
              <c:f>'CAC Overview'!$C$70:$G$70</c:f>
            </c:numRef>
          </c:val>
          <c:smooth val="0"/>
        </c:ser>
        <c:axId val="1359115151"/>
        <c:axId val="261367962"/>
      </c:lineChart>
      <c:catAx>
        <c:axId val="1359115151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/>
            </a:pPr>
          </a:p>
        </c:txPr>
        <c:crossAx val="261367962"/>
      </c:catAx>
      <c:valAx>
        <c:axId val="261367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359115151"/>
      </c:valAx>
      <c:lineChart>
        <c:varyColors val="0"/>
        <c:ser>
          <c:idx val="2"/>
          <c:order val="2"/>
          <c:tx>
            <c:strRef>
              <c:f>'CAC Overview'!$B$71</c:f>
            </c:strRef>
          </c:tx>
          <c:spPr>
            <a:ln cmpd="sng" w="19050">
              <a:solidFill>
                <a:srgbClr val="0000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FF"/>
              </a:solidFill>
              <a:ln cmpd="sng">
                <a:solidFill>
                  <a:srgbClr val="0000FF"/>
                </a:solidFill>
              </a:ln>
            </c:spPr>
          </c:marker>
          <c:cat>
            <c:strRef>
              <c:f>'CAC Overview'!$C$4:$G$4</c:f>
            </c:strRef>
          </c:cat>
          <c:val>
            <c:numRef>
              <c:f>'CAC Overview'!$C$71:$G$71</c:f>
            </c:numRef>
          </c:val>
          <c:smooth val="0"/>
        </c:ser>
        <c:axId val="1221136970"/>
        <c:axId val="1930380745"/>
      </c:lineChart>
      <c:catAx>
        <c:axId val="1221136970"/>
        <c:scaling>
          <c:orientation val="minMax"/>
        </c:scaling>
        <c:delete val="1"/>
        <c:axPos val="b"/>
        <c:txPr>
          <a:bodyPr/>
          <a:lstStyle/>
          <a:p>
            <a:pPr lvl="0">
              <a:defRPr b="0" i="0"/>
            </a:pPr>
          </a:p>
        </c:txPr>
        <c:crossAx val="1930380745"/>
      </c:catAx>
      <c:valAx>
        <c:axId val="193038074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/>
            </a:pPr>
          </a:p>
        </c:txPr>
        <c:crossAx val="1221136970"/>
        <c:crosses val="max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26</xdr:col>
      <xdr:colOff>476250</xdr:colOff>
      <xdr:row>10</xdr:row>
      <xdr:rowOff>47625</xdr:rowOff>
    </xdr:from>
    <xdr:ext cx="5715000" cy="35337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285750</xdr:colOff>
      <xdr:row>20</xdr:row>
      <xdr:rowOff>47625</xdr:rowOff>
    </xdr:from>
    <xdr:ext cx="664845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295275</xdr:colOff>
      <xdr:row>49</xdr:row>
      <xdr:rowOff>66675</xdr:rowOff>
    </xdr:from>
    <xdr:ext cx="6648450" cy="3533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rtupdocs.se/unit-economics-cltv-cac-and-cohort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18.29"/>
    <col customWidth="1" min="2" max="2" width="7.29"/>
    <col customWidth="1" min="3" max="3" width="34.14"/>
    <col customWidth="1" min="4" max="9" width="13.43"/>
    <col customWidth="1" min="10" max="26" width="17.29"/>
  </cols>
  <sheetData>
    <row r="1" ht="12.75" customHeight="1">
      <c r="A1" s="9" t="s">
        <v>2</v>
      </c>
      <c r="B1" s="9"/>
      <c r="C1" s="9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0" t="s">
        <v>3</v>
      </c>
      <c r="B2" s="10"/>
      <c r="C2" s="10"/>
      <c r="D2" s="10"/>
      <c r="E2" s="10"/>
      <c r="F2" s="17" t="s">
        <v>4</v>
      </c>
      <c r="G2" s="10"/>
      <c r="H2" s="10"/>
      <c r="I2" s="10"/>
      <c r="J2" s="10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8" t="s">
        <v>8</v>
      </c>
      <c r="B4" s="7"/>
      <c r="C4" s="12"/>
      <c r="D4" s="12"/>
      <c r="E4" s="13"/>
      <c r="F4" s="14"/>
      <c r="G4" s="11"/>
      <c r="H4" s="14"/>
      <c r="I4" s="14"/>
      <c r="J4" s="15"/>
      <c r="K4" s="16"/>
      <c r="L4" s="12"/>
      <c r="M4" s="1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9" t="s">
        <v>9</v>
      </c>
      <c r="B6" s="19"/>
      <c r="C6" s="19"/>
      <c r="D6" s="19"/>
      <c r="E6" s="19"/>
      <c r="F6" s="19"/>
      <c r="G6" s="1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9" t="s">
        <v>10</v>
      </c>
      <c r="B7" s="19"/>
      <c r="C7" s="19"/>
      <c r="D7" s="19"/>
      <c r="E7" s="19"/>
      <c r="F7" s="19"/>
      <c r="G7" s="1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B9" s="11"/>
      <c r="C9" s="21" t="s">
        <v>11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23" t="s">
        <v>13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25" t="s">
        <v>14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27" t="s">
        <v>15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29" t="s">
        <v>16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32" t="s">
        <v>18</v>
      </c>
      <c r="B15" s="34"/>
      <c r="C15" s="36"/>
      <c r="D15" s="37"/>
      <c r="E15" s="37"/>
      <c r="F15" s="37"/>
      <c r="G15" s="37"/>
      <c r="H15" s="37"/>
      <c r="I15" s="3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41" t="s">
        <v>22</v>
      </c>
      <c r="B16" s="44">
        <f>CLTV!M25</f>
        <v>8.014497672</v>
      </c>
      <c r="C16" s="19" t="s">
        <v>23</v>
      </c>
      <c r="D16" s="11"/>
      <c r="E16" s="11"/>
      <c r="F16" s="11"/>
      <c r="G16" s="11"/>
      <c r="H16" s="11"/>
      <c r="I16" s="4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41" t="s">
        <v>24</v>
      </c>
      <c r="B17" s="44">
        <f>CLTV!M73</f>
        <v>20.53887669</v>
      </c>
      <c r="C17" s="19" t="s">
        <v>25</v>
      </c>
      <c r="D17" s="11"/>
      <c r="E17" s="11"/>
      <c r="F17" s="11"/>
      <c r="G17" s="11"/>
      <c r="H17" s="11"/>
      <c r="I17" s="46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41"/>
      <c r="B18" s="51"/>
      <c r="C18" s="19"/>
      <c r="D18" s="11"/>
      <c r="E18" s="11"/>
      <c r="F18" s="11"/>
      <c r="G18" s="11"/>
      <c r="H18" s="11"/>
      <c r="I18" s="4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41" t="s">
        <v>27</v>
      </c>
      <c r="B19" s="44">
        <f>'CAC Overview'!I49</f>
        <v>3.464090558</v>
      </c>
      <c r="C19" s="19" t="s">
        <v>29</v>
      </c>
      <c r="D19" s="11"/>
      <c r="E19" s="11"/>
      <c r="F19" s="11"/>
      <c r="G19" s="11"/>
      <c r="H19" s="11"/>
      <c r="I19" s="46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41" t="s">
        <v>30</v>
      </c>
      <c r="B20" s="44">
        <f>'CAC Overview'!I71</f>
        <v>0.6046877619</v>
      </c>
      <c r="C20" s="19" t="s">
        <v>34</v>
      </c>
      <c r="D20" s="11"/>
      <c r="E20" s="11"/>
      <c r="F20" s="11"/>
      <c r="G20" s="11"/>
      <c r="H20" s="11"/>
      <c r="I20" s="4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41" t="s">
        <v>35</v>
      </c>
      <c r="B21" s="44">
        <f>'CAC Overview'!I76</f>
        <v>2.871084468</v>
      </c>
      <c r="C21" s="19" t="s">
        <v>42</v>
      </c>
      <c r="D21" s="11"/>
      <c r="E21" s="11"/>
      <c r="F21" s="11"/>
      <c r="G21" s="11"/>
      <c r="H21" s="11"/>
      <c r="I21" s="46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57"/>
      <c r="B22" s="51"/>
      <c r="C22" s="19"/>
      <c r="D22" s="11"/>
      <c r="E22" s="11"/>
      <c r="F22" s="11"/>
      <c r="G22" s="11"/>
      <c r="H22" s="11"/>
      <c r="I22" s="46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41" t="s">
        <v>44</v>
      </c>
      <c r="B23" s="61">
        <f>B16/B21</f>
        <v>2.791453112</v>
      </c>
      <c r="C23" s="19" t="s">
        <v>45</v>
      </c>
      <c r="D23" s="11"/>
      <c r="E23" s="11"/>
      <c r="F23" s="11"/>
      <c r="G23" s="11"/>
      <c r="H23" s="11"/>
      <c r="I23" s="46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41" t="s">
        <v>46</v>
      </c>
      <c r="B24" s="61">
        <f>B16/B19</f>
        <v>2.313593579</v>
      </c>
      <c r="C24" s="19" t="s">
        <v>47</v>
      </c>
      <c r="D24" s="11"/>
      <c r="E24" s="11"/>
      <c r="F24" s="11"/>
      <c r="G24" s="11"/>
      <c r="H24" s="11"/>
      <c r="I24" s="46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57"/>
      <c r="B25" s="63"/>
      <c r="C25" s="19"/>
      <c r="D25" s="11"/>
      <c r="E25" s="11"/>
      <c r="F25" s="11"/>
      <c r="G25" s="11"/>
      <c r="H25" s="11"/>
      <c r="I25" s="46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41" t="s">
        <v>48</v>
      </c>
      <c r="B26" s="61">
        <f>B17/B21</f>
        <v>7.153699908</v>
      </c>
      <c r="C26" s="19" t="s">
        <v>49</v>
      </c>
      <c r="D26" s="11"/>
      <c r="E26" s="11"/>
      <c r="F26" s="11"/>
      <c r="G26" s="11"/>
      <c r="H26" s="11"/>
      <c r="I26" s="46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41" t="s">
        <v>50</v>
      </c>
      <c r="B27" s="61">
        <f>B17/B19</f>
        <v>5.929081919</v>
      </c>
      <c r="C27" s="66"/>
      <c r="I27" s="6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41"/>
      <c r="B28" s="51"/>
      <c r="C28" s="19"/>
      <c r="D28" s="11"/>
      <c r="E28" s="11"/>
      <c r="F28" s="11"/>
      <c r="G28" s="11"/>
      <c r="H28" s="11"/>
      <c r="I28" s="46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41" t="s">
        <v>51</v>
      </c>
      <c r="B29" s="69">
        <f>B32+(B20-B33)/(B35-B33)</f>
        <v>0.2128985695</v>
      </c>
      <c r="C29" s="19" t="s">
        <v>52</v>
      </c>
      <c r="D29" s="11"/>
      <c r="E29" s="11"/>
      <c r="F29" s="11"/>
      <c r="G29" s="11"/>
      <c r="H29" s="11"/>
      <c r="I29" s="46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71" t="s">
        <v>53</v>
      </c>
      <c r="B30" s="73">
        <f>B36+(B19-B37)/(B39-B37)</f>
        <v>1.805971402</v>
      </c>
      <c r="C30" s="74" t="s">
        <v>54</v>
      </c>
      <c r="D30" s="48"/>
      <c r="E30" s="48"/>
      <c r="F30" s="48"/>
      <c r="G30" s="48"/>
      <c r="H30" s="48"/>
      <c r="I30" s="7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hidden="1" customHeight="1">
      <c r="A32" s="11"/>
      <c r="B32" s="11">
        <f>IFERROR(VLOOKUP(B20,CLTV!M14:O73,3,TRUE),0)</f>
        <v>0</v>
      </c>
      <c r="C32" s="11" t="s">
        <v>55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hidden="1" customHeight="1">
      <c r="A33" s="11"/>
      <c r="B33" s="14">
        <f>IFERROR(VLOOKUP(B32,CLTV!B14:M73,12),0)</f>
        <v>0</v>
      </c>
      <c r="C33" s="11" t="s">
        <v>55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hidden="1" customHeight="1">
      <c r="A34" s="11"/>
      <c r="B34" s="11">
        <f>IFERROR(VLOOKUP(B20,CLTV!M14:O73,3,TRUE)+1,1)</f>
        <v>1</v>
      </c>
      <c r="C34" s="11" t="s">
        <v>55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hidden="1" customHeight="1">
      <c r="A35" s="11"/>
      <c r="B35" s="14">
        <f>VLOOKUP(B34,CLTV!B14:M73,12)</f>
        <v>2.840262212</v>
      </c>
      <c r="C35" s="11" t="s">
        <v>55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hidden="1" customHeight="1">
      <c r="A36" s="11"/>
      <c r="B36" s="11">
        <f>IFERROR(VLOOKUP(B19,CLTV!M14:O73,3,TRUE),0)</f>
        <v>1</v>
      </c>
      <c r="C36" s="11" t="s">
        <v>55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hidden="1" customHeight="1">
      <c r="A37" s="11"/>
      <c r="B37" s="14">
        <f>VLOOKUP(B36,CLTV!B14:M73,12)</f>
        <v>2.840262212</v>
      </c>
      <c r="C37" s="11" t="s">
        <v>55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hidden="1" customHeight="1">
      <c r="A38" s="11"/>
      <c r="B38" s="79">
        <f>IFERROR(VLOOKUP(B19,CLTV!M14:O73,3,TRUE)+1,1)</f>
        <v>2</v>
      </c>
      <c r="C38" s="11" t="s">
        <v>55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hidden="1" customHeight="1">
      <c r="A39" s="11"/>
      <c r="B39" s="14">
        <f>VLOOKUP(B38,CLTV!B14:M73,12)</f>
        <v>3.614270254</v>
      </c>
      <c r="C39" s="11" t="s">
        <v>55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13" width="10.14"/>
    <col customWidth="1" min="14" max="14" width="23.57"/>
    <col customWidth="1" hidden="1" min="15" max="15" width="20.57"/>
    <col customWidth="1" min="16" max="16" width="23.14"/>
    <col customWidth="1" min="17" max="17" width="23.57"/>
    <col customWidth="1" min="18" max="18" width="20.57"/>
    <col customWidth="1" min="19" max="19" width="23.14"/>
    <col customWidth="1" min="20" max="20" width="23.57"/>
    <col customWidth="1" min="21" max="21" width="20.57"/>
    <col customWidth="1" min="22" max="22" width="23.14"/>
    <col customWidth="1" min="23" max="23" width="23.57"/>
    <col customWidth="1" min="24" max="24" width="20.57"/>
    <col customWidth="1" min="25" max="25" width="23.14"/>
    <col customWidth="1" min="26" max="26" width="23.57"/>
    <col customWidth="1" min="27" max="27" width="20.57"/>
    <col customWidth="1" min="28" max="28" width="23.14"/>
    <col customWidth="1" min="29" max="29" width="23.57"/>
    <col customWidth="1" min="30" max="30" width="20.57"/>
    <col customWidth="1" min="31" max="31" width="23.14"/>
    <col customWidth="1" min="32" max="32" width="23.57"/>
    <col customWidth="1" min="33" max="33" width="20.57"/>
    <col customWidth="1" min="34" max="34" width="23.14"/>
    <col customWidth="1" min="35" max="35" width="23.57"/>
  </cols>
  <sheetData>
    <row r="1" ht="12.75" customHeight="1">
      <c r="A1" s="1" t="s">
        <v>0</v>
      </c>
      <c r="B1" s="1"/>
      <c r="C1" s="1"/>
      <c r="D1" s="1"/>
      <c r="E1" s="2"/>
      <c r="G1" s="3"/>
      <c r="H1" s="4"/>
      <c r="I1" s="3"/>
      <c r="J1" s="5"/>
      <c r="K1" s="4"/>
      <c r="L1" s="4"/>
      <c r="M1" s="6"/>
      <c r="N1" s="6"/>
      <c r="O1" s="7"/>
      <c r="P1" s="6"/>
      <c r="Q1" s="6"/>
      <c r="R1" s="6"/>
      <c r="S1" s="6"/>
      <c r="T1" s="6"/>
      <c r="U1" s="6"/>
    </row>
    <row r="2" ht="12.75" customHeight="1">
      <c r="A2" s="8" t="s">
        <v>1</v>
      </c>
      <c r="B2" s="10"/>
      <c r="C2" s="10"/>
      <c r="D2" s="10"/>
      <c r="E2" s="10"/>
      <c r="G2" s="10"/>
      <c r="H2" s="10"/>
      <c r="I2" s="10"/>
      <c r="J2" s="10"/>
      <c r="K2" s="10"/>
      <c r="L2" s="10"/>
      <c r="M2" s="10"/>
      <c r="N2" s="10"/>
      <c r="O2" s="7"/>
      <c r="P2" s="6"/>
      <c r="Q2" s="6"/>
      <c r="R2" s="6"/>
      <c r="S2" s="6"/>
      <c r="T2" s="6"/>
      <c r="U2" s="6"/>
    </row>
    <row r="3" ht="12.75" customHeight="1">
      <c r="B3" s="7"/>
      <c r="C3" s="12"/>
      <c r="D3" s="12"/>
      <c r="E3" s="13"/>
      <c r="G3" s="14"/>
      <c r="H3" s="11"/>
      <c r="I3" s="14"/>
      <c r="J3" s="15"/>
      <c r="K3" s="16"/>
      <c r="L3" s="12"/>
      <c r="M3" s="11"/>
      <c r="N3" s="6"/>
      <c r="O3" s="7"/>
      <c r="P3" s="6"/>
      <c r="Q3" s="6"/>
      <c r="R3" s="6"/>
      <c r="S3" s="6"/>
      <c r="T3" s="6"/>
      <c r="U3" s="6"/>
    </row>
    <row r="4" ht="12.75" customHeight="1">
      <c r="A4" s="8" t="s">
        <v>5</v>
      </c>
      <c r="B4" s="7"/>
      <c r="C4" s="12"/>
      <c r="D4" s="12"/>
      <c r="E4" s="13"/>
      <c r="G4" s="14"/>
      <c r="H4" s="11"/>
      <c r="I4" s="14"/>
      <c r="J4" s="15"/>
      <c r="K4" s="16"/>
      <c r="L4" s="12"/>
      <c r="M4" s="11"/>
      <c r="N4" s="6"/>
      <c r="O4" s="7"/>
      <c r="P4" s="6"/>
      <c r="Q4" s="6"/>
      <c r="R4" s="6"/>
      <c r="S4" s="6"/>
      <c r="T4" s="6"/>
      <c r="U4" s="6"/>
    </row>
    <row r="5" ht="12.75" customHeight="1">
      <c r="A5" s="8" t="s">
        <v>6</v>
      </c>
      <c r="B5" s="7"/>
      <c r="C5" s="12"/>
      <c r="D5" s="12"/>
      <c r="E5" s="13"/>
      <c r="G5" s="14"/>
      <c r="H5" s="11"/>
      <c r="I5" s="14"/>
      <c r="J5" s="15"/>
      <c r="K5" s="16"/>
      <c r="L5" s="12"/>
      <c r="M5" s="11"/>
      <c r="N5" s="6"/>
      <c r="O5" s="7"/>
      <c r="P5" s="6"/>
      <c r="Q5" s="6"/>
      <c r="R5" s="6"/>
      <c r="S5" s="6"/>
      <c r="T5" s="6"/>
      <c r="U5" s="6"/>
    </row>
    <row r="6" ht="12.75" customHeight="1">
      <c r="A6" s="18"/>
      <c r="B6" s="7"/>
      <c r="C6" s="12"/>
      <c r="D6" s="12"/>
      <c r="E6" s="13"/>
      <c r="G6" s="14"/>
      <c r="H6" s="11"/>
      <c r="I6" s="14"/>
      <c r="J6" s="15"/>
      <c r="K6" s="16"/>
      <c r="L6" s="12"/>
      <c r="M6" s="11"/>
      <c r="N6" s="6"/>
      <c r="O6" s="7"/>
      <c r="P6" s="6"/>
      <c r="Q6" s="6"/>
      <c r="R6" s="6"/>
      <c r="S6" s="6"/>
      <c r="T6" s="6"/>
      <c r="U6" s="6"/>
    </row>
    <row r="7" ht="12.75" customHeight="1">
      <c r="A7" s="20"/>
      <c r="B7" s="22" t="s">
        <v>12</v>
      </c>
      <c r="C7" s="24"/>
      <c r="D7" s="24"/>
      <c r="E7" s="26"/>
      <c r="G7" s="14"/>
      <c r="H7" s="11"/>
      <c r="I7" s="11"/>
      <c r="J7" s="11"/>
      <c r="N7" s="6"/>
      <c r="O7" s="7"/>
      <c r="P7" s="6"/>
      <c r="Q7" s="6"/>
      <c r="R7" s="6"/>
      <c r="S7" s="6"/>
      <c r="T7" s="6"/>
      <c r="U7" s="6"/>
      <c r="V7" s="6"/>
      <c r="W7" s="6"/>
    </row>
    <row r="8" ht="12.75" customHeight="1">
      <c r="A8" s="20"/>
      <c r="B8" s="28">
        <v>0.02</v>
      </c>
      <c r="C8" s="16" t="s">
        <v>17</v>
      </c>
      <c r="E8" s="30"/>
      <c r="G8" s="14"/>
      <c r="H8" s="11"/>
      <c r="I8" s="11"/>
      <c r="J8" s="11"/>
      <c r="N8" s="6"/>
      <c r="O8" s="7"/>
      <c r="P8" s="6"/>
      <c r="Q8" s="6"/>
      <c r="R8" s="6"/>
      <c r="S8" s="6"/>
      <c r="T8" s="6"/>
      <c r="U8" s="6"/>
      <c r="V8" s="6"/>
      <c r="W8" s="6"/>
    </row>
    <row r="9" ht="12.75" customHeight="1">
      <c r="A9" s="31"/>
      <c r="B9" s="28">
        <v>0.03</v>
      </c>
      <c r="C9" s="16" t="s">
        <v>19</v>
      </c>
      <c r="E9" s="30"/>
      <c r="G9" s="14"/>
      <c r="H9" s="11"/>
      <c r="I9" s="14"/>
      <c r="N9" s="6"/>
      <c r="O9" s="7"/>
      <c r="P9" s="6"/>
      <c r="Q9" s="6"/>
      <c r="R9" s="6"/>
      <c r="S9" s="6"/>
      <c r="T9" s="6"/>
      <c r="U9" s="6"/>
      <c r="V9" s="6"/>
      <c r="W9" s="6"/>
    </row>
    <row r="10" ht="12.75" customHeight="1">
      <c r="A10" s="33"/>
      <c r="B10" s="35">
        <v>0.1</v>
      </c>
      <c r="C10" s="16" t="s">
        <v>20</v>
      </c>
      <c r="E10" s="30"/>
      <c r="G10" s="14"/>
      <c r="H10" s="11"/>
      <c r="I10" s="14"/>
      <c r="N10" s="6"/>
      <c r="O10" s="7"/>
      <c r="P10" s="6"/>
      <c r="Q10" s="6"/>
      <c r="R10" s="6"/>
      <c r="S10" s="6"/>
      <c r="T10" s="6"/>
      <c r="U10" s="6"/>
      <c r="V10" s="6"/>
      <c r="W10" s="6"/>
    </row>
    <row r="11" ht="12.75" customHeight="1">
      <c r="A11" s="33"/>
      <c r="B11" s="38">
        <f>Cohorts!AC36</f>
        <v>-0.3392176988</v>
      </c>
      <c r="C11" s="40" t="s">
        <v>21</v>
      </c>
      <c r="D11" s="42"/>
      <c r="E11" s="43"/>
      <c r="G11" s="14"/>
      <c r="H11" s="11"/>
      <c r="I11" s="14"/>
      <c r="N11" s="6"/>
      <c r="O11" s="7"/>
      <c r="P11" s="6"/>
      <c r="Q11" s="6"/>
      <c r="R11" s="6"/>
      <c r="S11" s="6"/>
      <c r="T11" s="6"/>
      <c r="U11" s="6"/>
      <c r="V11" s="6"/>
      <c r="W11" s="6"/>
    </row>
    <row r="12" ht="12.75" customHeight="1">
      <c r="A12" s="33"/>
      <c r="B12" s="45"/>
      <c r="E12" s="40"/>
      <c r="F12" s="40"/>
      <c r="G12" s="47"/>
      <c r="H12" s="48"/>
      <c r="I12" s="47"/>
      <c r="J12" s="49"/>
      <c r="K12" s="49"/>
      <c r="L12" s="49"/>
      <c r="M12" s="49"/>
      <c r="N12" s="6"/>
      <c r="O12" s="7"/>
      <c r="P12" s="6"/>
      <c r="Q12" s="6"/>
      <c r="R12" s="6"/>
      <c r="S12" s="6"/>
      <c r="T12" s="6"/>
      <c r="U12" s="6"/>
      <c r="V12" s="6"/>
      <c r="W12" s="6"/>
    </row>
    <row r="13" ht="12.75" customHeight="1">
      <c r="A13" s="50"/>
      <c r="B13" s="52" t="s">
        <v>26</v>
      </c>
      <c r="C13" s="53" t="s">
        <v>28</v>
      </c>
      <c r="D13" s="53" t="s">
        <v>31</v>
      </c>
      <c r="E13" s="53" t="s">
        <v>32</v>
      </c>
      <c r="F13" s="54" t="s">
        <v>33</v>
      </c>
      <c r="G13" s="54" t="s">
        <v>36</v>
      </c>
      <c r="H13" s="53" t="s">
        <v>37</v>
      </c>
      <c r="I13" s="54" t="s">
        <v>38</v>
      </c>
      <c r="J13" s="53" t="s">
        <v>20</v>
      </c>
      <c r="K13" s="53" t="s">
        <v>39</v>
      </c>
      <c r="L13" s="53" t="s">
        <v>40</v>
      </c>
      <c r="M13" s="55" t="s">
        <v>41</v>
      </c>
      <c r="N13" s="56"/>
      <c r="O13" s="7" t="s">
        <v>43</v>
      </c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</row>
    <row r="14" ht="12.75" customHeight="1">
      <c r="A14" s="59"/>
      <c r="B14" s="60">
        <v>1.0</v>
      </c>
      <c r="C14" s="62">
        <f>Cohorts!C36</f>
        <v>1</v>
      </c>
      <c r="D14" s="64">
        <f>Cohorts!C68</f>
        <v>1.0495625</v>
      </c>
      <c r="E14" s="65">
        <f t="shared" ref="E14:E73" si="1">C14*D14</f>
        <v>1.0495625</v>
      </c>
      <c r="F14" s="68">
        <f>Cohorts!C99</f>
        <v>7.235870833</v>
      </c>
      <c r="G14" s="70">
        <f t="shared" ref="G14:G73" si="2">E14*F14</f>
        <v>7.594498682</v>
      </c>
      <c r="H14" s="72">
        <f>Cohorts!C129</f>
        <v>0.3878094638</v>
      </c>
      <c r="I14" s="70">
        <f t="shared" ref="I14:I73" si="3">G14*H14</f>
        <v>2.945218462</v>
      </c>
      <c r="J14" s="70">
        <f>B10</f>
        <v>0.1</v>
      </c>
      <c r="K14" s="70">
        <f t="shared" ref="K14:K73" si="4">J14*E14</f>
        <v>0.10495625</v>
      </c>
      <c r="L14" s="70">
        <f t="shared" ref="L14:L73" si="5">I14-K14</f>
        <v>2.840262212</v>
      </c>
      <c r="M14" s="76">
        <f t="shared" ref="M14:M73" si="6">SUM(L$14:L14)</f>
        <v>2.840262212</v>
      </c>
      <c r="N14" s="77"/>
      <c r="O14" s="7">
        <f t="shared" ref="O14:O73" si="7">B14</f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ht="12.75" customHeight="1">
      <c r="A15" s="59"/>
      <c r="B15" s="60">
        <f t="shared" ref="B15:B73" si="8">B14+1</f>
        <v>2</v>
      </c>
      <c r="C15" s="62">
        <f>Cohorts!AB36</f>
        <v>0.2323917394</v>
      </c>
      <c r="D15" s="64">
        <f>Cohorts!D68</f>
        <v>1.247047044</v>
      </c>
      <c r="E15" s="65">
        <f t="shared" si="1"/>
        <v>0.2898034318</v>
      </c>
      <c r="F15" s="68">
        <f>Cohorts!D99</f>
        <v>7.145180797</v>
      </c>
      <c r="G15" s="70">
        <f t="shared" si="2"/>
        <v>2.070697916</v>
      </c>
      <c r="H15" s="78">
        <f t="shared" ref="H15:H73" si="9">H14</f>
        <v>0.3878094638</v>
      </c>
      <c r="I15" s="70">
        <f t="shared" si="3"/>
        <v>0.8030362484</v>
      </c>
      <c r="J15" s="70">
        <f t="shared" ref="J15:J73" si="10">J14*(1+B$8)^(1/12)</f>
        <v>0.1001651581</v>
      </c>
      <c r="K15" s="70">
        <f t="shared" si="4"/>
        <v>0.02902820657</v>
      </c>
      <c r="L15" s="70">
        <f t="shared" si="5"/>
        <v>0.7740080419</v>
      </c>
      <c r="M15" s="76">
        <f t="shared" si="6"/>
        <v>3.614270254</v>
      </c>
      <c r="N15" s="77"/>
      <c r="O15" s="7">
        <f t="shared" si="7"/>
        <v>2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12.75" customHeight="1">
      <c r="A16" s="59"/>
      <c r="B16" s="60">
        <f t="shared" si="8"/>
        <v>3</v>
      </c>
      <c r="C16" s="80">
        <f t="shared" ref="C16:C73" si="11">C$15*(B16-1)^B$11</f>
        <v>0.1836986583</v>
      </c>
      <c r="D16" s="81">
        <f t="shared" ref="D16:D73" si="12">D15</f>
        <v>1.247047044</v>
      </c>
      <c r="E16" s="65">
        <f t="shared" si="1"/>
        <v>0.2290808688</v>
      </c>
      <c r="F16" s="70">
        <f t="shared" ref="F16:F73" si="13">F15*(1+B$9)^(1/12)</f>
        <v>7.162802741</v>
      </c>
      <c r="G16" s="70">
        <f t="shared" si="2"/>
        <v>1.640861075</v>
      </c>
      <c r="H16" s="78">
        <f t="shared" si="9"/>
        <v>0.3878094638</v>
      </c>
      <c r="I16" s="70">
        <f t="shared" si="3"/>
        <v>0.6363414537</v>
      </c>
      <c r="J16" s="70">
        <f t="shared" si="10"/>
        <v>0.100330589</v>
      </c>
      <c r="K16" s="70">
        <f t="shared" si="4"/>
        <v>0.0229838185</v>
      </c>
      <c r="L16" s="70">
        <f t="shared" si="5"/>
        <v>0.6133576352</v>
      </c>
      <c r="M16" s="76">
        <f t="shared" si="6"/>
        <v>4.227627889</v>
      </c>
      <c r="N16" s="77"/>
      <c r="O16" s="7">
        <f t="shared" si="7"/>
        <v>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2.75" customHeight="1">
      <c r="A17" s="59"/>
      <c r="B17" s="60">
        <f t="shared" si="8"/>
        <v>4</v>
      </c>
      <c r="C17" s="80">
        <f t="shared" si="11"/>
        <v>0.1600931362</v>
      </c>
      <c r="D17" s="81">
        <f t="shared" si="12"/>
        <v>1.247047044</v>
      </c>
      <c r="E17" s="65">
        <f t="shared" si="1"/>
        <v>0.1996436723</v>
      </c>
      <c r="F17" s="70">
        <f t="shared" si="13"/>
        <v>7.180468144</v>
      </c>
      <c r="G17" s="70">
        <f t="shared" si="2"/>
        <v>1.433535029</v>
      </c>
      <c r="H17" s="78">
        <f t="shared" si="9"/>
        <v>0.3878094638</v>
      </c>
      <c r="I17" s="70">
        <f t="shared" si="3"/>
        <v>0.5559384512</v>
      </c>
      <c r="J17" s="70">
        <f t="shared" si="10"/>
        <v>0.1004962932</v>
      </c>
      <c r="K17" s="70">
        <f t="shared" si="4"/>
        <v>0.02006344902</v>
      </c>
      <c r="L17" s="70">
        <f t="shared" si="5"/>
        <v>0.5358750021</v>
      </c>
      <c r="M17" s="76">
        <f t="shared" si="6"/>
        <v>4.763502891</v>
      </c>
      <c r="N17" s="77"/>
      <c r="O17" s="7">
        <f t="shared" si="7"/>
        <v>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12.75" customHeight="1">
      <c r="A18" s="59"/>
      <c r="B18" s="60">
        <f t="shared" si="8"/>
        <v>5</v>
      </c>
      <c r="C18" s="80">
        <f t="shared" si="11"/>
        <v>0.1452082468</v>
      </c>
      <c r="D18" s="81">
        <f t="shared" si="12"/>
        <v>1.247047044</v>
      </c>
      <c r="E18" s="65">
        <f t="shared" si="1"/>
        <v>0.1810815149</v>
      </c>
      <c r="F18" s="70">
        <f t="shared" si="13"/>
        <v>7.198177116</v>
      </c>
      <c r="G18" s="70">
        <f t="shared" si="2"/>
        <v>1.303456817</v>
      </c>
      <c r="H18" s="78">
        <f t="shared" si="9"/>
        <v>0.3878094638</v>
      </c>
      <c r="I18" s="70">
        <f t="shared" si="3"/>
        <v>0.5054928893</v>
      </c>
      <c r="J18" s="70">
        <f t="shared" si="10"/>
        <v>0.100662271</v>
      </c>
      <c r="K18" s="70">
        <f t="shared" si="4"/>
        <v>0.01822807652</v>
      </c>
      <c r="L18" s="70">
        <f t="shared" si="5"/>
        <v>0.4872648128</v>
      </c>
      <c r="M18" s="76">
        <f t="shared" si="6"/>
        <v>5.250767704</v>
      </c>
      <c r="N18" s="77"/>
      <c r="O18" s="7">
        <f t="shared" si="7"/>
        <v>5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2.75" customHeight="1">
      <c r="A19" s="59"/>
      <c r="B19" s="60">
        <f t="shared" si="8"/>
        <v>6</v>
      </c>
      <c r="C19" s="80">
        <f t="shared" si="11"/>
        <v>0.134622512</v>
      </c>
      <c r="D19" s="81">
        <f t="shared" si="12"/>
        <v>1.247047044</v>
      </c>
      <c r="E19" s="65">
        <f t="shared" si="1"/>
        <v>0.1678806057</v>
      </c>
      <c r="F19" s="70">
        <f t="shared" si="13"/>
        <v>7.215929763</v>
      </c>
      <c r="G19" s="70">
        <f t="shared" si="2"/>
        <v>1.21141466</v>
      </c>
      <c r="H19" s="78">
        <f t="shared" si="9"/>
        <v>0.3878094638</v>
      </c>
      <c r="I19" s="70">
        <f t="shared" si="3"/>
        <v>0.4697980696</v>
      </c>
      <c r="J19" s="70">
        <f t="shared" si="10"/>
        <v>0.1008285229</v>
      </c>
      <c r="K19" s="70">
        <f t="shared" si="4"/>
        <v>0.0169271535</v>
      </c>
      <c r="L19" s="70">
        <f t="shared" si="5"/>
        <v>0.4528709161</v>
      </c>
      <c r="M19" s="76">
        <f t="shared" si="6"/>
        <v>5.70363862</v>
      </c>
      <c r="N19" s="77"/>
      <c r="O19" s="7">
        <f t="shared" si="7"/>
        <v>6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2.75" customHeight="1">
      <c r="A20" s="59"/>
      <c r="B20" s="60">
        <f t="shared" si="8"/>
        <v>7</v>
      </c>
      <c r="C20" s="82">
        <f t="shared" si="11"/>
        <v>0.1265487938</v>
      </c>
      <c r="D20" s="83">
        <f t="shared" si="12"/>
        <v>1.247047044</v>
      </c>
      <c r="E20" s="84">
        <f t="shared" si="1"/>
        <v>0.1578122993</v>
      </c>
      <c r="F20" s="85">
        <f t="shared" si="13"/>
        <v>7.233726192</v>
      </c>
      <c r="G20" s="85">
        <f t="shared" si="2"/>
        <v>1.141570963</v>
      </c>
      <c r="H20" s="86">
        <f t="shared" si="9"/>
        <v>0.3878094638</v>
      </c>
      <c r="I20" s="85">
        <f t="shared" si="3"/>
        <v>0.442712023</v>
      </c>
      <c r="J20" s="70">
        <f t="shared" si="10"/>
        <v>0.1009950494</v>
      </c>
      <c r="K20" s="85">
        <f t="shared" si="4"/>
        <v>0.01593826096</v>
      </c>
      <c r="L20" s="85">
        <f t="shared" si="5"/>
        <v>0.4267737621</v>
      </c>
      <c r="M20" s="87">
        <f t="shared" si="6"/>
        <v>6.130412382</v>
      </c>
      <c r="N20" s="77"/>
      <c r="O20" s="7">
        <f t="shared" si="7"/>
        <v>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2.75" customHeight="1">
      <c r="A21" s="59"/>
      <c r="B21" s="60">
        <f t="shared" si="8"/>
        <v>8</v>
      </c>
      <c r="C21" s="82">
        <f t="shared" si="11"/>
        <v>0.1201015118</v>
      </c>
      <c r="D21" s="83">
        <f t="shared" si="12"/>
        <v>1.247047044</v>
      </c>
      <c r="E21" s="84">
        <f t="shared" si="1"/>
        <v>0.1497722353</v>
      </c>
      <c r="F21" s="85">
        <f t="shared" si="13"/>
        <v>7.251566512</v>
      </c>
      <c r="G21" s="85">
        <f t="shared" si="2"/>
        <v>1.086083326</v>
      </c>
      <c r="H21" s="86">
        <f t="shared" si="9"/>
        <v>0.3878094638</v>
      </c>
      <c r="I21" s="85">
        <f t="shared" si="3"/>
        <v>0.4211933923</v>
      </c>
      <c r="J21" s="70">
        <f t="shared" si="10"/>
        <v>0.1011618509</v>
      </c>
      <c r="K21" s="85">
        <f t="shared" si="4"/>
        <v>0.01515123654</v>
      </c>
      <c r="L21" s="85">
        <f t="shared" si="5"/>
        <v>0.4060421558</v>
      </c>
      <c r="M21" s="87">
        <f t="shared" si="6"/>
        <v>6.536454538</v>
      </c>
      <c r="N21" s="77"/>
      <c r="O21" s="7">
        <f t="shared" si="7"/>
        <v>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2.75" customHeight="1">
      <c r="A22" s="59"/>
      <c r="B22" s="60">
        <f t="shared" si="8"/>
        <v>9</v>
      </c>
      <c r="C22" s="82">
        <f t="shared" si="11"/>
        <v>0.1147827378</v>
      </c>
      <c r="D22" s="83">
        <f t="shared" si="12"/>
        <v>1.247047044</v>
      </c>
      <c r="E22" s="84">
        <f t="shared" si="1"/>
        <v>0.1431394739</v>
      </c>
      <c r="F22" s="85">
        <f t="shared" si="13"/>
        <v>7.269450832</v>
      </c>
      <c r="G22" s="85">
        <f t="shared" si="2"/>
        <v>1.040545368</v>
      </c>
      <c r="H22" s="86">
        <f t="shared" si="9"/>
        <v>0.3878094638</v>
      </c>
      <c r="I22" s="85">
        <f t="shared" si="3"/>
        <v>0.4035333412</v>
      </c>
      <c r="J22" s="70">
        <f t="shared" si="10"/>
        <v>0.1013289279</v>
      </c>
      <c r="K22" s="85">
        <f t="shared" si="4"/>
        <v>0.01450416944</v>
      </c>
      <c r="L22" s="85">
        <f t="shared" si="5"/>
        <v>0.3890291717</v>
      </c>
      <c r="M22" s="87">
        <f t="shared" si="6"/>
        <v>6.925483709</v>
      </c>
      <c r="N22" s="77"/>
      <c r="O22" s="7">
        <f t="shared" si="7"/>
        <v>9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2.75" customHeight="1">
      <c r="A23" s="59"/>
      <c r="B23" s="60">
        <f t="shared" si="8"/>
        <v>10</v>
      </c>
      <c r="C23" s="82">
        <f t="shared" si="11"/>
        <v>0.1102871054</v>
      </c>
      <c r="D23" s="83">
        <f t="shared" si="12"/>
        <v>1.247047044</v>
      </c>
      <c r="E23" s="84">
        <f t="shared" si="1"/>
        <v>0.1375332088</v>
      </c>
      <c r="F23" s="85">
        <f t="shared" si="13"/>
        <v>7.287379258</v>
      </c>
      <c r="G23" s="85">
        <f t="shared" si="2"/>
        <v>1.002256653</v>
      </c>
      <c r="H23" s="86">
        <f t="shared" si="9"/>
        <v>0.3878094638</v>
      </c>
      <c r="I23" s="85">
        <f t="shared" si="3"/>
        <v>0.3886846154</v>
      </c>
      <c r="J23" s="70">
        <f t="shared" si="10"/>
        <v>0.1014962809</v>
      </c>
      <c r="K23" s="85">
        <f t="shared" si="4"/>
        <v>0.0139591092</v>
      </c>
      <c r="L23" s="85">
        <f t="shared" si="5"/>
        <v>0.3747255062</v>
      </c>
      <c r="M23" s="87">
        <f t="shared" si="6"/>
        <v>7.300209216</v>
      </c>
      <c r="N23" s="77"/>
      <c r="O23" s="7">
        <f t="shared" si="7"/>
        <v>10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2.75" customHeight="1">
      <c r="A24" s="59"/>
      <c r="B24" s="60">
        <f t="shared" si="8"/>
        <v>11</v>
      </c>
      <c r="C24" s="82">
        <f t="shared" si="11"/>
        <v>0.1064150339</v>
      </c>
      <c r="D24" s="83">
        <f t="shared" si="12"/>
        <v>1.247047044</v>
      </c>
      <c r="E24" s="84">
        <f t="shared" si="1"/>
        <v>0.1327045535</v>
      </c>
      <c r="F24" s="85">
        <f t="shared" si="13"/>
        <v>7.305351902</v>
      </c>
      <c r="G24" s="85">
        <f t="shared" si="2"/>
        <v>0.9694534624</v>
      </c>
      <c r="H24" s="86">
        <f t="shared" si="9"/>
        <v>0.3878094638</v>
      </c>
      <c r="I24" s="85">
        <f t="shared" si="3"/>
        <v>0.3759632275</v>
      </c>
      <c r="J24" s="70">
        <f t="shared" si="10"/>
        <v>0.1016639103</v>
      </c>
      <c r="K24" s="85">
        <f t="shared" si="4"/>
        <v>0.01349126382</v>
      </c>
      <c r="L24" s="85">
        <f t="shared" si="5"/>
        <v>0.3624719636</v>
      </c>
      <c r="M24" s="87">
        <f t="shared" si="6"/>
        <v>7.662681179</v>
      </c>
      <c r="N24" s="77"/>
      <c r="O24" s="7">
        <f t="shared" si="7"/>
        <v>11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2.75" customHeight="1">
      <c r="A25" s="59"/>
      <c r="B25" s="60">
        <f t="shared" si="8"/>
        <v>12</v>
      </c>
      <c r="C25" s="82">
        <f t="shared" si="11"/>
        <v>0.1030295627</v>
      </c>
      <c r="D25" s="83">
        <f t="shared" si="12"/>
        <v>1.247047044</v>
      </c>
      <c r="E25" s="84">
        <f t="shared" si="1"/>
        <v>0.1284827116</v>
      </c>
      <c r="F25" s="85">
        <f t="shared" si="13"/>
        <v>7.32336887</v>
      </c>
      <c r="G25" s="85">
        <f t="shared" si="2"/>
        <v>0.9409262905</v>
      </c>
      <c r="H25" s="86">
        <f t="shared" si="9"/>
        <v>0.3878094638</v>
      </c>
      <c r="I25" s="85">
        <f t="shared" si="3"/>
        <v>0.3649001202</v>
      </c>
      <c r="J25" s="70">
        <f t="shared" si="10"/>
        <v>0.1018318165</v>
      </c>
      <c r="K25" s="85">
        <f t="shared" si="4"/>
        <v>0.01308362791</v>
      </c>
      <c r="L25" s="85">
        <f t="shared" si="5"/>
        <v>0.3518164923</v>
      </c>
      <c r="M25" s="88">
        <f t="shared" si="6"/>
        <v>8.014497672</v>
      </c>
      <c r="N25" s="77"/>
      <c r="O25" s="7">
        <f t="shared" si="7"/>
        <v>12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ht="12.75" customHeight="1">
      <c r="A26" s="59"/>
      <c r="B26" s="60">
        <f t="shared" si="8"/>
        <v>13</v>
      </c>
      <c r="C26" s="82">
        <f t="shared" si="11"/>
        <v>0.1000330033</v>
      </c>
      <c r="D26" s="83">
        <f t="shared" si="12"/>
        <v>1.247047044</v>
      </c>
      <c r="E26" s="84">
        <f t="shared" si="1"/>
        <v>0.1247458611</v>
      </c>
      <c r="F26" s="85">
        <f t="shared" si="13"/>
        <v>7.341430273</v>
      </c>
      <c r="G26" s="85">
        <f t="shared" si="2"/>
        <v>0.9158130408</v>
      </c>
      <c r="H26" s="86">
        <f t="shared" si="9"/>
        <v>0.3878094638</v>
      </c>
      <c r="I26" s="85">
        <f t="shared" si="3"/>
        <v>0.3551609643</v>
      </c>
      <c r="J26" s="70">
        <f t="shared" si="10"/>
        <v>0.102</v>
      </c>
      <c r="K26" s="85">
        <f t="shared" si="4"/>
        <v>0.01272407783</v>
      </c>
      <c r="L26" s="85">
        <f t="shared" si="5"/>
        <v>0.3424368865</v>
      </c>
      <c r="M26" s="87">
        <f t="shared" si="6"/>
        <v>8.356934558</v>
      </c>
      <c r="N26" s="77"/>
      <c r="O26" s="7">
        <f t="shared" si="7"/>
        <v>13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2.75" customHeight="1">
      <c r="A27" s="59"/>
      <c r="B27" s="60">
        <f t="shared" si="8"/>
        <v>14</v>
      </c>
      <c r="C27" s="82">
        <f t="shared" si="11"/>
        <v>0.09735345884</v>
      </c>
      <c r="D27" s="83">
        <f t="shared" si="12"/>
        <v>1.247047044</v>
      </c>
      <c r="E27" s="84">
        <f t="shared" si="1"/>
        <v>0.1214043431</v>
      </c>
      <c r="F27" s="85">
        <f t="shared" si="13"/>
        <v>7.359536221</v>
      </c>
      <c r="G27" s="85">
        <f t="shared" si="2"/>
        <v>0.8934796604</v>
      </c>
      <c r="H27" s="86">
        <f t="shared" si="9"/>
        <v>0.3878094638</v>
      </c>
      <c r="I27" s="85">
        <f t="shared" si="3"/>
        <v>0.346499868</v>
      </c>
      <c r="J27" s="70">
        <f t="shared" si="10"/>
        <v>0.1021684613</v>
      </c>
      <c r="K27" s="85">
        <f t="shared" si="4"/>
        <v>0.01240369493</v>
      </c>
      <c r="L27" s="85">
        <f t="shared" si="5"/>
        <v>0.3340961731</v>
      </c>
      <c r="M27" s="87">
        <f t="shared" si="6"/>
        <v>8.691030731</v>
      </c>
      <c r="N27" s="77"/>
      <c r="O27" s="7">
        <f t="shared" si="7"/>
        <v>14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12.75" customHeight="1">
      <c r="A28" s="59"/>
      <c r="B28" s="60">
        <f t="shared" si="8"/>
        <v>15</v>
      </c>
      <c r="C28" s="82">
        <f t="shared" si="11"/>
        <v>0.09493662135</v>
      </c>
      <c r="D28" s="83">
        <f t="shared" si="12"/>
        <v>1.247047044</v>
      </c>
      <c r="E28" s="84">
        <f t="shared" si="1"/>
        <v>0.1183904331</v>
      </c>
      <c r="F28" s="85">
        <f t="shared" si="13"/>
        <v>7.377686823</v>
      </c>
      <c r="G28" s="85">
        <f t="shared" si="2"/>
        <v>0.8734475379</v>
      </c>
      <c r="H28" s="86">
        <f t="shared" si="9"/>
        <v>0.3878094638</v>
      </c>
      <c r="I28" s="85">
        <f t="shared" si="3"/>
        <v>0.3387312214</v>
      </c>
      <c r="J28" s="70">
        <f t="shared" si="10"/>
        <v>0.1023372008</v>
      </c>
      <c r="K28" s="85">
        <f t="shared" si="4"/>
        <v>0.01211574552</v>
      </c>
      <c r="L28" s="85">
        <f t="shared" si="5"/>
        <v>0.3266154758</v>
      </c>
      <c r="M28" s="87">
        <f t="shared" si="6"/>
        <v>9.017646207</v>
      </c>
      <c r="N28" s="77"/>
      <c r="O28" s="7">
        <f t="shared" si="7"/>
        <v>15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2.75" customHeight="1">
      <c r="A29" s="59"/>
      <c r="B29" s="60">
        <f t="shared" si="8"/>
        <v>16</v>
      </c>
      <c r="C29" s="82">
        <f t="shared" si="11"/>
        <v>0.09274056045</v>
      </c>
      <c r="D29" s="83">
        <f t="shared" si="12"/>
        <v>1.247047044</v>
      </c>
      <c r="E29" s="84">
        <f t="shared" si="1"/>
        <v>0.1156518418</v>
      </c>
      <c r="F29" s="85">
        <f t="shared" si="13"/>
        <v>7.395882189</v>
      </c>
      <c r="G29" s="85">
        <f t="shared" si="2"/>
        <v>0.8553473968</v>
      </c>
      <c r="H29" s="86">
        <f t="shared" si="9"/>
        <v>0.3878094638</v>
      </c>
      <c r="I29" s="85">
        <f t="shared" si="3"/>
        <v>0.3317118154</v>
      </c>
      <c r="J29" s="70">
        <f t="shared" si="10"/>
        <v>0.102506219</v>
      </c>
      <c r="K29" s="85">
        <f t="shared" si="4"/>
        <v>0.01185503303</v>
      </c>
      <c r="L29" s="85">
        <f t="shared" si="5"/>
        <v>0.3198567823</v>
      </c>
      <c r="M29" s="87">
        <f t="shared" si="6"/>
        <v>9.337502989</v>
      </c>
      <c r="N29" s="77"/>
      <c r="O29" s="7">
        <f t="shared" si="7"/>
        <v>16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2.75" customHeight="1">
      <c r="A30" s="59"/>
      <c r="B30" s="60">
        <f t="shared" si="8"/>
        <v>17</v>
      </c>
      <c r="C30" s="82">
        <f t="shared" si="11"/>
        <v>0.090732291</v>
      </c>
      <c r="D30" s="83">
        <f t="shared" si="12"/>
        <v>1.247047044</v>
      </c>
      <c r="E30" s="84">
        <f t="shared" si="1"/>
        <v>0.1131474353</v>
      </c>
      <c r="F30" s="85">
        <f t="shared" si="13"/>
        <v>7.414122429</v>
      </c>
      <c r="G30" s="85">
        <f t="shared" si="2"/>
        <v>0.838888938</v>
      </c>
      <c r="H30" s="86">
        <f t="shared" si="9"/>
        <v>0.3878094638</v>
      </c>
      <c r="I30" s="85">
        <f t="shared" si="3"/>
        <v>0.3253290693</v>
      </c>
      <c r="J30" s="70">
        <f t="shared" si="10"/>
        <v>0.1026755164</v>
      </c>
      <c r="K30" s="85">
        <f t="shared" si="4"/>
        <v>0.01161747135</v>
      </c>
      <c r="L30" s="85">
        <f t="shared" si="5"/>
        <v>0.3137115979</v>
      </c>
      <c r="M30" s="87">
        <f t="shared" si="6"/>
        <v>9.651214587</v>
      </c>
      <c r="N30" s="77"/>
      <c r="O30" s="7">
        <f t="shared" si="7"/>
        <v>17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2.75" customHeight="1">
      <c r="A31" s="59"/>
      <c r="B31" s="60">
        <f t="shared" si="8"/>
        <v>18</v>
      </c>
      <c r="C31" s="82">
        <f t="shared" si="11"/>
        <v>0.08888544172</v>
      </c>
      <c r="D31" s="83">
        <f t="shared" si="12"/>
        <v>1.247047044</v>
      </c>
      <c r="E31" s="84">
        <f t="shared" si="1"/>
        <v>0.1108443274</v>
      </c>
      <c r="F31" s="85">
        <f t="shared" si="13"/>
        <v>7.432407655</v>
      </c>
      <c r="G31" s="85">
        <f t="shared" si="2"/>
        <v>0.8238402273</v>
      </c>
      <c r="H31" s="86">
        <f t="shared" si="9"/>
        <v>0.3878094638</v>
      </c>
      <c r="I31" s="85">
        <f t="shared" si="3"/>
        <v>0.3194930368</v>
      </c>
      <c r="J31" s="70">
        <f t="shared" si="10"/>
        <v>0.1028450933</v>
      </c>
      <c r="K31" s="85">
        <f t="shared" si="4"/>
        <v>0.01139979519</v>
      </c>
      <c r="L31" s="85">
        <f t="shared" si="5"/>
        <v>0.3080932417</v>
      </c>
      <c r="M31" s="87">
        <f t="shared" si="6"/>
        <v>9.959307829</v>
      </c>
      <c r="N31" s="77"/>
      <c r="O31" s="7">
        <f t="shared" si="7"/>
        <v>18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2.75" customHeight="1">
      <c r="A32" s="59"/>
      <c r="B32" s="60">
        <f t="shared" si="8"/>
        <v>19</v>
      </c>
      <c r="C32" s="82">
        <f t="shared" si="11"/>
        <v>0.08717862923</v>
      </c>
      <c r="D32" s="83">
        <f t="shared" si="12"/>
        <v>1.247047044</v>
      </c>
      <c r="E32" s="84">
        <f t="shared" si="1"/>
        <v>0.1087158519</v>
      </c>
      <c r="F32" s="85">
        <f t="shared" si="13"/>
        <v>7.450737978</v>
      </c>
      <c r="G32" s="85">
        <f t="shared" si="2"/>
        <v>0.8100133266</v>
      </c>
      <c r="H32" s="86">
        <f t="shared" si="9"/>
        <v>0.3878094638</v>
      </c>
      <c r="I32" s="85">
        <f t="shared" si="3"/>
        <v>0.3141308339</v>
      </c>
      <c r="J32" s="70">
        <f t="shared" si="10"/>
        <v>0.1030149504</v>
      </c>
      <c r="K32" s="85">
        <f t="shared" si="4"/>
        <v>0.01119935809</v>
      </c>
      <c r="L32" s="85">
        <f t="shared" si="5"/>
        <v>0.3029314758</v>
      </c>
      <c r="M32" s="87">
        <f t="shared" si="6"/>
        <v>10.2622393</v>
      </c>
      <c r="N32" s="77"/>
      <c r="O32" s="7">
        <f t="shared" si="7"/>
        <v>19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2.75" customHeight="1">
      <c r="A33" s="59"/>
      <c r="B33" s="60">
        <f t="shared" si="8"/>
        <v>20</v>
      </c>
      <c r="C33" s="82">
        <f t="shared" si="11"/>
        <v>0.08559429767</v>
      </c>
      <c r="D33" s="83">
        <f t="shared" si="12"/>
        <v>1.247047044</v>
      </c>
      <c r="E33" s="84">
        <f t="shared" si="1"/>
        <v>0.1067401159</v>
      </c>
      <c r="F33" s="85">
        <f t="shared" si="13"/>
        <v>7.469113508</v>
      </c>
      <c r="G33" s="85">
        <f t="shared" si="2"/>
        <v>0.7972540416</v>
      </c>
      <c r="H33" s="86">
        <f t="shared" si="9"/>
        <v>0.3878094638</v>
      </c>
      <c r="I33" s="85">
        <f t="shared" si="3"/>
        <v>0.3091826624</v>
      </c>
      <c r="J33" s="70">
        <f t="shared" si="10"/>
        <v>0.1031850879</v>
      </c>
      <c r="K33" s="85">
        <f t="shared" si="4"/>
        <v>0.01101398825</v>
      </c>
      <c r="L33" s="85">
        <f t="shared" si="5"/>
        <v>0.2981686742</v>
      </c>
      <c r="M33" s="87">
        <f t="shared" si="6"/>
        <v>10.56040798</v>
      </c>
      <c r="N33" s="77"/>
      <c r="O33" s="7">
        <f t="shared" si="7"/>
        <v>20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2.75" customHeight="1">
      <c r="A34" s="59"/>
      <c r="B34" s="60">
        <f t="shared" si="8"/>
        <v>21</v>
      </c>
      <c r="C34" s="82">
        <f t="shared" si="11"/>
        <v>0.08411787354</v>
      </c>
      <c r="D34" s="83">
        <f t="shared" si="12"/>
        <v>1.247047044</v>
      </c>
      <c r="E34" s="84">
        <f t="shared" si="1"/>
        <v>0.1048989456</v>
      </c>
      <c r="F34" s="85">
        <f t="shared" si="13"/>
        <v>7.487534357</v>
      </c>
      <c r="G34" s="85">
        <f t="shared" si="2"/>
        <v>0.7854344589</v>
      </c>
      <c r="H34" s="86">
        <f t="shared" si="9"/>
        <v>0.3878094638</v>
      </c>
      <c r="I34" s="85">
        <f t="shared" si="3"/>
        <v>0.3045989164</v>
      </c>
      <c r="J34" s="70">
        <f t="shared" si="10"/>
        <v>0.1033555065</v>
      </c>
      <c r="K34" s="85">
        <f t="shared" si="4"/>
        <v>0.01084188365</v>
      </c>
      <c r="L34" s="85">
        <f t="shared" si="5"/>
        <v>0.2937570327</v>
      </c>
      <c r="M34" s="87">
        <f t="shared" si="6"/>
        <v>10.85416501</v>
      </c>
      <c r="N34" s="77"/>
      <c r="O34" s="7">
        <f t="shared" si="7"/>
        <v>21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2.75" customHeight="1">
      <c r="A35" s="59"/>
      <c r="B35" s="60">
        <f t="shared" si="8"/>
        <v>22</v>
      </c>
      <c r="C35" s="82">
        <f t="shared" si="11"/>
        <v>0.08273713918</v>
      </c>
      <c r="D35" s="83">
        <f t="shared" si="12"/>
        <v>1.247047044</v>
      </c>
      <c r="E35" s="84">
        <f t="shared" si="1"/>
        <v>0.1031771049</v>
      </c>
      <c r="F35" s="85">
        <f t="shared" si="13"/>
        <v>7.506000636</v>
      </c>
      <c r="G35" s="85">
        <f t="shared" si="2"/>
        <v>0.7744474147</v>
      </c>
      <c r="H35" s="86">
        <f t="shared" si="9"/>
        <v>0.3878094638</v>
      </c>
      <c r="I35" s="85">
        <f t="shared" si="3"/>
        <v>0.3003380367</v>
      </c>
      <c r="J35" s="70">
        <f t="shared" si="10"/>
        <v>0.1035262065</v>
      </c>
      <c r="K35" s="85">
        <f t="shared" si="4"/>
        <v>0.01068153427</v>
      </c>
      <c r="L35" s="85">
        <f t="shared" si="5"/>
        <v>0.2896565024</v>
      </c>
      <c r="M35" s="87">
        <f t="shared" si="6"/>
        <v>11.14382151</v>
      </c>
      <c r="N35" s="77"/>
      <c r="O35" s="7">
        <f t="shared" si="7"/>
        <v>22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12.75" customHeight="1">
      <c r="A36" s="59"/>
      <c r="B36" s="60">
        <f t="shared" si="8"/>
        <v>23</v>
      </c>
      <c r="C36" s="82">
        <f t="shared" si="11"/>
        <v>0.08144176066</v>
      </c>
      <c r="D36" s="83">
        <f t="shared" si="12"/>
        <v>1.247047044</v>
      </c>
      <c r="E36" s="84">
        <f t="shared" si="1"/>
        <v>0.1015617069</v>
      </c>
      <c r="F36" s="85">
        <f t="shared" si="13"/>
        <v>7.524512459</v>
      </c>
      <c r="G36" s="85">
        <f t="shared" si="2"/>
        <v>0.764202329</v>
      </c>
      <c r="H36" s="86">
        <f t="shared" si="9"/>
        <v>0.3878094638</v>
      </c>
      <c r="I36" s="85">
        <f t="shared" si="3"/>
        <v>0.2963648955</v>
      </c>
      <c r="J36" s="70">
        <f t="shared" si="10"/>
        <v>0.1036971885</v>
      </c>
      <c r="K36" s="85">
        <f t="shared" si="4"/>
        <v>0.01053166346</v>
      </c>
      <c r="L36" s="85">
        <f t="shared" si="5"/>
        <v>0.285833232</v>
      </c>
      <c r="M36" s="87">
        <f t="shared" si="6"/>
        <v>11.42965475</v>
      </c>
      <c r="N36" s="77"/>
      <c r="O36" s="7">
        <f t="shared" si="7"/>
        <v>23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ht="12.75" customHeight="1">
      <c r="A37" s="59"/>
      <c r="B37" s="60">
        <f t="shared" si="8"/>
        <v>24</v>
      </c>
      <c r="C37" s="82">
        <f t="shared" si="11"/>
        <v>0.08022292702</v>
      </c>
      <c r="D37" s="83">
        <f t="shared" si="12"/>
        <v>1.247047044</v>
      </c>
      <c r="E37" s="84">
        <f t="shared" si="1"/>
        <v>0.100041764</v>
      </c>
      <c r="F37" s="85">
        <f t="shared" si="13"/>
        <v>7.543069936</v>
      </c>
      <c r="G37" s="85">
        <f t="shared" si="2"/>
        <v>0.7546220226</v>
      </c>
      <c r="H37" s="86">
        <f t="shared" si="9"/>
        <v>0.3878094638</v>
      </c>
      <c r="I37" s="85">
        <f t="shared" si="3"/>
        <v>0.292649562</v>
      </c>
      <c r="J37" s="70">
        <f t="shared" si="10"/>
        <v>0.1038684528</v>
      </c>
      <c r="K37" s="85">
        <f t="shared" si="4"/>
        <v>0.01039118325</v>
      </c>
      <c r="L37" s="85">
        <f t="shared" si="5"/>
        <v>0.2822583787</v>
      </c>
      <c r="M37" s="87">
        <f t="shared" si="6"/>
        <v>11.71191312</v>
      </c>
      <c r="N37" s="77"/>
      <c r="O37" s="7">
        <f t="shared" si="7"/>
        <v>24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ht="12.75" customHeight="1">
      <c r="A38" s="59"/>
      <c r="B38" s="60">
        <f t="shared" si="8"/>
        <v>25</v>
      </c>
      <c r="C38" s="82">
        <f t="shared" si="11"/>
        <v>0.07907307087</v>
      </c>
      <c r="D38" s="83">
        <f t="shared" si="12"/>
        <v>1.247047044</v>
      </c>
      <c r="E38" s="84">
        <f t="shared" si="1"/>
        <v>0.09860783931</v>
      </c>
      <c r="F38" s="85">
        <f t="shared" si="13"/>
        <v>7.561673182</v>
      </c>
      <c r="G38" s="85">
        <f t="shared" si="2"/>
        <v>0.745640254</v>
      </c>
      <c r="H38" s="86">
        <f t="shared" si="9"/>
        <v>0.3878094638</v>
      </c>
      <c r="I38" s="85">
        <f t="shared" si="3"/>
        <v>0.2891663471</v>
      </c>
      <c r="J38" s="70">
        <f t="shared" si="10"/>
        <v>0.10404</v>
      </c>
      <c r="K38" s="85">
        <f t="shared" si="4"/>
        <v>0.0102591596</v>
      </c>
      <c r="L38" s="85">
        <f t="shared" si="5"/>
        <v>0.2789071875</v>
      </c>
      <c r="M38" s="87">
        <f t="shared" si="6"/>
        <v>11.99082031</v>
      </c>
      <c r="N38" s="77"/>
      <c r="O38" s="7">
        <f t="shared" si="7"/>
        <v>25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ht="12.75" customHeight="1">
      <c r="A39" s="59"/>
      <c r="B39" s="60">
        <f t="shared" si="8"/>
        <v>26</v>
      </c>
      <c r="C39" s="82">
        <f t="shared" si="11"/>
        <v>0.07798564955</v>
      </c>
      <c r="D39" s="83">
        <f t="shared" si="12"/>
        <v>1.247047044</v>
      </c>
      <c r="E39" s="84">
        <f t="shared" si="1"/>
        <v>0.09725177377</v>
      </c>
      <c r="F39" s="85">
        <f t="shared" si="13"/>
        <v>7.580322308</v>
      </c>
      <c r="G39" s="85">
        <f t="shared" si="2"/>
        <v>0.7371997901</v>
      </c>
      <c r="H39" s="86">
        <f t="shared" si="9"/>
        <v>0.3878094638</v>
      </c>
      <c r="I39" s="85">
        <f t="shared" si="3"/>
        <v>0.2858930554</v>
      </c>
      <c r="J39" s="70">
        <f t="shared" si="10"/>
        <v>0.1042118305</v>
      </c>
      <c r="K39" s="85">
        <f t="shared" si="4"/>
        <v>0.01013478537</v>
      </c>
      <c r="L39" s="85">
        <f t="shared" si="5"/>
        <v>0.27575827</v>
      </c>
      <c r="M39" s="87">
        <f t="shared" si="6"/>
        <v>12.26657858</v>
      </c>
      <c r="N39" s="77"/>
      <c r="O39" s="7">
        <f t="shared" si="7"/>
        <v>26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2.75" customHeight="1">
      <c r="A40" s="59"/>
      <c r="B40" s="60">
        <f t="shared" si="8"/>
        <v>27</v>
      </c>
      <c r="C40" s="82">
        <f t="shared" si="11"/>
        <v>0.07695497184</v>
      </c>
      <c r="D40" s="83">
        <f t="shared" si="12"/>
        <v>1.247047044</v>
      </c>
      <c r="E40" s="84">
        <f t="shared" si="1"/>
        <v>0.09596647018</v>
      </c>
      <c r="F40" s="85">
        <f t="shared" si="13"/>
        <v>7.599017427</v>
      </c>
      <c r="G40" s="85">
        <f t="shared" si="2"/>
        <v>0.7292508794</v>
      </c>
      <c r="H40" s="86">
        <f t="shared" si="9"/>
        <v>0.3878094638</v>
      </c>
      <c r="I40" s="85">
        <f t="shared" si="3"/>
        <v>0.2828103925</v>
      </c>
      <c r="J40" s="70">
        <f t="shared" si="10"/>
        <v>0.1043839448</v>
      </c>
      <c r="K40" s="85">
        <f t="shared" si="4"/>
        <v>0.01001735873</v>
      </c>
      <c r="L40" s="85">
        <f t="shared" si="5"/>
        <v>0.2727930338</v>
      </c>
      <c r="M40" s="87">
        <f t="shared" si="6"/>
        <v>12.53937162</v>
      </c>
      <c r="N40" s="77"/>
      <c r="O40" s="7">
        <f t="shared" si="7"/>
        <v>27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ht="12.75" customHeight="1">
      <c r="A41" s="59"/>
      <c r="B41" s="60">
        <f t="shared" si="8"/>
        <v>28</v>
      </c>
      <c r="C41" s="82">
        <f t="shared" si="11"/>
        <v>0.07597605937</v>
      </c>
      <c r="D41" s="83">
        <f t="shared" si="12"/>
        <v>1.247047044</v>
      </c>
      <c r="E41" s="84">
        <f t="shared" si="1"/>
        <v>0.09474572027</v>
      </c>
      <c r="F41" s="85">
        <f t="shared" si="13"/>
        <v>7.617758654</v>
      </c>
      <c r="G41" s="85">
        <f t="shared" si="2"/>
        <v>0.7217500306</v>
      </c>
      <c r="H41" s="86">
        <f t="shared" si="9"/>
        <v>0.3878094638</v>
      </c>
      <c r="I41" s="85">
        <f t="shared" si="3"/>
        <v>0.2799014924</v>
      </c>
      <c r="J41" s="70">
        <f t="shared" si="10"/>
        <v>0.1045563434</v>
      </c>
      <c r="K41" s="85">
        <f t="shared" si="4"/>
        <v>0.009906266064</v>
      </c>
      <c r="L41" s="85">
        <f t="shared" si="5"/>
        <v>0.2699952263</v>
      </c>
      <c r="M41" s="87">
        <f t="shared" si="6"/>
        <v>12.80936684</v>
      </c>
      <c r="N41" s="77"/>
      <c r="O41" s="7">
        <f t="shared" si="7"/>
        <v>28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ht="12.75" customHeight="1">
      <c r="A42" s="59"/>
      <c r="B42" s="60">
        <f t="shared" si="8"/>
        <v>29</v>
      </c>
      <c r="C42" s="82">
        <f t="shared" si="11"/>
        <v>0.07504453473</v>
      </c>
      <c r="D42" s="83">
        <f t="shared" si="12"/>
        <v>1.247047044</v>
      </c>
      <c r="E42" s="84">
        <f t="shared" si="1"/>
        <v>0.09358406523</v>
      </c>
      <c r="F42" s="85">
        <f t="shared" si="13"/>
        <v>7.636546102</v>
      </c>
      <c r="G42" s="85">
        <f t="shared" si="2"/>
        <v>0.7146590286</v>
      </c>
      <c r="H42" s="86">
        <f t="shared" si="9"/>
        <v>0.3878094638</v>
      </c>
      <c r="I42" s="85">
        <f t="shared" si="3"/>
        <v>0.2771515347</v>
      </c>
      <c r="J42" s="70">
        <f t="shared" si="10"/>
        <v>0.1047290267</v>
      </c>
      <c r="K42" s="85">
        <f t="shared" si="4"/>
        <v>0.009800968067</v>
      </c>
      <c r="L42" s="85">
        <f t="shared" si="5"/>
        <v>0.2673505666</v>
      </c>
      <c r="M42" s="87">
        <f t="shared" si="6"/>
        <v>13.07671741</v>
      </c>
      <c r="N42" s="77"/>
      <c r="O42" s="7">
        <f t="shared" si="7"/>
        <v>29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ht="12.75" customHeight="1">
      <c r="A43" s="59"/>
      <c r="B43" s="60">
        <f t="shared" si="8"/>
        <v>30</v>
      </c>
      <c r="C43" s="82">
        <f t="shared" si="11"/>
        <v>0.07415653056</v>
      </c>
      <c r="D43" s="83">
        <f t="shared" si="12"/>
        <v>1.247047044</v>
      </c>
      <c r="E43" s="84">
        <f t="shared" si="1"/>
        <v>0.09247668225</v>
      </c>
      <c r="F43" s="85">
        <f t="shared" si="13"/>
        <v>7.655379885</v>
      </c>
      <c r="G43" s="85">
        <f t="shared" si="2"/>
        <v>0.7079441332</v>
      </c>
      <c r="H43" s="86">
        <f t="shared" si="9"/>
        <v>0.3878094638</v>
      </c>
      <c r="I43" s="85">
        <f t="shared" si="3"/>
        <v>0.2745474347</v>
      </c>
      <c r="J43" s="70">
        <f t="shared" si="10"/>
        <v>0.1049019952</v>
      </c>
      <c r="K43" s="85">
        <f t="shared" si="4"/>
        <v>0.009700988478</v>
      </c>
      <c r="L43" s="85">
        <f t="shared" si="5"/>
        <v>0.2648464462</v>
      </c>
      <c r="M43" s="87">
        <f t="shared" si="6"/>
        <v>13.34156386</v>
      </c>
      <c r="N43" s="77"/>
      <c r="O43" s="7">
        <f t="shared" si="7"/>
        <v>30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ht="12.75" customHeight="1">
      <c r="A44" s="59"/>
      <c r="B44" s="60">
        <f t="shared" si="8"/>
        <v>31</v>
      </c>
      <c r="C44" s="82">
        <f t="shared" si="11"/>
        <v>0.07330861485</v>
      </c>
      <c r="D44" s="83">
        <f t="shared" si="12"/>
        <v>1.247047044</v>
      </c>
      <c r="E44" s="84">
        <f t="shared" si="1"/>
        <v>0.09141929147</v>
      </c>
      <c r="F44" s="85">
        <f t="shared" si="13"/>
        <v>7.674260117</v>
      </c>
      <c r="G44" s="85">
        <f t="shared" si="2"/>
        <v>0.7015754225</v>
      </c>
      <c r="H44" s="86">
        <f t="shared" si="9"/>
        <v>0.3878094638</v>
      </c>
      <c r="I44" s="85">
        <f t="shared" si="3"/>
        <v>0.2720775884</v>
      </c>
      <c r="J44" s="70">
        <f t="shared" si="10"/>
        <v>0.1050752494</v>
      </c>
      <c r="K44" s="85">
        <f t="shared" si="4"/>
        <v>0.00960590485</v>
      </c>
      <c r="L44" s="85">
        <f t="shared" si="5"/>
        <v>0.2624716836</v>
      </c>
      <c r="M44" s="87">
        <f t="shared" si="6"/>
        <v>13.60403554</v>
      </c>
      <c r="N44" s="77"/>
      <c r="O44" s="7">
        <f t="shared" si="7"/>
        <v>31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2.75" customHeight="1">
      <c r="A45" s="59"/>
      <c r="B45" s="60">
        <f t="shared" si="8"/>
        <v>32</v>
      </c>
      <c r="C45" s="82">
        <f t="shared" si="11"/>
        <v>0.07249772938</v>
      </c>
      <c r="D45" s="83">
        <f t="shared" si="12"/>
        <v>1.247047044</v>
      </c>
      <c r="E45" s="84">
        <f t="shared" si="1"/>
        <v>0.09040807914</v>
      </c>
      <c r="F45" s="85">
        <f t="shared" si="13"/>
        <v>7.693186913</v>
      </c>
      <c r="G45" s="85">
        <f t="shared" si="2"/>
        <v>0.6955262512</v>
      </c>
      <c r="H45" s="86">
        <f t="shared" si="9"/>
        <v>0.3878094638</v>
      </c>
      <c r="I45" s="85">
        <f t="shared" si="3"/>
        <v>0.2697316626</v>
      </c>
      <c r="J45" s="70">
        <f t="shared" si="10"/>
        <v>0.1052487897</v>
      </c>
      <c r="K45" s="85">
        <f t="shared" si="4"/>
        <v>0.009515340908</v>
      </c>
      <c r="L45" s="85">
        <f t="shared" si="5"/>
        <v>0.2602163217</v>
      </c>
      <c r="M45" s="87">
        <f t="shared" si="6"/>
        <v>13.86425186</v>
      </c>
      <c r="N45" s="77"/>
      <c r="O45" s="7">
        <f t="shared" si="7"/>
        <v>32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2.75" customHeight="1">
      <c r="A46" s="59"/>
      <c r="B46" s="60">
        <f t="shared" si="8"/>
        <v>33</v>
      </c>
      <c r="C46" s="82">
        <f t="shared" si="11"/>
        <v>0.07172113844</v>
      </c>
      <c r="D46" s="83">
        <f t="shared" si="12"/>
        <v>1.247047044</v>
      </c>
      <c r="E46" s="84">
        <f t="shared" si="1"/>
        <v>0.08943963371</v>
      </c>
      <c r="F46" s="85">
        <f t="shared" si="13"/>
        <v>7.712160387</v>
      </c>
      <c r="G46" s="85">
        <f t="shared" si="2"/>
        <v>0.6897728001</v>
      </c>
      <c r="H46" s="86">
        <f t="shared" si="9"/>
        <v>0.3878094638</v>
      </c>
      <c r="I46" s="85">
        <f t="shared" si="3"/>
        <v>0.2675004198</v>
      </c>
      <c r="J46" s="70">
        <f t="shared" si="10"/>
        <v>0.1054226166</v>
      </c>
      <c r="K46" s="85">
        <f t="shared" si="4"/>
        <v>0.009428960216</v>
      </c>
      <c r="L46" s="85">
        <f t="shared" si="5"/>
        <v>0.2580714596</v>
      </c>
      <c r="M46" s="87">
        <f t="shared" si="6"/>
        <v>14.12232332</v>
      </c>
      <c r="N46" s="77"/>
      <c r="O46" s="7">
        <f t="shared" si="7"/>
        <v>33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2.75" customHeight="1">
      <c r="A47" s="59"/>
      <c r="B47" s="60">
        <f t="shared" si="8"/>
        <v>34</v>
      </c>
      <c r="C47" s="82">
        <f t="shared" si="11"/>
        <v>0.07097638605</v>
      </c>
      <c r="D47" s="83">
        <f t="shared" si="12"/>
        <v>1.247047044</v>
      </c>
      <c r="E47" s="84">
        <f t="shared" si="1"/>
        <v>0.08851089243</v>
      </c>
      <c r="F47" s="85">
        <f t="shared" si="13"/>
        <v>7.731180655</v>
      </c>
      <c r="G47" s="85">
        <f t="shared" si="2"/>
        <v>0.6842936993</v>
      </c>
      <c r="H47" s="86">
        <f t="shared" si="9"/>
        <v>0.3878094638</v>
      </c>
      <c r="I47" s="85">
        <f t="shared" si="3"/>
        <v>0.2653755727</v>
      </c>
      <c r="J47" s="70">
        <f t="shared" si="10"/>
        <v>0.1055967307</v>
      </c>
      <c r="K47" s="85">
        <f t="shared" si="4"/>
        <v>0.009346460868</v>
      </c>
      <c r="L47" s="85">
        <f t="shared" si="5"/>
        <v>0.2560291118</v>
      </c>
      <c r="M47" s="87">
        <f t="shared" si="6"/>
        <v>14.37835243</v>
      </c>
      <c r="N47" s="77"/>
      <c r="O47" s="7">
        <f t="shared" si="7"/>
        <v>34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2.75" customHeight="1">
      <c r="A48" s="59"/>
      <c r="B48" s="60">
        <f t="shared" si="8"/>
        <v>35</v>
      </c>
      <c r="C48" s="82">
        <f t="shared" si="11"/>
        <v>0.07026125981</v>
      </c>
      <c r="D48" s="83">
        <f t="shared" si="12"/>
        <v>1.247047044</v>
      </c>
      <c r="E48" s="84">
        <f t="shared" si="1"/>
        <v>0.08761909637</v>
      </c>
      <c r="F48" s="85">
        <f t="shared" si="13"/>
        <v>7.750247832</v>
      </c>
      <c r="G48" s="85">
        <f t="shared" si="2"/>
        <v>0.6790697117</v>
      </c>
      <c r="H48" s="86">
        <f t="shared" si="9"/>
        <v>0.3878094638</v>
      </c>
      <c r="I48" s="85">
        <f t="shared" si="3"/>
        <v>0.2633496608</v>
      </c>
      <c r="J48" s="70">
        <f t="shared" si="10"/>
        <v>0.1057711322</v>
      </c>
      <c r="K48" s="85">
        <f t="shared" si="4"/>
        <v>0.009267571029</v>
      </c>
      <c r="L48" s="85">
        <f t="shared" si="5"/>
        <v>0.2540820898</v>
      </c>
      <c r="M48" s="87">
        <f t="shared" si="6"/>
        <v>14.63243452</v>
      </c>
      <c r="N48" s="77"/>
      <c r="O48" s="7">
        <f t="shared" si="7"/>
        <v>35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ht="12.75" customHeight="1">
      <c r="A49" s="59"/>
      <c r="B49" s="60">
        <f t="shared" si="8"/>
        <v>36</v>
      </c>
      <c r="C49" s="82">
        <f t="shared" si="11"/>
        <v>0.06957376049</v>
      </c>
      <c r="D49" s="83">
        <f t="shared" si="12"/>
        <v>1.247047044</v>
      </c>
      <c r="E49" s="84">
        <f t="shared" si="1"/>
        <v>0.08676175238</v>
      </c>
      <c r="F49" s="85">
        <f t="shared" si="13"/>
        <v>7.769362034</v>
      </c>
      <c r="G49" s="85">
        <f t="shared" si="2"/>
        <v>0.674083465</v>
      </c>
      <c r="H49" s="86">
        <f t="shared" si="9"/>
        <v>0.3878094638</v>
      </c>
      <c r="I49" s="85">
        <f t="shared" si="3"/>
        <v>0.2614159471</v>
      </c>
      <c r="J49" s="70">
        <f t="shared" si="10"/>
        <v>0.1059458219</v>
      </c>
      <c r="K49" s="85">
        <f t="shared" si="4"/>
        <v>0.009192045162</v>
      </c>
      <c r="L49" s="85">
        <f t="shared" si="5"/>
        <v>0.252223902</v>
      </c>
      <c r="M49" s="87">
        <f t="shared" si="6"/>
        <v>14.88465842</v>
      </c>
      <c r="N49" s="77"/>
      <c r="O49" s="7">
        <f t="shared" si="7"/>
        <v>36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ht="12.75" customHeight="1">
      <c r="A50" s="59"/>
      <c r="B50" s="60">
        <f t="shared" si="8"/>
        <v>37</v>
      </c>
      <c r="C50" s="82">
        <f t="shared" si="11"/>
        <v>0.06891207604</v>
      </c>
      <c r="D50" s="83">
        <f t="shared" si="12"/>
        <v>1.247047044</v>
      </c>
      <c r="E50" s="84">
        <f t="shared" si="1"/>
        <v>0.08593660074</v>
      </c>
      <c r="F50" s="85">
        <f t="shared" si="13"/>
        <v>7.788523377</v>
      </c>
      <c r="G50" s="85">
        <f t="shared" si="2"/>
        <v>0.6693192238</v>
      </c>
      <c r="H50" s="86">
        <f t="shared" si="9"/>
        <v>0.3878094638</v>
      </c>
      <c r="I50" s="85">
        <f t="shared" si="3"/>
        <v>0.2595683293</v>
      </c>
      <c r="J50" s="70">
        <f t="shared" si="10"/>
        <v>0.1061208</v>
      </c>
      <c r="K50" s="85">
        <f t="shared" si="4"/>
        <v>0.00911966082</v>
      </c>
      <c r="L50" s="85">
        <f t="shared" si="5"/>
        <v>0.2504486685</v>
      </c>
      <c r="M50" s="87">
        <f t="shared" si="6"/>
        <v>15.13510709</v>
      </c>
      <c r="N50" s="77"/>
      <c r="O50" s="7">
        <f t="shared" si="7"/>
        <v>37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ht="12.75" customHeight="1">
      <c r="A51" s="59"/>
      <c r="B51" s="60">
        <f t="shared" si="8"/>
        <v>38</v>
      </c>
      <c r="C51" s="82">
        <f t="shared" si="11"/>
        <v>0.06827455945</v>
      </c>
      <c r="D51" s="83">
        <f t="shared" si="12"/>
        <v>1.247047044</v>
      </c>
      <c r="E51" s="84">
        <f t="shared" si="1"/>
        <v>0.08514158756</v>
      </c>
      <c r="F51" s="85">
        <f t="shared" si="13"/>
        <v>7.807731977</v>
      </c>
      <c r="G51" s="85">
        <f t="shared" si="2"/>
        <v>0.6647626958</v>
      </c>
      <c r="H51" s="86">
        <f t="shared" si="9"/>
        <v>0.3878094638</v>
      </c>
      <c r="I51" s="85">
        <f t="shared" si="3"/>
        <v>0.2578012646</v>
      </c>
      <c r="J51" s="70">
        <f t="shared" si="10"/>
        <v>0.1062960671</v>
      </c>
      <c r="K51" s="85">
        <f t="shared" si="4"/>
        <v>0.009050215907</v>
      </c>
      <c r="L51" s="85">
        <f t="shared" si="5"/>
        <v>0.2487510487</v>
      </c>
      <c r="M51" s="87">
        <f t="shared" si="6"/>
        <v>15.38385814</v>
      </c>
      <c r="N51" s="77"/>
      <c r="O51" s="7">
        <f t="shared" si="7"/>
        <v>38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ht="12.75" customHeight="1">
      <c r="A52" s="59"/>
      <c r="B52" s="60">
        <f t="shared" si="8"/>
        <v>39</v>
      </c>
      <c r="C52" s="82">
        <f t="shared" si="11"/>
        <v>0.06765970974</v>
      </c>
      <c r="D52" s="83">
        <f t="shared" si="12"/>
        <v>1.247047044</v>
      </c>
      <c r="E52" s="84">
        <f t="shared" si="1"/>
        <v>0.08437484105</v>
      </c>
      <c r="F52" s="85">
        <f t="shared" si="13"/>
        <v>7.82698795</v>
      </c>
      <c r="G52" s="85">
        <f t="shared" si="2"/>
        <v>0.6604008642</v>
      </c>
      <c r="H52" s="86">
        <f t="shared" si="9"/>
        <v>0.3878094638</v>
      </c>
      <c r="I52" s="85">
        <f t="shared" si="3"/>
        <v>0.2561097051</v>
      </c>
      <c r="J52" s="70">
        <f t="shared" si="10"/>
        <v>0.1064716237</v>
      </c>
      <c r="K52" s="85">
        <f t="shared" si="4"/>
        <v>0.008983526328</v>
      </c>
      <c r="L52" s="85">
        <f t="shared" si="5"/>
        <v>0.2471261787</v>
      </c>
      <c r="M52" s="87">
        <f t="shared" si="6"/>
        <v>15.63098432</v>
      </c>
      <c r="N52" s="77"/>
      <c r="O52" s="7">
        <f t="shared" si="7"/>
        <v>39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ht="12.75" customHeight="1">
      <c r="A53" s="59"/>
      <c r="B53" s="60">
        <f t="shared" si="8"/>
        <v>40</v>
      </c>
      <c r="C53" s="82">
        <f t="shared" si="11"/>
        <v>0.06706615556</v>
      </c>
      <c r="D53" s="83">
        <f t="shared" si="12"/>
        <v>1.247047044</v>
      </c>
      <c r="E53" s="84">
        <f t="shared" si="1"/>
        <v>0.08363465106</v>
      </c>
      <c r="F53" s="85">
        <f t="shared" si="13"/>
        <v>7.846291414</v>
      </c>
      <c r="G53" s="85">
        <f t="shared" si="2"/>
        <v>0.6562218445</v>
      </c>
      <c r="H53" s="86">
        <f t="shared" si="9"/>
        <v>0.3878094638</v>
      </c>
      <c r="I53" s="85">
        <f t="shared" si="3"/>
        <v>0.2544890417</v>
      </c>
      <c r="J53" s="70">
        <f t="shared" si="10"/>
        <v>0.1066474703</v>
      </c>
      <c r="K53" s="85">
        <f t="shared" si="4"/>
        <v>0.008919423962</v>
      </c>
      <c r="L53" s="85">
        <f t="shared" si="5"/>
        <v>0.2455696177</v>
      </c>
      <c r="M53" s="87">
        <f t="shared" si="6"/>
        <v>15.87655394</v>
      </c>
      <c r="N53" s="77"/>
      <c r="O53" s="7">
        <f t="shared" si="7"/>
        <v>40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ht="12.75" customHeight="1">
      <c r="A54" s="59"/>
      <c r="B54" s="60">
        <f t="shared" si="8"/>
        <v>41</v>
      </c>
      <c r="C54" s="82">
        <f t="shared" si="11"/>
        <v>0.06649264101</v>
      </c>
      <c r="D54" s="83">
        <f t="shared" si="12"/>
        <v>1.247047044</v>
      </c>
      <c r="E54" s="84">
        <f t="shared" si="1"/>
        <v>0.08291945144</v>
      </c>
      <c r="F54" s="85">
        <f t="shared" si="13"/>
        <v>7.865642485</v>
      </c>
      <c r="G54" s="85">
        <f t="shared" si="2"/>
        <v>0.6522147601</v>
      </c>
      <c r="H54" s="86">
        <f t="shared" si="9"/>
        <v>0.3878094638</v>
      </c>
      <c r="I54" s="85">
        <f t="shared" si="3"/>
        <v>0.2529350564</v>
      </c>
      <c r="J54" s="70">
        <f t="shared" si="10"/>
        <v>0.1068236072</v>
      </c>
      <c r="K54" s="85">
        <f t="shared" si="4"/>
        <v>0.008857754913</v>
      </c>
      <c r="L54" s="85">
        <f t="shared" si="5"/>
        <v>0.2440773015</v>
      </c>
      <c r="M54" s="87">
        <f t="shared" si="6"/>
        <v>16.12063124</v>
      </c>
      <c r="N54" s="77"/>
      <c r="O54" s="7">
        <f t="shared" si="7"/>
        <v>41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ht="12.75" customHeight="1">
      <c r="A55" s="59"/>
      <c r="B55" s="60">
        <f t="shared" si="8"/>
        <v>42</v>
      </c>
      <c r="C55" s="82">
        <f t="shared" si="11"/>
        <v>0.06593801334</v>
      </c>
      <c r="D55" s="83">
        <f t="shared" si="12"/>
        <v>1.247047044</v>
      </c>
      <c r="E55" s="84">
        <f t="shared" si="1"/>
        <v>0.08222780464</v>
      </c>
      <c r="F55" s="85">
        <f t="shared" si="13"/>
        <v>7.885041282</v>
      </c>
      <c r="G55" s="85">
        <f t="shared" si="2"/>
        <v>0.6483696341</v>
      </c>
      <c r="H55" s="86">
        <f t="shared" si="9"/>
        <v>0.3878094638</v>
      </c>
      <c r="I55" s="85">
        <f t="shared" si="3"/>
        <v>0.2514438802</v>
      </c>
      <c r="J55" s="70">
        <f t="shared" si="10"/>
        <v>0.1070000351</v>
      </c>
      <c r="K55" s="85">
        <f t="shared" si="4"/>
        <v>0.008798377983</v>
      </c>
      <c r="L55" s="85">
        <f t="shared" si="5"/>
        <v>0.2426455022</v>
      </c>
      <c r="M55" s="87">
        <f t="shared" si="6"/>
        <v>16.36327674</v>
      </c>
      <c r="N55" s="77"/>
      <c r="O55" s="7">
        <f t="shared" si="7"/>
        <v>42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ht="12.75" customHeight="1">
      <c r="A56" s="59"/>
      <c r="B56" s="60">
        <f t="shared" si="8"/>
        <v>43</v>
      </c>
      <c r="C56" s="82">
        <f t="shared" si="11"/>
        <v>0.06540121216</v>
      </c>
      <c r="D56" s="83">
        <f t="shared" si="12"/>
        <v>1.247047044</v>
      </c>
      <c r="E56" s="84">
        <f t="shared" si="1"/>
        <v>0.08155838832</v>
      </c>
      <c r="F56" s="85">
        <f t="shared" si="13"/>
        <v>7.904487921</v>
      </c>
      <c r="G56" s="85">
        <f t="shared" si="2"/>
        <v>0.6446772953</v>
      </c>
      <c r="H56" s="86">
        <f t="shared" si="9"/>
        <v>0.3878094638</v>
      </c>
      <c r="I56" s="85">
        <f t="shared" si="3"/>
        <v>0.2500119562</v>
      </c>
      <c r="J56" s="70">
        <f t="shared" si="10"/>
        <v>0.1071767544</v>
      </c>
      <c r="K56" s="85">
        <f t="shared" si="4"/>
        <v>0.008741163351</v>
      </c>
      <c r="L56" s="85">
        <f t="shared" si="5"/>
        <v>0.2412707929</v>
      </c>
      <c r="M56" s="87">
        <f t="shared" si="6"/>
        <v>16.60454753</v>
      </c>
      <c r="N56" s="77"/>
      <c r="O56" s="7">
        <f t="shared" si="7"/>
        <v>43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ht="12.75" customHeight="1">
      <c r="A57" s="59"/>
      <c r="B57" s="60">
        <f t="shared" si="8"/>
        <v>44</v>
      </c>
      <c r="C57" s="82">
        <f t="shared" si="11"/>
        <v>0.0648812601</v>
      </c>
      <c r="D57" s="83">
        <f t="shared" si="12"/>
        <v>1.247047044</v>
      </c>
      <c r="E57" s="84">
        <f t="shared" si="1"/>
        <v>0.08090998364</v>
      </c>
      <c r="F57" s="85">
        <f t="shared" si="13"/>
        <v>7.92398252</v>
      </c>
      <c r="G57" s="85">
        <f t="shared" si="2"/>
        <v>0.6411292961</v>
      </c>
      <c r="H57" s="86">
        <f t="shared" si="9"/>
        <v>0.3878094638</v>
      </c>
      <c r="I57" s="85">
        <f t="shared" si="3"/>
        <v>0.2486360086</v>
      </c>
      <c r="J57" s="70">
        <f t="shared" si="10"/>
        <v>0.1073537655</v>
      </c>
      <c r="K57" s="85">
        <f t="shared" si="4"/>
        <v>0.00868599141</v>
      </c>
      <c r="L57" s="85">
        <f t="shared" si="5"/>
        <v>0.2399500172</v>
      </c>
      <c r="M57" s="87">
        <f t="shared" si="6"/>
        <v>16.84449755</v>
      </c>
      <c r="N57" s="77"/>
      <c r="O57" s="7">
        <f t="shared" si="7"/>
        <v>44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ht="12.75" customHeight="1">
      <c r="A58" s="59"/>
      <c r="B58" s="60">
        <f t="shared" si="8"/>
        <v>45</v>
      </c>
      <c r="C58" s="82">
        <f t="shared" si="11"/>
        <v>0.06437725453</v>
      </c>
      <c r="D58" s="83">
        <f t="shared" si="12"/>
        <v>1.247047044</v>
      </c>
      <c r="E58" s="84">
        <f t="shared" si="1"/>
        <v>0.08028146498</v>
      </c>
      <c r="F58" s="85">
        <f t="shared" si="13"/>
        <v>7.943525199</v>
      </c>
      <c r="G58" s="85">
        <f t="shared" si="2"/>
        <v>0.6377178401</v>
      </c>
      <c r="H58" s="86">
        <f t="shared" si="9"/>
        <v>0.3878094638</v>
      </c>
      <c r="I58" s="85">
        <f t="shared" si="3"/>
        <v>0.2473130136</v>
      </c>
      <c r="J58" s="70">
        <f t="shared" si="10"/>
        <v>0.107531069</v>
      </c>
      <c r="K58" s="85">
        <f t="shared" si="4"/>
        <v>0.008632751747</v>
      </c>
      <c r="L58" s="85">
        <f t="shared" si="5"/>
        <v>0.2386802619</v>
      </c>
      <c r="M58" s="87">
        <f t="shared" si="6"/>
        <v>17.08317781</v>
      </c>
      <c r="N58" s="77"/>
      <c r="O58" s="7">
        <f t="shared" si="7"/>
        <v>45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ht="12.75" customHeight="1">
      <c r="A59" s="59"/>
      <c r="B59" s="60">
        <f t="shared" si="8"/>
        <v>46</v>
      </c>
      <c r="C59" s="82">
        <f t="shared" si="11"/>
        <v>0.06388836029</v>
      </c>
      <c r="D59" s="83">
        <f t="shared" si="12"/>
        <v>1.247047044</v>
      </c>
      <c r="E59" s="84">
        <f t="shared" si="1"/>
        <v>0.07967179087</v>
      </c>
      <c r="F59" s="85">
        <f t="shared" si="13"/>
        <v>7.963116075</v>
      </c>
      <c r="G59" s="85">
        <f t="shared" si="2"/>
        <v>0.6344357186</v>
      </c>
      <c r="H59" s="86">
        <f t="shared" si="9"/>
        <v>0.3878094638</v>
      </c>
      <c r="I59" s="85">
        <f t="shared" si="3"/>
        <v>0.2460401759</v>
      </c>
      <c r="J59" s="70">
        <f t="shared" si="10"/>
        <v>0.1077086653</v>
      </c>
      <c r="K59" s="85">
        <f t="shared" si="4"/>
        <v>0.008581342254</v>
      </c>
      <c r="L59" s="85">
        <f t="shared" si="5"/>
        <v>0.2374588336</v>
      </c>
      <c r="M59" s="87">
        <f t="shared" si="6"/>
        <v>17.32063665</v>
      </c>
      <c r="N59" s="77"/>
      <c r="O59" s="7">
        <f t="shared" si="7"/>
        <v>46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ht="12.75" customHeight="1">
      <c r="A60" s="59"/>
      <c r="B60" s="60">
        <f t="shared" si="8"/>
        <v>47</v>
      </c>
      <c r="C60" s="82">
        <f t="shared" si="11"/>
        <v>0.06341380331</v>
      </c>
      <c r="D60" s="83">
        <f t="shared" si="12"/>
        <v>1.247047044</v>
      </c>
      <c r="E60" s="84">
        <f t="shared" si="1"/>
        <v>0.07907999599</v>
      </c>
      <c r="F60" s="85">
        <f t="shared" si="13"/>
        <v>7.982755267</v>
      </c>
      <c r="G60" s="85">
        <f t="shared" si="2"/>
        <v>0.6312762545</v>
      </c>
      <c r="H60" s="86">
        <f t="shared" si="9"/>
        <v>0.3878094638</v>
      </c>
      <c r="I60" s="85">
        <f t="shared" si="3"/>
        <v>0.2448149058</v>
      </c>
      <c r="J60" s="70">
        <f t="shared" si="10"/>
        <v>0.1078865549</v>
      </c>
      <c r="K60" s="85">
        <f t="shared" si="4"/>
        <v>0.008531668327</v>
      </c>
      <c r="L60" s="85">
        <f t="shared" si="5"/>
        <v>0.2362832375</v>
      </c>
      <c r="M60" s="87">
        <f t="shared" si="6"/>
        <v>17.55691988</v>
      </c>
      <c r="N60" s="77"/>
      <c r="O60" s="7">
        <f t="shared" si="7"/>
        <v>47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ht="12.75" customHeight="1">
      <c r="A61" s="59"/>
      <c r="B61" s="60">
        <f t="shared" si="8"/>
        <v>48</v>
      </c>
      <c r="C61" s="82">
        <f t="shared" si="11"/>
        <v>0.0629528649</v>
      </c>
      <c r="D61" s="83">
        <f t="shared" si="12"/>
        <v>1.247047044</v>
      </c>
      <c r="E61" s="84">
        <f t="shared" si="1"/>
        <v>0.0785051841</v>
      </c>
      <c r="F61" s="85">
        <f t="shared" si="13"/>
        <v>8.002442895</v>
      </c>
      <c r="G61" s="85">
        <f t="shared" si="2"/>
        <v>0.6282332528</v>
      </c>
      <c r="H61" s="86">
        <f t="shared" si="9"/>
        <v>0.3878094638</v>
      </c>
      <c r="I61" s="85">
        <f t="shared" si="3"/>
        <v>0.2436348009</v>
      </c>
      <c r="J61" s="70">
        <f t="shared" si="10"/>
        <v>0.1080647383</v>
      </c>
      <c r="K61" s="85">
        <f t="shared" si="4"/>
        <v>0.008483642175</v>
      </c>
      <c r="L61" s="85">
        <f t="shared" si="5"/>
        <v>0.2351511587</v>
      </c>
      <c r="M61" s="87">
        <f t="shared" si="6"/>
        <v>17.79207104</v>
      </c>
      <c r="N61" s="77"/>
      <c r="O61" s="7">
        <f t="shared" si="7"/>
        <v>48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ht="12.75" customHeight="1">
      <c r="A62" s="59"/>
      <c r="B62" s="60">
        <f t="shared" si="8"/>
        <v>49</v>
      </c>
      <c r="C62" s="82">
        <f t="shared" si="11"/>
        <v>0.06250487671</v>
      </c>
      <c r="D62" s="83">
        <f t="shared" si="12"/>
        <v>1.247047044</v>
      </c>
      <c r="E62" s="84">
        <f t="shared" si="1"/>
        <v>0.07794652176</v>
      </c>
      <c r="F62" s="85">
        <f t="shared" si="13"/>
        <v>8.022179078</v>
      </c>
      <c r="G62" s="85">
        <f t="shared" si="2"/>
        <v>0.6253009561</v>
      </c>
      <c r="H62" s="86">
        <f t="shared" si="9"/>
        <v>0.3878094638</v>
      </c>
      <c r="I62" s="85">
        <f t="shared" si="3"/>
        <v>0.2424976285</v>
      </c>
      <c r="J62" s="70">
        <f t="shared" si="10"/>
        <v>0.108243216</v>
      </c>
      <c r="K62" s="85">
        <f t="shared" si="4"/>
        <v>0.008437182191</v>
      </c>
      <c r="L62" s="85">
        <f t="shared" si="5"/>
        <v>0.2340604463</v>
      </c>
      <c r="M62" s="87">
        <f t="shared" si="6"/>
        <v>18.02613149</v>
      </c>
      <c r="N62" s="77"/>
      <c r="O62" s="7">
        <f t="shared" si="7"/>
        <v>49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ht="12.75" customHeight="1">
      <c r="A63" s="59"/>
      <c r="B63" s="60">
        <f t="shared" si="8"/>
        <v>50</v>
      </c>
      <c r="C63" s="82">
        <f t="shared" si="11"/>
        <v>0.06206921628</v>
      </c>
      <c r="D63" s="83">
        <f t="shared" si="12"/>
        <v>1.247047044</v>
      </c>
      <c r="E63" s="84">
        <f t="shared" si="1"/>
        <v>0.0774032327</v>
      </c>
      <c r="F63" s="85">
        <f t="shared" si="13"/>
        <v>8.041963936</v>
      </c>
      <c r="G63" s="85">
        <f t="shared" si="2"/>
        <v>0.622474006</v>
      </c>
      <c r="H63" s="86">
        <f t="shared" si="9"/>
        <v>0.3878094638</v>
      </c>
      <c r="I63" s="85">
        <f t="shared" si="3"/>
        <v>0.2414013105</v>
      </c>
      <c r="J63" s="70">
        <f t="shared" si="10"/>
        <v>0.1084219885</v>
      </c>
      <c r="K63" s="85">
        <f t="shared" si="4"/>
        <v>0.008392212404</v>
      </c>
      <c r="L63" s="85">
        <f t="shared" si="5"/>
        <v>0.2330090981</v>
      </c>
      <c r="M63" s="87">
        <f t="shared" si="6"/>
        <v>18.25914059</v>
      </c>
      <c r="N63" s="77"/>
      <c r="O63" s="7">
        <f t="shared" si="7"/>
        <v>50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ht="12.75" customHeight="1">
      <c r="A64" s="59"/>
      <c r="B64" s="60">
        <f t="shared" si="8"/>
        <v>51</v>
      </c>
      <c r="C64" s="82">
        <f t="shared" si="11"/>
        <v>0.06164530297</v>
      </c>
      <c r="D64" s="83">
        <f t="shared" si="12"/>
        <v>1.247047044</v>
      </c>
      <c r="E64" s="84">
        <f t="shared" si="1"/>
        <v>0.07687459286</v>
      </c>
      <c r="F64" s="85">
        <f t="shared" si="13"/>
        <v>8.061797589</v>
      </c>
      <c r="G64" s="85">
        <f t="shared" si="2"/>
        <v>0.6197474074</v>
      </c>
      <c r="H64" s="86">
        <f t="shared" si="9"/>
        <v>0.3878094638</v>
      </c>
      <c r="I64" s="85">
        <f t="shared" si="3"/>
        <v>0.2403439098</v>
      </c>
      <c r="J64" s="70">
        <f t="shared" si="10"/>
        <v>0.1086010562</v>
      </c>
      <c r="K64" s="85">
        <f t="shared" si="4"/>
        <v>0.00834866198</v>
      </c>
      <c r="L64" s="85">
        <f t="shared" si="5"/>
        <v>0.2319952478</v>
      </c>
      <c r="M64" s="87">
        <f t="shared" si="6"/>
        <v>18.49113584</v>
      </c>
      <c r="N64" s="77"/>
      <c r="O64" s="7">
        <f t="shared" si="7"/>
        <v>51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ht="12.75" customHeight="1">
      <c r="A65" s="59"/>
      <c r="B65" s="60">
        <f t="shared" si="8"/>
        <v>52</v>
      </c>
      <c r="C65" s="82">
        <f t="shared" si="11"/>
        <v>0.06123259443</v>
      </c>
      <c r="D65" s="83">
        <f t="shared" si="12"/>
        <v>1.247047044</v>
      </c>
      <c r="E65" s="84">
        <f t="shared" si="1"/>
        <v>0.07635992589</v>
      </c>
      <c r="F65" s="85">
        <f t="shared" si="13"/>
        <v>8.081680156</v>
      </c>
      <c r="G65" s="85">
        <f t="shared" si="2"/>
        <v>0.6171164979</v>
      </c>
      <c r="H65" s="86">
        <f t="shared" si="9"/>
        <v>0.3878094638</v>
      </c>
      <c r="I65" s="85">
        <f t="shared" si="3"/>
        <v>0.2393236182</v>
      </c>
      <c r="J65" s="70">
        <f t="shared" si="10"/>
        <v>0.1087804197</v>
      </c>
      <c r="K65" s="85">
        <f t="shared" si="4"/>
        <v>0.008306464785</v>
      </c>
      <c r="L65" s="85">
        <f t="shared" si="5"/>
        <v>0.2310171534</v>
      </c>
      <c r="M65" s="87">
        <f t="shared" si="6"/>
        <v>18.72215299</v>
      </c>
      <c r="N65" s="77"/>
      <c r="O65" s="7">
        <f t="shared" si="7"/>
        <v>52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ht="12.75" customHeight="1">
      <c r="A66" s="59"/>
      <c r="B66" s="60">
        <f t="shared" si="8"/>
        <v>53</v>
      </c>
      <c r="C66" s="82">
        <f t="shared" si="11"/>
        <v>0.06083058334</v>
      </c>
      <c r="D66" s="83">
        <f t="shared" si="12"/>
        <v>1.247047044</v>
      </c>
      <c r="E66" s="84">
        <f t="shared" si="1"/>
        <v>0.07585859916</v>
      </c>
      <c r="F66" s="85">
        <f t="shared" si="13"/>
        <v>8.10161176</v>
      </c>
      <c r="G66" s="85">
        <f t="shared" si="2"/>
        <v>0.6145769191</v>
      </c>
      <c r="H66" s="86">
        <f t="shared" si="9"/>
        <v>0.3878094638</v>
      </c>
      <c r="I66" s="85">
        <f t="shared" si="3"/>
        <v>0.2383387455</v>
      </c>
      <c r="J66" s="70">
        <f t="shared" si="10"/>
        <v>0.1089600794</v>
      </c>
      <c r="K66" s="85">
        <f t="shared" si="4"/>
        <v>0.008265558986</v>
      </c>
      <c r="L66" s="85">
        <f t="shared" si="5"/>
        <v>0.2300731865</v>
      </c>
      <c r="M66" s="87">
        <f t="shared" si="6"/>
        <v>18.95222617</v>
      </c>
      <c r="N66" s="77"/>
      <c r="O66" s="7">
        <f t="shared" si="7"/>
        <v>53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ht="12.75" customHeight="1">
      <c r="A67" s="59"/>
      <c r="B67" s="60">
        <f t="shared" si="8"/>
        <v>54</v>
      </c>
      <c r="C67" s="82">
        <f t="shared" si="11"/>
        <v>0.06043879458</v>
      </c>
      <c r="D67" s="83">
        <f t="shared" si="12"/>
        <v>1.247047044</v>
      </c>
      <c r="E67" s="84">
        <f t="shared" si="1"/>
        <v>0.07537002014</v>
      </c>
      <c r="F67" s="85">
        <f t="shared" si="13"/>
        <v>8.12159252</v>
      </c>
      <c r="G67" s="85">
        <f t="shared" si="2"/>
        <v>0.6121245918</v>
      </c>
      <c r="H67" s="86">
        <f t="shared" si="9"/>
        <v>0.3878094638</v>
      </c>
      <c r="I67" s="85">
        <f t="shared" si="3"/>
        <v>0.2373877098</v>
      </c>
      <c r="J67" s="70">
        <f t="shared" si="10"/>
        <v>0.1091400358</v>
      </c>
      <c r="K67" s="85">
        <f t="shared" si="4"/>
        <v>0.008225886698</v>
      </c>
      <c r="L67" s="85">
        <f t="shared" si="5"/>
        <v>0.2291618231</v>
      </c>
      <c r="M67" s="87">
        <f t="shared" si="6"/>
        <v>19.181388</v>
      </c>
      <c r="N67" s="77"/>
      <c r="O67" s="7">
        <f t="shared" si="7"/>
        <v>54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ht="12.75" customHeight="1">
      <c r="A68" s="59"/>
      <c r="B68" s="60">
        <f t="shared" si="8"/>
        <v>55</v>
      </c>
      <c r="C68" s="82">
        <f t="shared" si="11"/>
        <v>0.06005678257</v>
      </c>
      <c r="D68" s="83">
        <f t="shared" si="12"/>
        <v>1.247047044</v>
      </c>
      <c r="E68" s="84">
        <f t="shared" si="1"/>
        <v>0.07489363319</v>
      </c>
      <c r="F68" s="85">
        <f t="shared" si="13"/>
        <v>8.141622558</v>
      </c>
      <c r="G68" s="85">
        <f t="shared" si="2"/>
        <v>0.6097556935</v>
      </c>
      <c r="H68" s="86">
        <f t="shared" si="9"/>
        <v>0.3878094638</v>
      </c>
      <c r="I68" s="85">
        <f t="shared" si="3"/>
        <v>0.2364690285</v>
      </c>
      <c r="J68" s="70">
        <f t="shared" si="10"/>
        <v>0.1093202895</v>
      </c>
      <c r="K68" s="85">
        <f t="shared" si="4"/>
        <v>0.008187393659</v>
      </c>
      <c r="L68" s="85">
        <f t="shared" si="5"/>
        <v>0.2282816349</v>
      </c>
      <c r="M68" s="87">
        <f t="shared" si="6"/>
        <v>19.40966963</v>
      </c>
      <c r="N68" s="77"/>
      <c r="O68" s="7">
        <f t="shared" si="7"/>
        <v>55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ht="12.75" customHeight="1">
      <c r="A69" s="59"/>
      <c r="B69" s="60">
        <f t="shared" si="8"/>
        <v>56</v>
      </c>
      <c r="C69" s="82">
        <f t="shared" si="11"/>
        <v>0.05968412894</v>
      </c>
      <c r="D69" s="83">
        <f t="shared" si="12"/>
        <v>1.247047044</v>
      </c>
      <c r="E69" s="84">
        <f t="shared" si="1"/>
        <v>0.07442891659</v>
      </c>
      <c r="F69" s="85">
        <f t="shared" si="13"/>
        <v>8.161701996</v>
      </c>
      <c r="G69" s="85">
        <f t="shared" si="2"/>
        <v>0.6074666371</v>
      </c>
      <c r="H69" s="86">
        <f t="shared" si="9"/>
        <v>0.3878094638</v>
      </c>
      <c r="I69" s="85">
        <f t="shared" si="3"/>
        <v>0.2355813108</v>
      </c>
      <c r="J69" s="70">
        <f t="shared" si="10"/>
        <v>0.1095008408</v>
      </c>
      <c r="K69" s="85">
        <f t="shared" si="4"/>
        <v>0.008150028946</v>
      </c>
      <c r="L69" s="85">
        <f t="shared" si="5"/>
        <v>0.2274312819</v>
      </c>
      <c r="M69" s="87">
        <f t="shared" si="6"/>
        <v>19.63710091</v>
      </c>
      <c r="N69" s="77"/>
      <c r="O69" s="7">
        <f t="shared" si="7"/>
        <v>56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ht="12.75" customHeight="1">
      <c r="A70" s="59"/>
      <c r="B70" s="60">
        <f t="shared" si="8"/>
        <v>57</v>
      </c>
      <c r="C70" s="82">
        <f t="shared" si="11"/>
        <v>0.05932044045</v>
      </c>
      <c r="D70" s="83">
        <f t="shared" si="12"/>
        <v>1.247047044</v>
      </c>
      <c r="E70" s="84">
        <f t="shared" si="1"/>
        <v>0.07397537993</v>
      </c>
      <c r="F70" s="85">
        <f t="shared" si="13"/>
        <v>8.181830955</v>
      </c>
      <c r="G70" s="85">
        <f t="shared" si="2"/>
        <v>0.6052540534</v>
      </c>
      <c r="H70" s="86">
        <f t="shared" si="9"/>
        <v>0.3878094638</v>
      </c>
      <c r="I70" s="85">
        <f t="shared" si="3"/>
        <v>0.2347232499</v>
      </c>
      <c r="J70" s="70">
        <f t="shared" si="10"/>
        <v>0.1096816903</v>
      </c>
      <c r="K70" s="85">
        <f t="shared" si="4"/>
        <v>0.008113744714</v>
      </c>
      <c r="L70" s="85">
        <f t="shared" si="5"/>
        <v>0.2266095052</v>
      </c>
      <c r="M70" s="87">
        <f t="shared" si="6"/>
        <v>19.86371042</v>
      </c>
      <c r="N70" s="77"/>
      <c r="O70" s="7">
        <f t="shared" si="7"/>
        <v>57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ht="12.75" customHeight="1">
      <c r="A71" s="59"/>
      <c r="B71" s="60">
        <f t="shared" si="8"/>
        <v>58</v>
      </c>
      <c r="C71" s="82">
        <f t="shared" si="11"/>
        <v>0.058965347</v>
      </c>
      <c r="D71" s="83">
        <f t="shared" si="12"/>
        <v>1.247047044</v>
      </c>
      <c r="E71" s="84">
        <f t="shared" si="1"/>
        <v>0.0735325617</v>
      </c>
      <c r="F71" s="85">
        <f t="shared" si="13"/>
        <v>8.202009557</v>
      </c>
      <c r="G71" s="85">
        <f t="shared" si="2"/>
        <v>0.6031147738</v>
      </c>
      <c r="H71" s="86">
        <f t="shared" si="9"/>
        <v>0.3878094638</v>
      </c>
      <c r="I71" s="85">
        <f t="shared" si="3"/>
        <v>0.2338936171</v>
      </c>
      <c r="J71" s="70">
        <f t="shared" si="10"/>
        <v>0.1098628386</v>
      </c>
      <c r="K71" s="85">
        <f t="shared" si="4"/>
        <v>0.008078495955</v>
      </c>
      <c r="L71" s="85">
        <f t="shared" si="5"/>
        <v>0.2258151211</v>
      </c>
      <c r="M71" s="87">
        <f t="shared" si="6"/>
        <v>20.08952554</v>
      </c>
      <c r="N71" s="77"/>
      <c r="O71" s="7">
        <f t="shared" si="7"/>
        <v>58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ht="12.75" customHeight="1">
      <c r="A72" s="59"/>
      <c r="B72" s="60">
        <f t="shared" si="8"/>
        <v>59</v>
      </c>
      <c r="C72" s="82">
        <f t="shared" si="11"/>
        <v>0.05861849995</v>
      </c>
      <c r="D72" s="83">
        <f t="shared" si="12"/>
        <v>1.247047044</v>
      </c>
      <c r="E72" s="84">
        <f t="shared" si="1"/>
        <v>0.0731000271</v>
      </c>
      <c r="F72" s="85">
        <f t="shared" si="13"/>
        <v>8.222237925</v>
      </c>
      <c r="G72" s="85">
        <f t="shared" si="2"/>
        <v>0.6010458152</v>
      </c>
      <c r="H72" s="86">
        <f t="shared" si="9"/>
        <v>0.3878094638</v>
      </c>
      <c r="I72" s="85">
        <f t="shared" si="3"/>
        <v>0.2330912553</v>
      </c>
      <c r="J72" s="70">
        <f t="shared" si="10"/>
        <v>0.110044286</v>
      </c>
      <c r="K72" s="85">
        <f t="shared" si="4"/>
        <v>0.008044240287</v>
      </c>
      <c r="L72" s="85">
        <f t="shared" si="5"/>
        <v>0.225047015</v>
      </c>
      <c r="M72" s="87">
        <f t="shared" si="6"/>
        <v>20.31457256</v>
      </c>
      <c r="N72" s="77"/>
      <c r="O72" s="7">
        <f t="shared" si="7"/>
        <v>59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12.75" customHeight="1">
      <c r="A73" s="59"/>
      <c r="B73" s="115">
        <f t="shared" si="8"/>
        <v>60</v>
      </c>
      <c r="C73" s="116">
        <f t="shared" si="11"/>
        <v>0.05827957047</v>
      </c>
      <c r="D73" s="117">
        <f t="shared" si="12"/>
        <v>1.247047044</v>
      </c>
      <c r="E73" s="118">
        <f t="shared" si="1"/>
        <v>0.07267736609</v>
      </c>
      <c r="F73" s="119">
        <f t="shared" si="13"/>
        <v>8.242516182</v>
      </c>
      <c r="G73" s="119">
        <f t="shared" si="2"/>
        <v>0.5990443661</v>
      </c>
      <c r="H73" s="121">
        <f t="shared" si="9"/>
        <v>0.3878094638</v>
      </c>
      <c r="I73" s="119">
        <f t="shared" si="3"/>
        <v>0.2323150744</v>
      </c>
      <c r="J73" s="70">
        <f t="shared" si="10"/>
        <v>0.1102260331</v>
      </c>
      <c r="K73" s="119">
        <f t="shared" si="4"/>
        <v>0.008010937758</v>
      </c>
      <c r="L73" s="119">
        <f t="shared" si="5"/>
        <v>0.2243041367</v>
      </c>
      <c r="M73" s="88">
        <f t="shared" si="6"/>
        <v>20.53887669</v>
      </c>
      <c r="N73" s="77"/>
      <c r="O73" s="7">
        <f t="shared" si="7"/>
        <v>60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ht="12.75" customHeight="1">
      <c r="A74" s="6"/>
      <c r="B74" s="124"/>
      <c r="C74" s="124"/>
      <c r="D74" s="124"/>
      <c r="E74" s="124"/>
      <c r="F74" s="126"/>
      <c r="G74" s="126"/>
      <c r="H74" s="124"/>
      <c r="I74" s="126"/>
      <c r="J74" s="124"/>
      <c r="K74" s="124"/>
      <c r="L74" s="124"/>
      <c r="M74" s="124"/>
      <c r="N74" s="6"/>
      <c r="O74" s="7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ht="12.75" customHeight="1">
      <c r="A75" s="6"/>
      <c r="B75" s="6"/>
      <c r="C75" s="6"/>
      <c r="D75" s="6"/>
      <c r="E75" s="6"/>
      <c r="F75" s="3"/>
      <c r="G75" s="3"/>
      <c r="H75" s="6"/>
      <c r="I75" s="3"/>
      <c r="J75" s="6"/>
      <c r="K75" s="6"/>
      <c r="L75" s="6"/>
      <c r="M75" s="6"/>
      <c r="N75" s="6"/>
      <c r="O75" s="7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ht="12.75" customHeight="1">
      <c r="A76" s="6"/>
      <c r="B76" s="6"/>
      <c r="C76" s="6"/>
      <c r="D76" s="6"/>
      <c r="E76" s="6"/>
      <c r="F76" s="3"/>
      <c r="G76" s="3"/>
      <c r="H76" s="6"/>
      <c r="I76" s="3"/>
      <c r="J76" s="6"/>
      <c r="K76" s="6"/>
      <c r="L76" s="6"/>
      <c r="M76" s="6"/>
      <c r="N76" s="6"/>
      <c r="O76" s="7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ht="12.75" customHeight="1">
      <c r="A77" s="6"/>
      <c r="B77" s="6"/>
      <c r="C77" s="6"/>
      <c r="D77" s="6"/>
      <c r="E77" s="6"/>
      <c r="F77" s="3"/>
      <c r="G77" s="3"/>
      <c r="H77" s="6"/>
      <c r="I77" s="3"/>
      <c r="J77" s="6"/>
      <c r="K77" s="6"/>
      <c r="L77" s="6"/>
      <c r="M77" s="6"/>
      <c r="N77" s="6"/>
      <c r="O77" s="7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ht="12.75" customHeight="1">
      <c r="A78" s="6"/>
      <c r="B78" s="6"/>
      <c r="C78" s="6"/>
      <c r="D78" s="6"/>
      <c r="E78" s="6"/>
      <c r="F78" s="3"/>
      <c r="G78" s="3"/>
      <c r="H78" s="6"/>
      <c r="I78" s="3"/>
      <c r="J78" s="6"/>
      <c r="K78" s="6"/>
      <c r="L78" s="6"/>
      <c r="M78" s="6"/>
      <c r="N78" s="6"/>
      <c r="O78" s="7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ht="12.75" customHeight="1">
      <c r="A79" s="6"/>
      <c r="B79" s="6"/>
      <c r="C79" s="6"/>
      <c r="D79" s="6"/>
      <c r="E79" s="6"/>
      <c r="F79" s="3"/>
      <c r="G79" s="3"/>
      <c r="H79" s="6"/>
      <c r="I79" s="3"/>
      <c r="J79" s="6"/>
      <c r="K79" s="6"/>
      <c r="L79" s="6"/>
      <c r="M79" s="6"/>
      <c r="N79" s="6"/>
      <c r="O79" s="7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ht="12.75" customHeight="1">
      <c r="A80" s="6"/>
      <c r="B80" s="6"/>
      <c r="C80" s="6"/>
      <c r="D80" s="6"/>
      <c r="E80" s="6"/>
      <c r="F80" s="3"/>
      <c r="G80" s="3"/>
      <c r="H80" s="6"/>
      <c r="I80" s="3"/>
      <c r="J80" s="6"/>
      <c r="K80" s="6"/>
      <c r="L80" s="6"/>
      <c r="M80" s="6"/>
      <c r="N80" s="6"/>
      <c r="O80" s="7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ht="12.75" customHeight="1">
      <c r="A81" s="6"/>
      <c r="B81" s="6"/>
      <c r="C81" s="6"/>
      <c r="D81" s="6"/>
      <c r="E81" s="6"/>
      <c r="F81" s="3"/>
      <c r="G81" s="3"/>
      <c r="H81" s="6"/>
      <c r="I81" s="3"/>
      <c r="J81" s="6"/>
      <c r="K81" s="6"/>
      <c r="L81" s="6"/>
      <c r="M81" s="6"/>
      <c r="N81" s="6"/>
      <c r="O81" s="7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ht="12.75" customHeight="1">
      <c r="A82" s="6"/>
      <c r="B82" s="6"/>
      <c r="C82" s="6"/>
      <c r="D82" s="6"/>
      <c r="E82" s="6"/>
      <c r="F82" s="3"/>
      <c r="G82" s="3"/>
      <c r="H82" s="6"/>
      <c r="I82" s="3"/>
      <c r="J82" s="6"/>
      <c r="K82" s="6"/>
      <c r="L82" s="6"/>
      <c r="M82" s="6"/>
      <c r="N82" s="6"/>
      <c r="O82" s="7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ht="12.75" customHeight="1">
      <c r="A83" s="6"/>
      <c r="B83" s="6"/>
      <c r="C83" s="6"/>
      <c r="D83" s="6"/>
      <c r="E83" s="6"/>
      <c r="F83" s="3"/>
      <c r="G83" s="3"/>
      <c r="H83" s="6"/>
      <c r="I83" s="3"/>
      <c r="J83" s="6"/>
      <c r="K83" s="6"/>
      <c r="L83" s="6"/>
      <c r="M83" s="6"/>
      <c r="N83" s="6"/>
      <c r="O83" s="7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ht="12.75" customHeight="1">
      <c r="A84" s="6"/>
      <c r="B84" s="6"/>
      <c r="C84" s="6"/>
      <c r="D84" s="6"/>
      <c r="E84" s="6"/>
      <c r="F84" s="3"/>
      <c r="G84" s="3"/>
      <c r="H84" s="6"/>
      <c r="I84" s="3"/>
      <c r="J84" s="6"/>
      <c r="K84" s="6"/>
      <c r="L84" s="6"/>
      <c r="M84" s="6"/>
      <c r="N84" s="6"/>
      <c r="O84" s="7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ht="12.75" customHeight="1">
      <c r="A85" s="6"/>
      <c r="B85" s="6"/>
      <c r="C85" s="6"/>
      <c r="D85" s="6"/>
      <c r="E85" s="6"/>
      <c r="F85" s="3"/>
      <c r="G85" s="3"/>
      <c r="H85" s="6"/>
      <c r="I85" s="3"/>
      <c r="J85" s="6"/>
      <c r="K85" s="6"/>
      <c r="L85" s="6"/>
      <c r="M85" s="6"/>
      <c r="N85" s="6"/>
      <c r="O85" s="7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ht="12.75" customHeight="1">
      <c r="A86" s="6"/>
      <c r="B86" s="6"/>
      <c r="C86" s="6"/>
      <c r="D86" s="6"/>
      <c r="E86" s="6"/>
      <c r="F86" s="3"/>
      <c r="G86" s="3"/>
      <c r="H86" s="6"/>
      <c r="I86" s="3"/>
      <c r="J86" s="6"/>
      <c r="K86" s="6"/>
      <c r="L86" s="6"/>
      <c r="M86" s="6"/>
      <c r="N86" s="6"/>
      <c r="O86" s="7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ht="12.75" customHeight="1">
      <c r="A87" s="6"/>
      <c r="B87" s="6"/>
      <c r="C87" s="6"/>
      <c r="D87" s="6"/>
      <c r="E87" s="6"/>
      <c r="F87" s="3"/>
      <c r="G87" s="3"/>
      <c r="H87" s="6"/>
      <c r="I87" s="3"/>
      <c r="J87" s="6"/>
      <c r="K87" s="6"/>
      <c r="L87" s="6"/>
      <c r="M87" s="6"/>
      <c r="N87" s="6"/>
      <c r="O87" s="7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2.75" customHeight="1">
      <c r="A88" s="6"/>
      <c r="B88" s="6"/>
      <c r="C88" s="6"/>
      <c r="D88" s="6"/>
      <c r="E88" s="6"/>
      <c r="F88" s="3"/>
      <c r="G88" s="3"/>
      <c r="H88" s="6"/>
      <c r="I88" s="3"/>
      <c r="J88" s="6"/>
      <c r="K88" s="6"/>
      <c r="L88" s="6"/>
      <c r="M88" s="6"/>
      <c r="N88" s="6"/>
      <c r="O88" s="7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2.75" customHeight="1">
      <c r="A89" s="6"/>
      <c r="B89" s="6"/>
      <c r="C89" s="6"/>
      <c r="D89" s="6"/>
      <c r="E89" s="6"/>
      <c r="F89" s="3"/>
      <c r="G89" s="3"/>
      <c r="H89" s="6"/>
      <c r="I89" s="3"/>
      <c r="J89" s="6"/>
      <c r="K89" s="6"/>
      <c r="L89" s="6"/>
      <c r="M89" s="6"/>
      <c r="N89" s="6"/>
      <c r="O89" s="7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2.75" customHeight="1">
      <c r="A90" s="6"/>
      <c r="B90" s="6"/>
      <c r="C90" s="6"/>
      <c r="D90" s="6"/>
      <c r="E90" s="6"/>
      <c r="F90" s="3"/>
      <c r="G90" s="3"/>
      <c r="H90" s="6"/>
      <c r="I90" s="3"/>
      <c r="J90" s="6"/>
      <c r="K90" s="6"/>
      <c r="L90" s="6"/>
      <c r="M90" s="6"/>
      <c r="N90" s="6"/>
      <c r="O90" s="7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2.75" customHeight="1">
      <c r="A91" s="6"/>
      <c r="B91" s="6"/>
      <c r="C91" s="6"/>
      <c r="D91" s="6"/>
      <c r="E91" s="6"/>
      <c r="F91" s="3"/>
      <c r="G91" s="3"/>
      <c r="H91" s="6"/>
      <c r="I91" s="3"/>
      <c r="J91" s="6"/>
      <c r="K91" s="6"/>
      <c r="L91" s="6"/>
      <c r="M91" s="6"/>
      <c r="N91" s="6"/>
      <c r="O91" s="7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2.75" customHeight="1">
      <c r="A92" s="6"/>
      <c r="B92" s="6"/>
      <c r="C92" s="6"/>
      <c r="D92" s="6"/>
      <c r="E92" s="6"/>
      <c r="F92" s="3"/>
      <c r="G92" s="3"/>
      <c r="H92" s="6"/>
      <c r="I92" s="3"/>
      <c r="J92" s="6"/>
      <c r="K92" s="6"/>
      <c r="L92" s="6"/>
      <c r="M92" s="6"/>
      <c r="N92" s="6"/>
      <c r="O92" s="7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2.75" customHeight="1">
      <c r="A93" s="6"/>
      <c r="B93" s="6"/>
      <c r="C93" s="6"/>
      <c r="D93" s="6"/>
      <c r="E93" s="6"/>
      <c r="F93" s="3"/>
      <c r="G93" s="3"/>
      <c r="H93" s="6"/>
      <c r="I93" s="3"/>
      <c r="J93" s="6"/>
      <c r="K93" s="6"/>
      <c r="L93" s="6"/>
      <c r="M93" s="6"/>
      <c r="N93" s="6"/>
      <c r="O93" s="7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2.75" customHeight="1">
      <c r="A94" s="6"/>
      <c r="B94" s="6"/>
      <c r="C94" s="6"/>
      <c r="D94" s="6"/>
      <c r="E94" s="6"/>
      <c r="F94" s="3"/>
      <c r="G94" s="3"/>
      <c r="H94" s="6"/>
      <c r="I94" s="3"/>
      <c r="J94" s="6"/>
      <c r="K94" s="6"/>
      <c r="L94" s="6"/>
      <c r="M94" s="6"/>
      <c r="N94" s="6"/>
      <c r="O94" s="7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2.75" customHeight="1">
      <c r="A95" s="6"/>
      <c r="B95" s="6"/>
      <c r="C95" s="6"/>
      <c r="D95" s="6"/>
      <c r="E95" s="6"/>
      <c r="F95" s="3"/>
      <c r="G95" s="3"/>
      <c r="H95" s="6"/>
      <c r="I95" s="3"/>
      <c r="J95" s="6"/>
      <c r="K95" s="6"/>
      <c r="L95" s="6"/>
      <c r="M95" s="6"/>
      <c r="N95" s="6"/>
      <c r="O95" s="7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2.75" customHeight="1">
      <c r="A96" s="6"/>
      <c r="B96" s="6"/>
      <c r="C96" s="6"/>
      <c r="D96" s="6"/>
      <c r="E96" s="6"/>
      <c r="F96" s="3"/>
      <c r="G96" s="3"/>
      <c r="H96" s="6"/>
      <c r="I96" s="3"/>
      <c r="J96" s="6"/>
      <c r="K96" s="6"/>
      <c r="L96" s="6"/>
      <c r="M96" s="6"/>
      <c r="N96" s="6"/>
      <c r="O96" s="7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2.75" customHeight="1">
      <c r="A97" s="6"/>
      <c r="B97" s="6"/>
      <c r="C97" s="6"/>
      <c r="D97" s="6"/>
      <c r="E97" s="6"/>
      <c r="F97" s="3"/>
      <c r="G97" s="3"/>
      <c r="H97" s="6"/>
      <c r="I97" s="3"/>
      <c r="J97" s="6"/>
      <c r="K97" s="6"/>
      <c r="L97" s="6"/>
      <c r="M97" s="6"/>
      <c r="N97" s="6"/>
      <c r="O97" s="7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2.75" customHeight="1">
      <c r="A98" s="6"/>
      <c r="B98" s="6"/>
      <c r="C98" s="6"/>
      <c r="D98" s="6"/>
      <c r="E98" s="6"/>
      <c r="F98" s="3"/>
      <c r="G98" s="3"/>
      <c r="H98" s="6"/>
      <c r="I98" s="3"/>
      <c r="J98" s="6"/>
      <c r="K98" s="6"/>
      <c r="L98" s="6"/>
      <c r="M98" s="6"/>
      <c r="N98" s="6"/>
      <c r="O98" s="7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2.75" customHeight="1">
      <c r="A99" s="6"/>
      <c r="B99" s="6"/>
      <c r="C99" s="6"/>
      <c r="D99" s="6"/>
      <c r="E99" s="6"/>
      <c r="F99" s="3"/>
      <c r="G99" s="3"/>
      <c r="H99" s="6"/>
      <c r="I99" s="3"/>
      <c r="J99" s="6"/>
      <c r="K99" s="6"/>
      <c r="L99" s="6"/>
      <c r="M99" s="6"/>
      <c r="N99" s="6"/>
      <c r="O99" s="7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2.75" customHeight="1">
      <c r="A100" s="6"/>
      <c r="B100" s="6"/>
      <c r="C100" s="6"/>
      <c r="D100" s="6"/>
      <c r="E100" s="6"/>
      <c r="F100" s="3"/>
      <c r="G100" s="3"/>
      <c r="H100" s="6"/>
      <c r="I100" s="3"/>
      <c r="J100" s="6"/>
      <c r="K100" s="6"/>
      <c r="L100" s="6"/>
      <c r="M100" s="6"/>
      <c r="N100" s="6"/>
      <c r="O100" s="7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2.75" customHeight="1">
      <c r="A101" s="6"/>
      <c r="B101" s="6"/>
      <c r="C101" s="6"/>
      <c r="D101" s="6"/>
      <c r="E101" s="6"/>
      <c r="F101" s="3"/>
      <c r="G101" s="3"/>
      <c r="H101" s="6"/>
      <c r="I101" s="3"/>
      <c r="J101" s="6"/>
      <c r="K101" s="6"/>
      <c r="L101" s="6"/>
      <c r="M101" s="6"/>
      <c r="N101" s="6"/>
      <c r="O101" s="7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2.75" customHeight="1">
      <c r="A102" s="6"/>
      <c r="B102" s="6"/>
      <c r="C102" s="6"/>
      <c r="D102" s="6"/>
      <c r="E102" s="6"/>
      <c r="F102" s="3"/>
      <c r="G102" s="3"/>
      <c r="H102" s="6"/>
      <c r="I102" s="3"/>
      <c r="J102" s="6"/>
      <c r="K102" s="6"/>
      <c r="L102" s="6"/>
      <c r="M102" s="6"/>
      <c r="N102" s="6"/>
      <c r="O102" s="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2.75" customHeight="1">
      <c r="A103" s="6"/>
      <c r="B103" s="6"/>
      <c r="C103" s="6"/>
      <c r="D103" s="6"/>
      <c r="E103" s="6"/>
      <c r="F103" s="3"/>
      <c r="G103" s="3"/>
      <c r="H103" s="6"/>
      <c r="I103" s="3"/>
      <c r="J103" s="6"/>
      <c r="K103" s="6"/>
      <c r="L103" s="6"/>
      <c r="M103" s="6"/>
      <c r="N103" s="6"/>
      <c r="O103" s="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2.75" customHeight="1">
      <c r="A104" s="6"/>
      <c r="B104" s="6"/>
      <c r="C104" s="6"/>
      <c r="D104" s="6"/>
      <c r="E104" s="6"/>
      <c r="F104" s="3"/>
      <c r="G104" s="3"/>
      <c r="H104" s="6"/>
      <c r="I104" s="3"/>
      <c r="J104" s="6"/>
      <c r="K104" s="6"/>
      <c r="L104" s="6"/>
      <c r="M104" s="6"/>
      <c r="N104" s="6"/>
      <c r="O104" s="7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2.75" customHeight="1">
      <c r="A105" s="6"/>
      <c r="B105" s="6"/>
      <c r="C105" s="6"/>
      <c r="D105" s="6"/>
      <c r="E105" s="6"/>
      <c r="F105" s="3"/>
      <c r="G105" s="3"/>
      <c r="H105" s="6"/>
      <c r="I105" s="3"/>
      <c r="J105" s="6"/>
      <c r="K105" s="6"/>
      <c r="L105" s="6"/>
      <c r="M105" s="6"/>
      <c r="N105" s="6"/>
      <c r="O105" s="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2.75" customHeight="1">
      <c r="A106" s="6"/>
      <c r="B106" s="6"/>
      <c r="C106" s="6"/>
      <c r="D106" s="6"/>
      <c r="E106" s="6"/>
      <c r="F106" s="3"/>
      <c r="G106" s="3"/>
      <c r="H106" s="6"/>
      <c r="I106" s="3"/>
      <c r="J106" s="6"/>
      <c r="K106" s="6"/>
      <c r="L106" s="6"/>
      <c r="M106" s="6"/>
      <c r="N106" s="6"/>
      <c r="O106" s="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2.75" customHeight="1">
      <c r="A107" s="6"/>
      <c r="B107" s="6"/>
      <c r="C107" s="6"/>
      <c r="D107" s="6"/>
      <c r="E107" s="6"/>
      <c r="F107" s="3"/>
      <c r="G107" s="3"/>
      <c r="H107" s="6"/>
      <c r="I107" s="3"/>
      <c r="J107" s="6"/>
      <c r="K107" s="6"/>
      <c r="L107" s="6"/>
      <c r="M107" s="6"/>
      <c r="N107" s="6"/>
      <c r="O107" s="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2.75" customHeight="1">
      <c r="A108" s="6"/>
      <c r="B108" s="6"/>
      <c r="C108" s="6"/>
      <c r="D108" s="6"/>
      <c r="E108" s="6"/>
      <c r="F108" s="3"/>
      <c r="G108" s="3"/>
      <c r="H108" s="6"/>
      <c r="I108" s="3"/>
      <c r="J108" s="6"/>
      <c r="K108" s="6"/>
      <c r="L108" s="6"/>
      <c r="M108" s="6"/>
      <c r="N108" s="6"/>
      <c r="O108" s="7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2.75" customHeight="1">
      <c r="A109" s="6"/>
      <c r="B109" s="6"/>
      <c r="C109" s="6"/>
      <c r="D109" s="6"/>
      <c r="E109" s="6"/>
      <c r="F109" s="3"/>
      <c r="G109" s="3"/>
      <c r="H109" s="6"/>
      <c r="I109" s="3"/>
      <c r="J109" s="6"/>
      <c r="K109" s="6"/>
      <c r="L109" s="6"/>
      <c r="M109" s="6"/>
      <c r="N109" s="6"/>
      <c r="O109" s="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2.75" customHeight="1">
      <c r="A110" s="6"/>
      <c r="B110" s="6"/>
      <c r="C110" s="6"/>
      <c r="D110" s="6"/>
      <c r="E110" s="6"/>
      <c r="F110" s="3"/>
      <c r="G110" s="3"/>
      <c r="H110" s="6"/>
      <c r="I110" s="3"/>
      <c r="J110" s="6"/>
      <c r="K110" s="6"/>
      <c r="L110" s="6"/>
      <c r="M110" s="6"/>
      <c r="N110" s="6"/>
      <c r="O110" s="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2.75" customHeight="1">
      <c r="A111" s="6"/>
      <c r="B111" s="6"/>
      <c r="C111" s="6"/>
      <c r="D111" s="6"/>
      <c r="E111" s="6"/>
      <c r="F111" s="3"/>
      <c r="G111" s="3"/>
      <c r="H111" s="6"/>
      <c r="I111" s="3"/>
      <c r="J111" s="6"/>
      <c r="K111" s="6"/>
      <c r="L111" s="6"/>
      <c r="M111" s="6"/>
      <c r="N111" s="6"/>
      <c r="O111" s="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2.75" customHeight="1">
      <c r="A112" s="6"/>
      <c r="B112" s="6"/>
      <c r="C112" s="6"/>
      <c r="D112" s="6"/>
      <c r="E112" s="6"/>
      <c r="F112" s="3"/>
      <c r="G112" s="3"/>
      <c r="H112" s="6"/>
      <c r="I112" s="3"/>
      <c r="J112" s="6"/>
      <c r="K112" s="6"/>
      <c r="L112" s="6"/>
      <c r="M112" s="6"/>
      <c r="N112" s="6"/>
      <c r="O112" s="7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2.75" customHeight="1">
      <c r="A113" s="6"/>
      <c r="B113" s="6"/>
      <c r="C113" s="6"/>
      <c r="D113" s="6"/>
      <c r="E113" s="6"/>
      <c r="F113" s="3"/>
      <c r="G113" s="3"/>
      <c r="H113" s="6"/>
      <c r="I113" s="3"/>
      <c r="J113" s="6"/>
      <c r="K113" s="6"/>
      <c r="L113" s="6"/>
      <c r="M113" s="6"/>
      <c r="N113" s="6"/>
      <c r="O113" s="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2.75" customHeight="1">
      <c r="A114" s="6"/>
      <c r="B114" s="6"/>
      <c r="C114" s="6"/>
      <c r="D114" s="6"/>
      <c r="E114" s="6"/>
      <c r="F114" s="3"/>
      <c r="G114" s="3"/>
      <c r="H114" s="6"/>
      <c r="I114" s="3"/>
      <c r="J114" s="6"/>
      <c r="K114" s="6"/>
      <c r="L114" s="6"/>
      <c r="M114" s="6"/>
      <c r="N114" s="6"/>
      <c r="O114" s="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2.75" customHeight="1">
      <c r="A115" s="6"/>
      <c r="B115" s="6"/>
      <c r="C115" s="6"/>
      <c r="D115" s="6"/>
      <c r="E115" s="6"/>
      <c r="F115" s="3"/>
      <c r="G115" s="3"/>
      <c r="H115" s="6"/>
      <c r="I115" s="3"/>
      <c r="J115" s="6"/>
      <c r="K115" s="6"/>
      <c r="L115" s="6"/>
      <c r="M115" s="6"/>
      <c r="N115" s="6"/>
      <c r="O115" s="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2.75" customHeight="1">
      <c r="A116" s="6"/>
      <c r="B116" s="6"/>
      <c r="C116" s="6"/>
      <c r="D116" s="6"/>
      <c r="E116" s="6"/>
      <c r="F116" s="3"/>
      <c r="G116" s="3"/>
      <c r="H116" s="6"/>
      <c r="I116" s="3"/>
      <c r="J116" s="6"/>
      <c r="K116" s="6"/>
      <c r="L116" s="6"/>
      <c r="M116" s="6"/>
      <c r="N116" s="6"/>
      <c r="O116" s="7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2.75" customHeight="1">
      <c r="A117" s="6"/>
      <c r="B117" s="6"/>
      <c r="C117" s="6"/>
      <c r="D117" s="6"/>
      <c r="E117" s="6"/>
      <c r="F117" s="3"/>
      <c r="G117" s="3"/>
      <c r="H117" s="6"/>
      <c r="I117" s="3"/>
      <c r="J117" s="6"/>
      <c r="K117" s="6"/>
      <c r="L117" s="6"/>
      <c r="M117" s="6"/>
      <c r="N117" s="6"/>
      <c r="O117" s="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2.75" customHeight="1">
      <c r="A118" s="6"/>
      <c r="B118" s="6"/>
      <c r="C118" s="6"/>
      <c r="D118" s="6"/>
      <c r="E118" s="6"/>
      <c r="F118" s="3"/>
      <c r="G118" s="3"/>
      <c r="H118" s="6"/>
      <c r="I118" s="3"/>
      <c r="J118" s="6"/>
      <c r="K118" s="6"/>
      <c r="L118" s="6"/>
      <c r="M118" s="6"/>
      <c r="N118" s="6"/>
      <c r="O118" s="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2.75" customHeight="1">
      <c r="A119" s="6"/>
      <c r="B119" s="6"/>
      <c r="C119" s="6"/>
      <c r="D119" s="6"/>
      <c r="E119" s="6"/>
      <c r="F119" s="3"/>
      <c r="G119" s="3"/>
      <c r="H119" s="6"/>
      <c r="I119" s="3"/>
      <c r="J119" s="6"/>
      <c r="K119" s="6"/>
      <c r="L119" s="6"/>
      <c r="M119" s="6"/>
      <c r="N119" s="6"/>
      <c r="O119" s="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2.75" customHeight="1">
      <c r="A120" s="6"/>
      <c r="B120" s="6"/>
      <c r="C120" s="6"/>
      <c r="D120" s="6"/>
      <c r="E120" s="6"/>
      <c r="F120" s="3"/>
      <c r="G120" s="3"/>
      <c r="H120" s="6"/>
      <c r="I120" s="3"/>
      <c r="J120" s="6"/>
      <c r="K120" s="6"/>
      <c r="L120" s="6"/>
      <c r="M120" s="6"/>
      <c r="N120" s="6"/>
      <c r="O120" s="7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2.75" customHeight="1">
      <c r="A121" s="6"/>
      <c r="B121" s="6"/>
      <c r="C121" s="6"/>
      <c r="D121" s="6"/>
      <c r="E121" s="6"/>
      <c r="F121" s="3"/>
      <c r="G121" s="3"/>
      <c r="H121" s="6"/>
      <c r="I121" s="3"/>
      <c r="J121" s="6"/>
      <c r="K121" s="6"/>
      <c r="L121" s="6"/>
      <c r="M121" s="6"/>
      <c r="N121" s="6"/>
      <c r="O121" s="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2.75" customHeight="1">
      <c r="A122" s="6"/>
      <c r="B122" s="6"/>
      <c r="C122" s="6"/>
      <c r="D122" s="6"/>
      <c r="E122" s="6"/>
      <c r="F122" s="3"/>
      <c r="G122" s="3"/>
      <c r="H122" s="6"/>
      <c r="I122" s="3"/>
      <c r="J122" s="6"/>
      <c r="K122" s="6"/>
      <c r="L122" s="6"/>
      <c r="M122" s="6"/>
      <c r="N122" s="6"/>
      <c r="O122" s="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2.75" customHeight="1">
      <c r="A123" s="6"/>
      <c r="B123" s="6"/>
      <c r="C123" s="6"/>
      <c r="D123" s="6"/>
      <c r="E123" s="6"/>
      <c r="F123" s="3"/>
      <c r="G123" s="3"/>
      <c r="H123" s="6"/>
      <c r="I123" s="3"/>
      <c r="J123" s="6"/>
      <c r="K123" s="6"/>
      <c r="L123" s="6"/>
      <c r="M123" s="6"/>
      <c r="N123" s="6"/>
      <c r="O123" s="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2.75" customHeight="1">
      <c r="A124" s="6"/>
      <c r="B124" s="6"/>
      <c r="C124" s="6"/>
      <c r="D124" s="6"/>
      <c r="E124" s="6"/>
      <c r="F124" s="3"/>
      <c r="G124" s="3"/>
      <c r="H124" s="6"/>
      <c r="I124" s="3"/>
      <c r="J124" s="6"/>
      <c r="K124" s="6"/>
      <c r="L124" s="6"/>
      <c r="M124" s="6"/>
      <c r="N124" s="6"/>
      <c r="O124" s="7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2.75" customHeight="1">
      <c r="A125" s="6"/>
      <c r="B125" s="6"/>
      <c r="C125" s="6"/>
      <c r="D125" s="6"/>
      <c r="E125" s="6"/>
      <c r="F125" s="3"/>
      <c r="G125" s="3"/>
      <c r="H125" s="6"/>
      <c r="I125" s="3"/>
      <c r="J125" s="6"/>
      <c r="K125" s="6"/>
      <c r="L125" s="6"/>
      <c r="M125" s="6"/>
      <c r="N125" s="6"/>
      <c r="O125" s="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2.75" customHeight="1">
      <c r="A126" s="6"/>
      <c r="B126" s="6"/>
      <c r="C126" s="6"/>
      <c r="D126" s="6"/>
      <c r="E126" s="6"/>
      <c r="F126" s="3"/>
      <c r="G126" s="3"/>
      <c r="H126" s="6"/>
      <c r="I126" s="3"/>
      <c r="J126" s="6"/>
      <c r="K126" s="6"/>
      <c r="L126" s="6"/>
      <c r="M126" s="6"/>
      <c r="N126" s="6"/>
      <c r="O126" s="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2.75" customHeight="1">
      <c r="A127" s="6"/>
      <c r="B127" s="6"/>
      <c r="C127" s="6"/>
      <c r="D127" s="6"/>
      <c r="E127" s="6"/>
      <c r="F127" s="3"/>
      <c r="G127" s="3"/>
      <c r="H127" s="6"/>
      <c r="I127" s="3"/>
      <c r="J127" s="6"/>
      <c r="K127" s="6"/>
      <c r="L127" s="6"/>
      <c r="M127" s="6"/>
      <c r="N127" s="6"/>
      <c r="O127" s="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2.75" customHeight="1">
      <c r="A128" s="6"/>
      <c r="B128" s="6"/>
      <c r="C128" s="6"/>
      <c r="D128" s="6"/>
      <c r="E128" s="6"/>
      <c r="F128" s="3"/>
      <c r="G128" s="3"/>
      <c r="H128" s="6"/>
      <c r="I128" s="3"/>
      <c r="J128" s="6"/>
      <c r="K128" s="6"/>
      <c r="L128" s="6"/>
      <c r="M128" s="6"/>
      <c r="N128" s="6"/>
      <c r="O128" s="7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2.75" customHeight="1">
      <c r="A129" s="6"/>
      <c r="B129" s="6"/>
      <c r="C129" s="6"/>
      <c r="D129" s="6"/>
      <c r="E129" s="6"/>
      <c r="F129" s="3"/>
      <c r="G129" s="3"/>
      <c r="H129" s="6"/>
      <c r="I129" s="3"/>
      <c r="J129" s="6"/>
      <c r="K129" s="6"/>
      <c r="L129" s="6"/>
      <c r="M129" s="6"/>
      <c r="N129" s="6"/>
      <c r="O129" s="7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2.75" customHeight="1">
      <c r="A130" s="6"/>
      <c r="B130" s="6"/>
      <c r="C130" s="6"/>
      <c r="D130" s="6"/>
      <c r="E130" s="6"/>
      <c r="F130" s="3"/>
      <c r="G130" s="3"/>
      <c r="H130" s="6"/>
      <c r="I130" s="3"/>
      <c r="J130" s="6"/>
      <c r="K130" s="6"/>
      <c r="L130" s="6"/>
      <c r="M130" s="6"/>
      <c r="N130" s="6"/>
      <c r="O130" s="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2.75" customHeight="1">
      <c r="A131" s="6"/>
      <c r="B131" s="6"/>
      <c r="C131" s="6"/>
      <c r="D131" s="6"/>
      <c r="E131" s="6"/>
      <c r="F131" s="3"/>
      <c r="G131" s="3"/>
      <c r="H131" s="6"/>
      <c r="I131" s="3"/>
      <c r="J131" s="6"/>
      <c r="K131" s="6"/>
      <c r="L131" s="6"/>
      <c r="M131" s="6"/>
      <c r="N131" s="6"/>
      <c r="O131" s="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2.75" customHeight="1">
      <c r="A132" s="6"/>
      <c r="B132" s="6"/>
      <c r="C132" s="6"/>
      <c r="D132" s="6"/>
      <c r="E132" s="6"/>
      <c r="F132" s="3"/>
      <c r="G132" s="3"/>
      <c r="H132" s="6"/>
      <c r="I132" s="3"/>
      <c r="J132" s="6"/>
      <c r="K132" s="6"/>
      <c r="L132" s="6"/>
      <c r="M132" s="6"/>
      <c r="N132" s="6"/>
      <c r="O132" s="7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2.75" customHeight="1">
      <c r="A133" s="6"/>
      <c r="B133" s="6"/>
      <c r="C133" s="6"/>
      <c r="D133" s="6"/>
      <c r="E133" s="6"/>
      <c r="F133" s="3"/>
      <c r="G133" s="3"/>
      <c r="H133" s="6"/>
      <c r="I133" s="3"/>
      <c r="J133" s="6"/>
      <c r="K133" s="6"/>
      <c r="L133" s="6"/>
      <c r="M133" s="6"/>
      <c r="N133" s="6"/>
      <c r="O133" s="7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2.75" customHeight="1">
      <c r="A134" s="6"/>
      <c r="B134" s="6"/>
      <c r="C134" s="6"/>
      <c r="D134" s="6"/>
      <c r="E134" s="6"/>
      <c r="F134" s="3"/>
      <c r="G134" s="3"/>
      <c r="H134" s="6"/>
      <c r="I134" s="3"/>
      <c r="J134" s="6"/>
      <c r="K134" s="6"/>
      <c r="L134" s="6"/>
      <c r="M134" s="6"/>
      <c r="N134" s="6"/>
      <c r="O134" s="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2.75" customHeight="1">
      <c r="A135" s="6"/>
      <c r="B135" s="6"/>
      <c r="C135" s="6"/>
      <c r="D135" s="6"/>
      <c r="E135" s="6"/>
      <c r="F135" s="3"/>
      <c r="G135" s="3"/>
      <c r="H135" s="6"/>
      <c r="I135" s="3"/>
      <c r="J135" s="6"/>
      <c r="K135" s="6"/>
      <c r="L135" s="6"/>
      <c r="M135" s="6"/>
      <c r="N135" s="6"/>
      <c r="O135" s="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2.75" customHeight="1">
      <c r="A136" s="6"/>
      <c r="B136" s="6"/>
      <c r="C136" s="6"/>
      <c r="D136" s="6"/>
      <c r="E136" s="6"/>
      <c r="F136" s="3"/>
      <c r="G136" s="3"/>
      <c r="H136" s="6"/>
      <c r="I136" s="3"/>
      <c r="J136" s="6"/>
      <c r="K136" s="6"/>
      <c r="L136" s="6"/>
      <c r="M136" s="6"/>
      <c r="N136" s="6"/>
      <c r="O136" s="7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2.75" customHeight="1">
      <c r="A137" s="6"/>
      <c r="B137" s="6"/>
      <c r="C137" s="6"/>
      <c r="D137" s="6"/>
      <c r="E137" s="6"/>
      <c r="F137" s="3"/>
      <c r="G137" s="3"/>
      <c r="H137" s="6"/>
      <c r="I137" s="3"/>
      <c r="J137" s="6"/>
      <c r="K137" s="6"/>
      <c r="L137" s="6"/>
      <c r="M137" s="6"/>
      <c r="N137" s="6"/>
      <c r="O137" s="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2.75" customHeight="1">
      <c r="A138" s="6"/>
      <c r="B138" s="6"/>
      <c r="C138" s="6"/>
      <c r="D138" s="6"/>
      <c r="E138" s="6"/>
      <c r="F138" s="3"/>
      <c r="G138" s="3"/>
      <c r="H138" s="6"/>
      <c r="I138" s="3"/>
      <c r="J138" s="6"/>
      <c r="K138" s="6"/>
      <c r="L138" s="6"/>
      <c r="M138" s="6"/>
      <c r="N138" s="6"/>
      <c r="O138" s="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2.75" customHeight="1">
      <c r="A139" s="6"/>
      <c r="B139" s="6"/>
      <c r="C139" s="6"/>
      <c r="D139" s="6"/>
      <c r="E139" s="6"/>
      <c r="F139" s="3"/>
      <c r="G139" s="3"/>
      <c r="H139" s="6"/>
      <c r="I139" s="3"/>
      <c r="J139" s="6"/>
      <c r="K139" s="6"/>
      <c r="L139" s="6"/>
      <c r="M139" s="6"/>
      <c r="N139" s="6"/>
      <c r="O139" s="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2.75" customHeight="1">
      <c r="A140" s="6"/>
      <c r="B140" s="6"/>
      <c r="C140" s="6"/>
      <c r="D140" s="6"/>
      <c r="E140" s="6"/>
      <c r="F140" s="3"/>
      <c r="G140" s="3"/>
      <c r="H140" s="6"/>
      <c r="I140" s="3"/>
      <c r="J140" s="6"/>
      <c r="K140" s="6"/>
      <c r="L140" s="6"/>
      <c r="M140" s="6"/>
      <c r="N140" s="6"/>
      <c r="O140" s="7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2.75" customHeight="1">
      <c r="A141" s="6"/>
      <c r="B141" s="6"/>
      <c r="C141" s="6"/>
      <c r="D141" s="6"/>
      <c r="E141" s="6"/>
      <c r="F141" s="3"/>
      <c r="G141" s="3"/>
      <c r="H141" s="6"/>
      <c r="I141" s="3"/>
      <c r="J141" s="6"/>
      <c r="K141" s="6"/>
      <c r="L141" s="6"/>
      <c r="M141" s="6"/>
      <c r="N141" s="6"/>
      <c r="O141" s="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2.75" customHeight="1">
      <c r="A142" s="6"/>
      <c r="B142" s="6"/>
      <c r="C142" s="6"/>
      <c r="D142" s="6"/>
      <c r="E142" s="6"/>
      <c r="F142" s="3"/>
      <c r="G142" s="3"/>
      <c r="H142" s="6"/>
      <c r="I142" s="3"/>
      <c r="J142" s="6"/>
      <c r="K142" s="6"/>
      <c r="L142" s="6"/>
      <c r="M142" s="6"/>
      <c r="N142" s="6"/>
      <c r="O142" s="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2.75" customHeight="1">
      <c r="A143" s="6"/>
      <c r="B143" s="6"/>
      <c r="C143" s="6"/>
      <c r="D143" s="6"/>
      <c r="E143" s="6"/>
      <c r="F143" s="3"/>
      <c r="G143" s="3"/>
      <c r="H143" s="6"/>
      <c r="I143" s="3"/>
      <c r="J143" s="6"/>
      <c r="K143" s="6"/>
      <c r="L143" s="6"/>
      <c r="M143" s="6"/>
      <c r="N143" s="6"/>
      <c r="O143" s="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2.75" customHeight="1">
      <c r="A144" s="6"/>
      <c r="B144" s="6"/>
      <c r="C144" s="6"/>
      <c r="D144" s="6"/>
      <c r="E144" s="6"/>
      <c r="F144" s="3"/>
      <c r="G144" s="3"/>
      <c r="H144" s="6"/>
      <c r="I144" s="3"/>
      <c r="J144" s="6"/>
      <c r="K144" s="6"/>
      <c r="L144" s="6"/>
      <c r="M144" s="6"/>
      <c r="N144" s="6"/>
      <c r="O144" s="7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2.75" customHeight="1">
      <c r="A145" s="6"/>
      <c r="B145" s="6"/>
      <c r="C145" s="6"/>
      <c r="D145" s="6"/>
      <c r="E145" s="6"/>
      <c r="F145" s="3"/>
      <c r="G145" s="3"/>
      <c r="H145" s="6"/>
      <c r="I145" s="3"/>
      <c r="J145" s="6"/>
      <c r="K145" s="6"/>
      <c r="L145" s="6"/>
      <c r="M145" s="6"/>
      <c r="N145" s="6"/>
      <c r="O145" s="7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2.75" customHeight="1">
      <c r="A146" s="6"/>
      <c r="B146" s="6"/>
      <c r="C146" s="6"/>
      <c r="D146" s="6"/>
      <c r="E146" s="6"/>
      <c r="F146" s="3"/>
      <c r="G146" s="3"/>
      <c r="H146" s="6"/>
      <c r="I146" s="3"/>
      <c r="J146" s="6"/>
      <c r="K146" s="6"/>
      <c r="L146" s="6"/>
      <c r="M146" s="6"/>
      <c r="N146" s="6"/>
      <c r="O146" s="7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2.75" customHeight="1">
      <c r="A147" s="6"/>
      <c r="B147" s="6"/>
      <c r="C147" s="6"/>
      <c r="D147" s="6"/>
      <c r="E147" s="6"/>
      <c r="F147" s="3"/>
      <c r="G147" s="3"/>
      <c r="H147" s="6"/>
      <c r="I147" s="3"/>
      <c r="J147" s="6"/>
      <c r="K147" s="6"/>
      <c r="L147" s="6"/>
      <c r="M147" s="6"/>
      <c r="N147" s="6"/>
      <c r="O147" s="7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2.75" customHeight="1">
      <c r="A148" s="6"/>
      <c r="B148" s="6"/>
      <c r="C148" s="6"/>
      <c r="D148" s="6"/>
      <c r="E148" s="6"/>
      <c r="F148" s="3"/>
      <c r="G148" s="3"/>
      <c r="H148" s="6"/>
      <c r="I148" s="3"/>
      <c r="J148" s="6"/>
      <c r="K148" s="6"/>
      <c r="L148" s="6"/>
      <c r="M148" s="6"/>
      <c r="N148" s="6"/>
      <c r="O148" s="7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2.75" customHeight="1">
      <c r="A149" s="6"/>
      <c r="B149" s="6"/>
      <c r="C149" s="6"/>
      <c r="D149" s="6"/>
      <c r="E149" s="6"/>
      <c r="F149" s="3"/>
      <c r="G149" s="3"/>
      <c r="H149" s="6"/>
      <c r="I149" s="3"/>
      <c r="J149" s="6"/>
      <c r="K149" s="6"/>
      <c r="L149" s="6"/>
      <c r="M149" s="6"/>
      <c r="N149" s="6"/>
      <c r="O149" s="7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2.75" customHeight="1">
      <c r="A150" s="6"/>
      <c r="B150" s="6"/>
      <c r="C150" s="6"/>
      <c r="D150" s="6"/>
      <c r="E150" s="6"/>
      <c r="F150" s="3"/>
      <c r="G150" s="3"/>
      <c r="H150" s="6"/>
      <c r="I150" s="3"/>
      <c r="J150" s="6"/>
      <c r="K150" s="6"/>
      <c r="L150" s="6"/>
      <c r="M150" s="6"/>
      <c r="N150" s="6"/>
      <c r="O150" s="7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2.75" customHeight="1">
      <c r="A151" s="6"/>
      <c r="B151" s="6"/>
      <c r="C151" s="6"/>
      <c r="D151" s="6"/>
      <c r="E151" s="6"/>
      <c r="F151" s="3"/>
      <c r="G151" s="3"/>
      <c r="H151" s="6"/>
      <c r="I151" s="3"/>
      <c r="J151" s="6"/>
      <c r="K151" s="6"/>
      <c r="L151" s="6"/>
      <c r="M151" s="6"/>
      <c r="N151" s="6"/>
      <c r="O151" s="7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2.75" customHeight="1">
      <c r="A152" s="6"/>
      <c r="B152" s="6"/>
      <c r="C152" s="6"/>
      <c r="D152" s="6"/>
      <c r="E152" s="6"/>
      <c r="F152" s="3"/>
      <c r="G152" s="3"/>
      <c r="H152" s="6"/>
      <c r="I152" s="3"/>
      <c r="J152" s="6"/>
      <c r="K152" s="6"/>
      <c r="L152" s="6"/>
      <c r="M152" s="6"/>
      <c r="N152" s="6"/>
      <c r="O152" s="7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2.75" customHeight="1">
      <c r="A153" s="6"/>
      <c r="B153" s="6"/>
      <c r="C153" s="6"/>
      <c r="D153" s="6"/>
      <c r="E153" s="6"/>
      <c r="F153" s="3"/>
      <c r="G153" s="3"/>
      <c r="H153" s="6"/>
      <c r="I153" s="3"/>
      <c r="J153" s="6"/>
      <c r="K153" s="6"/>
      <c r="L153" s="6"/>
      <c r="M153" s="6"/>
      <c r="N153" s="6"/>
      <c r="O153" s="7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2.75" customHeight="1">
      <c r="A154" s="6"/>
      <c r="B154" s="6"/>
      <c r="C154" s="6"/>
      <c r="D154" s="6"/>
      <c r="E154" s="6"/>
      <c r="F154" s="3"/>
      <c r="G154" s="3"/>
      <c r="H154" s="6"/>
      <c r="I154" s="3"/>
      <c r="J154" s="6"/>
      <c r="K154" s="6"/>
      <c r="L154" s="6"/>
      <c r="M154" s="6"/>
      <c r="N154" s="6"/>
      <c r="O154" s="7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2.75" customHeight="1">
      <c r="A155" s="6"/>
      <c r="B155" s="6"/>
      <c r="C155" s="6"/>
      <c r="D155" s="6"/>
      <c r="E155" s="6"/>
      <c r="F155" s="3"/>
      <c r="G155" s="3"/>
      <c r="H155" s="6"/>
      <c r="I155" s="3"/>
      <c r="J155" s="6"/>
      <c r="K155" s="6"/>
      <c r="L155" s="6"/>
      <c r="M155" s="6"/>
      <c r="N155" s="6"/>
      <c r="O155" s="7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2.75" customHeight="1">
      <c r="A156" s="6"/>
      <c r="B156" s="6"/>
      <c r="C156" s="6"/>
      <c r="D156" s="6"/>
      <c r="E156" s="6"/>
      <c r="F156" s="3"/>
      <c r="G156" s="3"/>
      <c r="H156" s="6"/>
      <c r="I156" s="3"/>
      <c r="J156" s="6"/>
      <c r="K156" s="6"/>
      <c r="L156" s="6"/>
      <c r="M156" s="6"/>
      <c r="N156" s="6"/>
      <c r="O156" s="7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2.75" customHeight="1">
      <c r="A157" s="6"/>
      <c r="B157" s="6"/>
      <c r="C157" s="6"/>
      <c r="D157" s="6"/>
      <c r="E157" s="6"/>
      <c r="F157" s="3"/>
      <c r="G157" s="3"/>
      <c r="H157" s="6"/>
      <c r="I157" s="3"/>
      <c r="J157" s="6"/>
      <c r="K157" s="6"/>
      <c r="L157" s="6"/>
      <c r="M157" s="6"/>
      <c r="N157" s="6"/>
      <c r="O157" s="7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ht="12.75" customHeight="1">
      <c r="A158" s="6"/>
      <c r="B158" s="6"/>
      <c r="C158" s="6"/>
      <c r="D158" s="6"/>
      <c r="E158" s="6"/>
      <c r="F158" s="3"/>
      <c r="G158" s="3"/>
      <c r="H158" s="6"/>
      <c r="I158" s="3"/>
      <c r="J158" s="6"/>
      <c r="K158" s="6"/>
      <c r="L158" s="6"/>
      <c r="M158" s="6"/>
      <c r="N158" s="6"/>
      <c r="O158" s="7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ht="12.75" customHeight="1">
      <c r="A159" s="6"/>
      <c r="B159" s="6"/>
      <c r="C159" s="6"/>
      <c r="D159" s="6"/>
      <c r="E159" s="6"/>
      <c r="F159" s="3"/>
      <c r="G159" s="3"/>
      <c r="H159" s="6"/>
      <c r="I159" s="3"/>
      <c r="J159" s="6"/>
      <c r="K159" s="6"/>
      <c r="L159" s="6"/>
      <c r="M159" s="6"/>
      <c r="N159" s="6"/>
      <c r="O159" s="7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ht="12.75" customHeight="1">
      <c r="A160" s="6"/>
      <c r="B160" s="6"/>
      <c r="C160" s="6"/>
      <c r="D160" s="6"/>
      <c r="E160" s="6"/>
      <c r="F160" s="3"/>
      <c r="G160" s="3"/>
      <c r="H160" s="6"/>
      <c r="I160" s="3"/>
      <c r="J160" s="6"/>
      <c r="K160" s="6"/>
      <c r="L160" s="6"/>
      <c r="M160" s="6"/>
      <c r="N160" s="6"/>
      <c r="O160" s="7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ht="12.75" customHeight="1">
      <c r="A161" s="6"/>
      <c r="B161" s="6"/>
      <c r="C161" s="6"/>
      <c r="D161" s="6"/>
      <c r="E161" s="6"/>
      <c r="F161" s="3"/>
      <c r="G161" s="3"/>
      <c r="H161" s="6"/>
      <c r="I161" s="3"/>
      <c r="J161" s="6"/>
      <c r="K161" s="6"/>
      <c r="L161" s="6"/>
      <c r="M161" s="6"/>
      <c r="N161" s="6"/>
      <c r="O161" s="7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ht="12.75" customHeight="1">
      <c r="A162" s="6"/>
      <c r="B162" s="6"/>
      <c r="C162" s="6"/>
      <c r="D162" s="6"/>
      <c r="E162" s="6"/>
      <c r="F162" s="3"/>
      <c r="G162" s="3"/>
      <c r="H162" s="6"/>
      <c r="I162" s="3"/>
      <c r="J162" s="6"/>
      <c r="K162" s="6"/>
      <c r="L162" s="6"/>
      <c r="M162" s="6"/>
      <c r="N162" s="6"/>
      <c r="O162" s="7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ht="12.75" customHeight="1">
      <c r="A163" s="6"/>
      <c r="B163" s="6"/>
      <c r="C163" s="6"/>
      <c r="D163" s="6"/>
      <c r="E163" s="6"/>
      <c r="F163" s="3"/>
      <c r="G163" s="3"/>
      <c r="H163" s="6"/>
      <c r="I163" s="3"/>
      <c r="J163" s="6"/>
      <c r="K163" s="6"/>
      <c r="L163" s="6"/>
      <c r="M163" s="6"/>
      <c r="N163" s="6"/>
      <c r="O163" s="7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ht="12.75" customHeight="1">
      <c r="A164" s="6"/>
      <c r="B164" s="6"/>
      <c r="C164" s="6"/>
      <c r="D164" s="6"/>
      <c r="E164" s="6"/>
      <c r="F164" s="3"/>
      <c r="G164" s="3"/>
      <c r="H164" s="6"/>
      <c r="I164" s="3"/>
      <c r="J164" s="6"/>
      <c r="K164" s="6"/>
      <c r="L164" s="6"/>
      <c r="M164" s="6"/>
      <c r="N164" s="6"/>
      <c r="O164" s="7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ht="12.75" customHeight="1">
      <c r="A165" s="6"/>
      <c r="B165" s="6"/>
      <c r="C165" s="6"/>
      <c r="D165" s="6"/>
      <c r="E165" s="6"/>
      <c r="F165" s="3"/>
      <c r="G165" s="3"/>
      <c r="H165" s="6"/>
      <c r="I165" s="3"/>
      <c r="J165" s="6"/>
      <c r="K165" s="6"/>
      <c r="L165" s="6"/>
      <c r="M165" s="6"/>
      <c r="N165" s="6"/>
      <c r="O165" s="7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ht="12.75" customHeight="1">
      <c r="A166" s="6"/>
      <c r="B166" s="6"/>
      <c r="C166" s="6"/>
      <c r="D166" s="6"/>
      <c r="E166" s="6"/>
      <c r="F166" s="3"/>
      <c r="G166" s="3"/>
      <c r="H166" s="6"/>
      <c r="I166" s="3"/>
      <c r="J166" s="6"/>
      <c r="K166" s="6"/>
      <c r="L166" s="6"/>
      <c r="M166" s="6"/>
      <c r="N166" s="6"/>
      <c r="O166" s="7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ht="12.75" customHeight="1">
      <c r="A167" s="6"/>
      <c r="B167" s="6"/>
      <c r="C167" s="6"/>
      <c r="D167" s="6"/>
      <c r="E167" s="6"/>
      <c r="F167" s="3"/>
      <c r="G167" s="3"/>
      <c r="H167" s="6"/>
      <c r="I167" s="3"/>
      <c r="J167" s="6"/>
      <c r="K167" s="6"/>
      <c r="L167" s="6"/>
      <c r="M167" s="6"/>
      <c r="N167" s="6"/>
      <c r="O167" s="7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ht="12.75" customHeight="1">
      <c r="A168" s="6"/>
      <c r="B168" s="6"/>
      <c r="C168" s="6"/>
      <c r="D168" s="6"/>
      <c r="E168" s="6"/>
      <c r="F168" s="3"/>
      <c r="G168" s="3"/>
      <c r="H168" s="6"/>
      <c r="I168" s="3"/>
      <c r="J168" s="6"/>
      <c r="K168" s="6"/>
      <c r="L168" s="6"/>
      <c r="M168" s="6"/>
      <c r="N168" s="6"/>
      <c r="O168" s="7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ht="12.75" customHeight="1">
      <c r="A169" s="6"/>
      <c r="B169" s="6"/>
      <c r="C169" s="6"/>
      <c r="D169" s="6"/>
      <c r="E169" s="6"/>
      <c r="F169" s="3"/>
      <c r="G169" s="3"/>
      <c r="H169" s="6"/>
      <c r="I169" s="3"/>
      <c r="J169" s="6"/>
      <c r="K169" s="6"/>
      <c r="L169" s="6"/>
      <c r="M169" s="6"/>
      <c r="N169" s="6"/>
      <c r="O169" s="7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ht="12.75" customHeight="1">
      <c r="A170" s="6"/>
      <c r="B170" s="6"/>
      <c r="C170" s="6"/>
      <c r="D170" s="6"/>
      <c r="E170" s="6"/>
      <c r="F170" s="3"/>
      <c r="G170" s="3"/>
      <c r="H170" s="6"/>
      <c r="I170" s="3"/>
      <c r="J170" s="6"/>
      <c r="K170" s="6"/>
      <c r="L170" s="6"/>
      <c r="M170" s="6"/>
      <c r="N170" s="6"/>
      <c r="O170" s="7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ht="12.75" customHeight="1">
      <c r="A171" s="6"/>
      <c r="B171" s="6"/>
      <c r="C171" s="6"/>
      <c r="D171" s="6"/>
      <c r="E171" s="6"/>
      <c r="F171" s="3"/>
      <c r="G171" s="3"/>
      <c r="H171" s="6"/>
      <c r="I171" s="3"/>
      <c r="J171" s="6"/>
      <c r="K171" s="6"/>
      <c r="L171" s="6"/>
      <c r="M171" s="6"/>
      <c r="N171" s="6"/>
      <c r="O171" s="7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ht="12.75" customHeight="1">
      <c r="A172" s="6"/>
      <c r="B172" s="6"/>
      <c r="C172" s="6"/>
      <c r="D172" s="6"/>
      <c r="E172" s="6"/>
      <c r="F172" s="3"/>
      <c r="G172" s="3"/>
      <c r="H172" s="6"/>
      <c r="I172" s="3"/>
      <c r="J172" s="6"/>
      <c r="K172" s="6"/>
      <c r="L172" s="6"/>
      <c r="M172" s="6"/>
      <c r="N172" s="6"/>
      <c r="O172" s="7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ht="12.75" customHeight="1">
      <c r="A173" s="6"/>
      <c r="B173" s="6"/>
      <c r="C173" s="6"/>
      <c r="D173" s="6"/>
      <c r="E173" s="6"/>
      <c r="F173" s="3"/>
      <c r="G173" s="3"/>
      <c r="H173" s="6"/>
      <c r="I173" s="3"/>
      <c r="J173" s="6"/>
      <c r="K173" s="6"/>
      <c r="L173" s="6"/>
      <c r="M173" s="6"/>
      <c r="N173" s="6"/>
      <c r="O173" s="7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ht="12.75" customHeight="1">
      <c r="A174" s="6"/>
      <c r="B174" s="6"/>
      <c r="C174" s="6"/>
      <c r="D174" s="6"/>
      <c r="E174" s="6"/>
      <c r="F174" s="3"/>
      <c r="G174" s="3"/>
      <c r="H174" s="6"/>
      <c r="I174" s="3"/>
      <c r="J174" s="6"/>
      <c r="K174" s="6"/>
      <c r="L174" s="6"/>
      <c r="M174" s="6"/>
      <c r="N174" s="6"/>
      <c r="O174" s="7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ht="12.75" customHeight="1">
      <c r="A175" s="6"/>
      <c r="B175" s="6"/>
      <c r="C175" s="6"/>
      <c r="D175" s="6"/>
      <c r="E175" s="6"/>
      <c r="F175" s="3"/>
      <c r="G175" s="3"/>
      <c r="H175" s="6"/>
      <c r="I175" s="3"/>
      <c r="J175" s="6"/>
      <c r="K175" s="6"/>
      <c r="L175" s="6"/>
      <c r="M175" s="6"/>
      <c r="N175" s="6"/>
      <c r="O175" s="7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C11:E11"/>
    <mergeCell ref="C10:E10"/>
    <mergeCell ref="C9:E9"/>
    <mergeCell ref="C8:E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4.71"/>
    <col customWidth="1" min="2" max="2" width="7.14"/>
    <col customWidth="1" min="3" max="29" width="7.29"/>
    <col customWidth="1" min="30" max="34" width="19.86"/>
  </cols>
  <sheetData>
    <row r="1" ht="12.75" customHeight="1">
      <c r="A1" s="1" t="s">
        <v>56</v>
      </c>
      <c r="B1" s="1"/>
      <c r="C1" s="1"/>
      <c r="D1" s="1"/>
      <c r="E1" s="1"/>
      <c r="F1" s="1"/>
      <c r="G1" s="1"/>
      <c r="H1" s="1"/>
      <c r="I1" s="1"/>
      <c r="J1" s="3"/>
      <c r="K1" s="3"/>
      <c r="L1" s="66"/>
      <c r="M1" s="66"/>
      <c r="N1" s="66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19"/>
      <c r="AD1" s="19"/>
      <c r="AE1" s="19"/>
      <c r="AF1" s="19"/>
      <c r="AG1" s="19"/>
      <c r="AH1" s="19"/>
    </row>
    <row r="2" ht="12.75" customHeight="1">
      <c r="A2" s="8" t="str">
        <f>CLTV!A2</f>
        <v>For more information about this template, see www.startupdocs.se by Erik Byrenius. Latest update: 2015-12-03. See sheet "Summary" for more instructions.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89"/>
      <c r="U2" s="89"/>
      <c r="V2" s="89"/>
      <c r="W2" s="89"/>
      <c r="X2" s="89"/>
      <c r="Y2" s="89"/>
      <c r="Z2" s="89"/>
      <c r="AA2" s="89"/>
      <c r="AB2" s="89"/>
      <c r="AC2" s="19"/>
      <c r="AD2" s="19"/>
      <c r="AE2" s="19"/>
      <c r="AF2" s="19"/>
      <c r="AG2" s="19"/>
      <c r="AH2" s="19"/>
    </row>
    <row r="3" ht="12.75" customHeight="1">
      <c r="A3" s="90"/>
      <c r="B3" s="9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19"/>
      <c r="AD3" s="19"/>
      <c r="AE3" s="19"/>
      <c r="AF3" s="19"/>
      <c r="AG3" s="19"/>
      <c r="AH3" s="19"/>
    </row>
    <row r="4" ht="12.75" customHeight="1">
      <c r="A4" s="90"/>
      <c r="B4" s="91"/>
      <c r="C4" s="92">
        <v>40940.0</v>
      </c>
      <c r="D4" s="92">
        <v>40969.0</v>
      </c>
      <c r="E4" s="92">
        <v>41000.0</v>
      </c>
      <c r="F4" s="92">
        <v>41030.0</v>
      </c>
      <c r="G4" s="92">
        <v>41061.0</v>
      </c>
      <c r="H4" s="92">
        <v>41091.0</v>
      </c>
      <c r="I4" s="92">
        <v>41122.0</v>
      </c>
      <c r="J4" s="92">
        <v>41153.0</v>
      </c>
      <c r="K4" s="92">
        <v>41183.0</v>
      </c>
      <c r="L4" s="92">
        <v>41214.0</v>
      </c>
      <c r="M4" s="92">
        <v>41244.0</v>
      </c>
      <c r="N4" s="92">
        <v>41275.0</v>
      </c>
      <c r="O4" s="92">
        <v>41306.0</v>
      </c>
      <c r="P4" s="92">
        <v>41334.0</v>
      </c>
      <c r="Q4" s="92">
        <v>41365.0</v>
      </c>
      <c r="R4" s="92">
        <v>41395.0</v>
      </c>
      <c r="S4" s="92">
        <v>41426.0</v>
      </c>
      <c r="T4" s="92">
        <v>41456.0</v>
      </c>
      <c r="U4" s="92">
        <v>41487.0</v>
      </c>
      <c r="V4" s="92">
        <v>41518.0</v>
      </c>
      <c r="W4" s="92">
        <v>41548.0</v>
      </c>
      <c r="X4" s="92">
        <v>41579.0</v>
      </c>
      <c r="Y4" s="92">
        <v>41609.0</v>
      </c>
      <c r="Z4" s="92">
        <v>41640.0</v>
      </c>
      <c r="AA4" s="89"/>
      <c r="AB4" s="89"/>
      <c r="AC4" s="19"/>
      <c r="AD4" s="19"/>
      <c r="AE4" s="19"/>
      <c r="AF4" s="19"/>
      <c r="AG4" s="19"/>
      <c r="AH4" s="19"/>
    </row>
    <row r="5" ht="12.75" customHeight="1">
      <c r="A5" s="89" t="s">
        <v>58</v>
      </c>
      <c r="B5" s="91"/>
      <c r="C5" s="94">
        <v>1500.0</v>
      </c>
      <c r="D5" s="94">
        <v>1561.0</v>
      </c>
      <c r="E5" s="94">
        <v>1604.0</v>
      </c>
      <c r="F5" s="94">
        <v>1610.0</v>
      </c>
      <c r="G5" s="94">
        <v>1658.0</v>
      </c>
      <c r="H5" s="94">
        <v>1650.0</v>
      </c>
      <c r="I5" s="94">
        <v>1746.0</v>
      </c>
      <c r="J5" s="94">
        <v>1884.0</v>
      </c>
      <c r="K5" s="94">
        <v>1986.0</v>
      </c>
      <c r="L5" s="94">
        <v>1972.0</v>
      </c>
      <c r="M5" s="94">
        <v>2007.0</v>
      </c>
      <c r="N5" s="94">
        <v>2054.0</v>
      </c>
      <c r="O5" s="94">
        <v>2044.0</v>
      </c>
      <c r="P5" s="94">
        <v>2172.0</v>
      </c>
      <c r="Q5" s="94">
        <v>2260.0</v>
      </c>
      <c r="R5" s="94">
        <v>2360.0</v>
      </c>
      <c r="S5" s="94">
        <v>2402.0</v>
      </c>
      <c r="T5" s="94">
        <v>2403.0</v>
      </c>
      <c r="U5" s="94">
        <v>2457.0</v>
      </c>
      <c r="V5" s="96">
        <f>'CAC Overview'!C74</f>
        <v>2400</v>
      </c>
      <c r="W5" s="96">
        <f>'CAC Overview'!D74</f>
        <v>2343</v>
      </c>
      <c r="X5" s="96">
        <f>'CAC Overview'!E74</f>
        <v>2077</v>
      </c>
      <c r="Y5" s="96">
        <f>'CAC Overview'!F74</f>
        <v>2346</v>
      </c>
      <c r="Z5" s="96">
        <f>'CAC Overview'!G74</f>
        <v>2339</v>
      </c>
      <c r="AA5" s="89"/>
      <c r="AB5" s="89"/>
      <c r="AC5" s="19"/>
      <c r="AD5" s="19"/>
      <c r="AE5" s="19"/>
      <c r="AF5" s="19"/>
      <c r="AG5" s="19"/>
      <c r="AH5" s="19"/>
    </row>
    <row r="6" ht="12.75" customHeight="1">
      <c r="A6" s="90"/>
      <c r="B6" s="91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66"/>
      <c r="W6" s="66"/>
      <c r="X6" s="66"/>
      <c r="Y6" s="66"/>
      <c r="Z6" s="66"/>
      <c r="AA6" s="89"/>
      <c r="AB6" s="89"/>
      <c r="AC6" s="19"/>
      <c r="AD6" s="19"/>
      <c r="AE6" s="19"/>
      <c r="AF6" s="19"/>
      <c r="AG6" s="19"/>
      <c r="AH6" s="19"/>
    </row>
    <row r="7" ht="12.75" customHeight="1">
      <c r="A7" s="90"/>
      <c r="B7" s="91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19"/>
      <c r="AD7" s="19"/>
      <c r="AE7" s="19"/>
      <c r="AF7" s="19"/>
      <c r="AG7" s="19"/>
      <c r="AH7" s="19"/>
    </row>
    <row r="8" ht="12.75" customHeight="1">
      <c r="A8" s="90"/>
      <c r="B8" s="91"/>
      <c r="C8" s="90" t="s">
        <v>61</v>
      </c>
      <c r="D8" s="90"/>
      <c r="E8" s="90"/>
      <c r="F8" s="90"/>
      <c r="G8" s="90"/>
      <c r="H8" s="90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19"/>
      <c r="AD8" s="19"/>
      <c r="AE8" s="19"/>
      <c r="AF8" s="19"/>
      <c r="AG8" s="19"/>
      <c r="AH8" s="19"/>
    </row>
    <row r="9" ht="12.75" customHeight="1">
      <c r="A9" s="89"/>
      <c r="B9" s="89"/>
      <c r="C9" s="92">
        <v>40940.0</v>
      </c>
      <c r="D9" s="92">
        <v>40969.0</v>
      </c>
      <c r="E9" s="92">
        <v>41000.0</v>
      </c>
      <c r="F9" s="92">
        <v>41030.0</v>
      </c>
      <c r="G9" s="92">
        <v>41061.0</v>
      </c>
      <c r="H9" s="92">
        <v>41091.0</v>
      </c>
      <c r="I9" s="92">
        <v>41122.0</v>
      </c>
      <c r="J9" s="92">
        <v>41153.0</v>
      </c>
      <c r="K9" s="92">
        <v>41183.0</v>
      </c>
      <c r="L9" s="92">
        <v>41214.0</v>
      </c>
      <c r="M9" s="92">
        <v>41244.0</v>
      </c>
      <c r="N9" s="92">
        <v>41275.0</v>
      </c>
      <c r="O9" s="92">
        <v>41306.0</v>
      </c>
      <c r="P9" s="92">
        <v>41334.0</v>
      </c>
      <c r="Q9" s="92">
        <v>41365.0</v>
      </c>
      <c r="R9" s="92">
        <v>41395.0</v>
      </c>
      <c r="S9" s="92">
        <v>41426.0</v>
      </c>
      <c r="T9" s="92">
        <v>41456.0</v>
      </c>
      <c r="U9" s="92">
        <v>41487.0</v>
      </c>
      <c r="V9" s="92">
        <v>41518.0</v>
      </c>
      <c r="W9" s="92">
        <v>41548.0</v>
      </c>
      <c r="X9" s="92">
        <v>41579.0</v>
      </c>
      <c r="Y9" s="92">
        <v>41609.0</v>
      </c>
      <c r="Z9" s="92">
        <v>41640.0</v>
      </c>
      <c r="AA9" s="89"/>
      <c r="AB9" s="89"/>
      <c r="AC9" s="19"/>
      <c r="AD9" s="19"/>
      <c r="AE9" s="19"/>
      <c r="AF9" s="19"/>
      <c r="AG9" s="19"/>
      <c r="AH9" s="19"/>
    </row>
    <row r="10" ht="12.75" customHeight="1">
      <c r="A10" s="89" t="s">
        <v>68</v>
      </c>
      <c r="B10" s="92">
        <v>40940.0</v>
      </c>
      <c r="C10" s="104">
        <v>1.0</v>
      </c>
      <c r="D10" s="104">
        <v>0.2005</v>
      </c>
      <c r="E10" s="104">
        <v>0.1625</v>
      </c>
      <c r="F10" s="104">
        <v>0.1438</v>
      </c>
      <c r="G10" s="104">
        <v>0.132</v>
      </c>
      <c r="H10" s="104">
        <v>0.1234</v>
      </c>
      <c r="I10" s="104">
        <v>0.1168</v>
      </c>
      <c r="J10" s="104">
        <v>0.1116</v>
      </c>
      <c r="K10" s="104">
        <v>0.1072</v>
      </c>
      <c r="L10" s="104">
        <v>0.1035</v>
      </c>
      <c r="M10" s="104">
        <v>0.1002</v>
      </c>
      <c r="N10" s="104">
        <v>0.0974</v>
      </c>
      <c r="O10" s="104">
        <v>0.0949</v>
      </c>
      <c r="P10" s="104">
        <v>0.0927</v>
      </c>
      <c r="Q10" s="104">
        <v>0.0906</v>
      </c>
      <c r="R10" s="104">
        <v>0.0888</v>
      </c>
      <c r="S10" s="104">
        <v>0.0871</v>
      </c>
      <c r="T10" s="104">
        <v>0.0855</v>
      </c>
      <c r="U10" s="104">
        <v>0.084</v>
      </c>
      <c r="V10" s="104">
        <v>0.0827</v>
      </c>
      <c r="W10" s="104">
        <v>0.0814</v>
      </c>
      <c r="X10" s="104">
        <v>0.0802</v>
      </c>
      <c r="Y10" s="104">
        <v>0.0791</v>
      </c>
      <c r="Z10" s="104">
        <v>0.0781</v>
      </c>
      <c r="AA10" s="89"/>
      <c r="AB10" s="89"/>
      <c r="AC10" s="19"/>
      <c r="AD10" s="19"/>
      <c r="AE10" s="19"/>
      <c r="AF10" s="19"/>
      <c r="AG10" s="19"/>
      <c r="AH10" s="19"/>
    </row>
    <row r="11" ht="12.75" customHeight="1">
      <c r="A11" s="89"/>
      <c r="B11" s="92">
        <v>40969.0</v>
      </c>
      <c r="C11" s="104"/>
      <c r="D11" s="104">
        <v>1.0</v>
      </c>
      <c r="E11" s="104">
        <v>0.190475</v>
      </c>
      <c r="F11" s="104">
        <v>0.173875</v>
      </c>
      <c r="G11" s="104">
        <v>0.153866</v>
      </c>
      <c r="H11" s="104">
        <v>0.13596</v>
      </c>
      <c r="I11" s="104">
        <v>0.127102</v>
      </c>
      <c r="J11" s="104">
        <v>0.112128</v>
      </c>
      <c r="K11" s="104">
        <v>0.11718</v>
      </c>
      <c r="L11" s="104">
        <v>0.111488</v>
      </c>
      <c r="M11" s="104">
        <v>0.10971</v>
      </c>
      <c r="N11" s="104">
        <v>0.104208</v>
      </c>
      <c r="O11" s="104">
        <v>0.100322</v>
      </c>
      <c r="P11" s="104">
        <v>0.096798</v>
      </c>
      <c r="Q11" s="104">
        <v>0.091773</v>
      </c>
      <c r="R11" s="104">
        <v>0.094224</v>
      </c>
      <c r="S11" s="104">
        <v>0.085248</v>
      </c>
      <c r="T11" s="104">
        <v>0.082745</v>
      </c>
      <c r="U11" s="104">
        <v>0.082935</v>
      </c>
      <c r="V11" s="104">
        <v>0.08064</v>
      </c>
      <c r="W11" s="104">
        <v>0.086835</v>
      </c>
      <c r="X11" s="104">
        <v>0.078144</v>
      </c>
      <c r="Y11" s="104">
        <v>0.08421</v>
      </c>
      <c r="Z11" s="104">
        <v>0.083846</v>
      </c>
      <c r="AA11" s="89"/>
      <c r="AB11" s="89"/>
      <c r="AC11" s="19"/>
      <c r="AD11" s="19"/>
      <c r="AE11" s="19"/>
      <c r="AF11" s="19"/>
      <c r="AG11" s="19"/>
      <c r="AH11" s="19"/>
    </row>
    <row r="12" ht="12.75" customHeight="1">
      <c r="A12" s="89"/>
      <c r="B12" s="92">
        <v>41000.0</v>
      </c>
      <c r="C12" s="104"/>
      <c r="D12" s="104"/>
      <c r="E12" s="104">
        <v>1.0</v>
      </c>
      <c r="F12" s="104">
        <v>0.19618925</v>
      </c>
      <c r="G12" s="104">
        <v>0.17561375</v>
      </c>
      <c r="H12" s="104">
        <v>0.1461727</v>
      </c>
      <c r="I12" s="104">
        <v>0.1400388</v>
      </c>
      <c r="J12" s="104">
        <v>0.127102</v>
      </c>
      <c r="K12" s="104">
        <v>0.11324928</v>
      </c>
      <c r="L12" s="104">
        <v>0.111321</v>
      </c>
      <c r="M12" s="104">
        <v>0.111488</v>
      </c>
      <c r="N12" s="104">
        <v>0.1108071</v>
      </c>
      <c r="O12" s="104">
        <v>0.11046048</v>
      </c>
      <c r="P12" s="104">
        <v>0.10634132</v>
      </c>
      <c r="Q12" s="104">
        <v>0.09776598</v>
      </c>
      <c r="R12" s="104">
        <v>0.09360846</v>
      </c>
      <c r="S12" s="104">
        <v>0.09705072</v>
      </c>
      <c r="T12" s="104">
        <v>0.08865792</v>
      </c>
      <c r="U12" s="104">
        <v>0.082745</v>
      </c>
      <c r="V12" s="104">
        <v>0.08874045</v>
      </c>
      <c r="W12" s="104">
        <v>0.0838656</v>
      </c>
      <c r="X12" s="104">
        <v>0.08422995</v>
      </c>
      <c r="Y12" s="104">
        <v>0.07736256</v>
      </c>
      <c r="Z12" s="104">
        <v>0.0808416</v>
      </c>
      <c r="AA12" s="89"/>
      <c r="AB12" s="89"/>
      <c r="AC12" s="19"/>
      <c r="AD12" s="19"/>
      <c r="AE12" s="19"/>
      <c r="AF12" s="19"/>
      <c r="AG12" s="19"/>
      <c r="AH12" s="19"/>
    </row>
    <row r="13" ht="12.75" customHeight="1">
      <c r="A13" s="89"/>
      <c r="B13" s="92">
        <v>41030.0</v>
      </c>
      <c r="C13" s="104"/>
      <c r="D13" s="104"/>
      <c r="E13" s="104"/>
      <c r="F13" s="104">
        <v>1.0</v>
      </c>
      <c r="G13" s="104">
        <v>0.1942273575</v>
      </c>
      <c r="H13" s="104">
        <v>0.186150575</v>
      </c>
      <c r="I13" s="104">
        <v>0.150557881</v>
      </c>
      <c r="J13" s="104">
        <v>0.13303686</v>
      </c>
      <c r="K13" s="104">
        <v>0.13091506</v>
      </c>
      <c r="L13" s="104">
        <v>0.1177792512</v>
      </c>
      <c r="M13" s="104">
        <v>0.10798137</v>
      </c>
      <c r="N13" s="104">
        <v>0.11260288</v>
      </c>
      <c r="O13" s="104">
        <v>0.106374816</v>
      </c>
      <c r="P13" s="104">
        <v>0.1082512704</v>
      </c>
      <c r="Q13" s="104">
        <v>0.1031510804</v>
      </c>
      <c r="R13" s="104">
        <v>0.0938553408</v>
      </c>
      <c r="S13" s="104">
        <v>0.0898641216</v>
      </c>
      <c r="T13" s="104">
        <v>0.1038442704</v>
      </c>
      <c r="U13" s="104">
        <v>0.0948639744</v>
      </c>
      <c r="V13" s="104">
        <v>0.08191755</v>
      </c>
      <c r="W13" s="104">
        <v>0.090515259</v>
      </c>
      <c r="X13" s="104">
        <v>0.089736192</v>
      </c>
      <c r="Y13" s="104">
        <v>0.080860752</v>
      </c>
      <c r="Z13" s="104">
        <v>0.0827779392</v>
      </c>
      <c r="AA13" s="89"/>
      <c r="AB13" s="89"/>
      <c r="AC13" s="19"/>
      <c r="AD13" s="19"/>
      <c r="AE13" s="19"/>
      <c r="AF13" s="19"/>
      <c r="AG13" s="19"/>
      <c r="AH13" s="19"/>
    </row>
    <row r="14" ht="12.75" customHeight="1">
      <c r="A14" s="89"/>
      <c r="B14" s="92">
        <v>41061.0</v>
      </c>
      <c r="C14" s="104"/>
      <c r="D14" s="104"/>
      <c r="E14" s="104"/>
      <c r="F14" s="104"/>
      <c r="G14" s="104">
        <v>1.0</v>
      </c>
      <c r="H14" s="104">
        <v>0.200054178225</v>
      </c>
      <c r="I14" s="104">
        <v>0.178704552</v>
      </c>
      <c r="J14" s="104">
        <v>0.14302998695</v>
      </c>
      <c r="K14" s="104">
        <v>0.126385017</v>
      </c>
      <c r="L14" s="104">
        <v>0.1296059094</v>
      </c>
      <c r="M14" s="104">
        <v>0.121312628736</v>
      </c>
      <c r="N14" s="104">
        <v>0.1047419289</v>
      </c>
      <c r="O14" s="104">
        <v>0.1092247936</v>
      </c>
      <c r="P14" s="104">
        <v>0.10956606048</v>
      </c>
      <c r="Q14" s="104">
        <v>0.112581321216</v>
      </c>
      <c r="R14" s="104">
        <v>0.104182591204</v>
      </c>
      <c r="S14" s="104">
        <v>0.099486661248</v>
      </c>
      <c r="T14" s="104">
        <v>0.090762762816</v>
      </c>
      <c r="U14" s="104">
        <v>0.09865205688</v>
      </c>
      <c r="V14" s="104">
        <v>0.09012077568</v>
      </c>
      <c r="W14" s="104">
        <v>0.0876517785</v>
      </c>
      <c r="X14" s="104">
        <v>0.08779980123</v>
      </c>
      <c r="Y14" s="104">
        <v>0.09153091584</v>
      </c>
      <c r="Z14" s="104">
        <v>0.07762632192</v>
      </c>
      <c r="AA14" s="89"/>
      <c r="AB14" s="89"/>
      <c r="AC14" s="19"/>
      <c r="AD14" s="19"/>
      <c r="AE14" s="19"/>
      <c r="AF14" s="19"/>
      <c r="AG14" s="19"/>
      <c r="AH14" s="19"/>
    </row>
    <row r="15" ht="12.75" customHeight="1">
      <c r="A15" s="89"/>
      <c r="B15" s="92">
        <v>41091.0</v>
      </c>
      <c r="C15" s="104"/>
      <c r="D15" s="104"/>
      <c r="E15" s="104"/>
      <c r="F15" s="104"/>
      <c r="G15" s="104"/>
      <c r="H15" s="104">
        <v>1.0</v>
      </c>
      <c r="I15" s="104">
        <v>0.2120574289185</v>
      </c>
      <c r="J15" s="104">
        <v>0.17334341544</v>
      </c>
      <c r="K15" s="104">
        <v>0.14302998695</v>
      </c>
      <c r="L15" s="104">
        <v>0.13523196819</v>
      </c>
      <c r="M15" s="104">
        <v>0.134790145776</v>
      </c>
      <c r="N15" s="104">
        <v>0.12373888131072</v>
      </c>
      <c r="O15" s="104">
        <v>0.100552251744</v>
      </c>
      <c r="P15" s="104">
        <v>0.110317041536</v>
      </c>
      <c r="Q15" s="104">
        <v>0.1117573816896</v>
      </c>
      <c r="R15" s="104">
        <v>0.1069522551552</v>
      </c>
      <c r="S15" s="104">
        <v>0.10105711346788</v>
      </c>
      <c r="T15" s="104">
        <v>0.10346612769792</v>
      </c>
      <c r="U15" s="104">
        <v>0.09711615621312</v>
      </c>
      <c r="V15" s="104">
        <v>0.0996385774488</v>
      </c>
      <c r="W15" s="104">
        <v>0.0919231911936</v>
      </c>
      <c r="X15" s="104">
        <v>0.090281331855</v>
      </c>
      <c r="Y15" s="104">
        <v>0.0921897912915</v>
      </c>
      <c r="Z15" s="104">
        <v>0.096107461632</v>
      </c>
      <c r="AA15" s="89"/>
      <c r="AB15" s="89"/>
      <c r="AC15" s="19"/>
      <c r="AD15" s="19"/>
      <c r="AE15" s="19"/>
      <c r="AF15" s="19"/>
      <c r="AG15" s="19"/>
      <c r="AH15" s="19"/>
    </row>
    <row r="16" ht="12.75" customHeight="1">
      <c r="A16" s="89"/>
      <c r="B16" s="92">
        <v>41122.0</v>
      </c>
      <c r="C16" s="104"/>
      <c r="D16" s="104"/>
      <c r="E16" s="104"/>
      <c r="F16" s="104"/>
      <c r="G16" s="104"/>
      <c r="H16" s="104"/>
      <c r="I16" s="104">
        <v>1.0</v>
      </c>
      <c r="J16" s="104">
        <v>0.22478087465361</v>
      </c>
      <c r="K16" s="104">
        <v>0.1837440203664</v>
      </c>
      <c r="L16" s="104">
        <v>0.1387390873415</v>
      </c>
      <c r="M16" s="104">
        <v>0.1365842878719</v>
      </c>
      <c r="N16" s="104">
        <v>0.13883385014928</v>
      </c>
      <c r="O16" s="104">
        <v>0.126213658936934</v>
      </c>
      <c r="P16" s="104">
        <v>0.10356881929632</v>
      </c>
      <c r="Q16" s="104">
        <v>0.11472972319744</v>
      </c>
      <c r="R16" s="104">
        <v>0.116227676957184</v>
      </c>
      <c r="S16" s="104">
        <v>0.110160822809856</v>
      </c>
      <c r="T16" s="104">
        <v>0.097014828929165</v>
      </c>
      <c r="U16" s="104">
        <v>0.110708756636774</v>
      </c>
      <c r="V16" s="104">
        <v>0.101971964023776</v>
      </c>
      <c r="W16" s="104">
        <v>0.105616892095728</v>
      </c>
      <c r="X16" s="104">
        <v>0.095600118841344</v>
      </c>
      <c r="Y16" s="104">
        <v>0.0920869584921</v>
      </c>
      <c r="Z16" s="104">
        <v>0.087580301726925</v>
      </c>
      <c r="AA16" s="89"/>
      <c r="AB16" s="89"/>
      <c r="AC16" s="19"/>
      <c r="AD16" s="19"/>
      <c r="AE16" s="19"/>
      <c r="AF16" s="19"/>
      <c r="AG16" s="19"/>
      <c r="AH16" s="19"/>
    </row>
    <row r="17" ht="12.75" customHeight="1">
      <c r="A17" s="89"/>
      <c r="B17" s="92">
        <v>41153.0</v>
      </c>
      <c r="C17" s="104"/>
      <c r="D17" s="104"/>
      <c r="E17" s="104"/>
      <c r="F17" s="104"/>
      <c r="G17" s="104"/>
      <c r="H17" s="104"/>
      <c r="I17" s="104"/>
      <c r="J17" s="104">
        <v>1.0</v>
      </c>
      <c r="K17" s="104">
        <v>0.222533065907074</v>
      </c>
      <c r="L17" s="104">
        <v>0.196606101792048</v>
      </c>
      <c r="M17" s="104">
        <v>0.145676041708575</v>
      </c>
      <c r="N17" s="104">
        <v>0.1365842878719</v>
      </c>
      <c r="O17" s="104">
        <v>0.140222188650773</v>
      </c>
      <c r="P17" s="104">
        <v>0.122427249168826</v>
      </c>
      <c r="Q17" s="104">
        <v>0.10356881929632</v>
      </c>
      <c r="R17" s="104">
        <v>0.122760803821261</v>
      </c>
      <c r="S17" s="104">
        <v>0.123201337574615</v>
      </c>
      <c r="T17" s="104">
        <v>0.111262431037955</v>
      </c>
      <c r="U17" s="104">
        <v>0.103805866954206</v>
      </c>
      <c r="V17" s="104">
        <v>0.118458369601349</v>
      </c>
      <c r="W17" s="104">
        <v>0.107070562224965</v>
      </c>
      <c r="X17" s="104">
        <v>0.107729229937643</v>
      </c>
      <c r="Y17" s="104">
        <v>0.102292127160238</v>
      </c>
      <c r="Z17" s="104">
        <v>0.0920869584921</v>
      </c>
      <c r="AA17" s="89"/>
      <c r="AB17" s="89"/>
      <c r="AC17" s="19"/>
      <c r="AD17" s="19"/>
      <c r="AE17" s="19"/>
      <c r="AF17" s="19"/>
      <c r="AG17" s="19"/>
      <c r="AH17" s="19"/>
    </row>
    <row r="18" ht="12.75" customHeight="1">
      <c r="A18" s="89"/>
      <c r="B18" s="92">
        <v>41183.0</v>
      </c>
      <c r="C18" s="104"/>
      <c r="D18" s="104"/>
      <c r="E18" s="104"/>
      <c r="F18" s="104"/>
      <c r="G18" s="104"/>
      <c r="H18" s="104"/>
      <c r="I18" s="104"/>
      <c r="J18" s="104"/>
      <c r="K18" s="104">
        <v>1.0</v>
      </c>
      <c r="L18" s="104">
        <v>0.233659719202428</v>
      </c>
      <c r="M18" s="104">
        <v>0.186775796702446</v>
      </c>
      <c r="N18" s="104">
        <v>0.145676041708575</v>
      </c>
      <c r="O18" s="104">
        <v>0.137950130750619</v>
      </c>
      <c r="P18" s="104">
        <v>0.140222188650773</v>
      </c>
      <c r="Q18" s="104">
        <v>0.118754431693762</v>
      </c>
      <c r="R18" s="104">
        <v>0.118390378331504</v>
      </c>
      <c r="S18" s="104">
        <v>0.11785037166841</v>
      </c>
      <c r="T18" s="104">
        <v>0.11827328407163</v>
      </c>
      <c r="U18" s="104">
        <v>0.110149806727575</v>
      </c>
      <c r="V18" s="104">
        <v>0.106920042962833</v>
      </c>
      <c r="W18" s="104">
        <v>0.118458369601349</v>
      </c>
      <c r="X18" s="104">
        <v>0.108141267847214</v>
      </c>
      <c r="Y18" s="104">
        <v>0.114192983733901</v>
      </c>
      <c r="Z18" s="104">
        <v>0.098200442073829</v>
      </c>
      <c r="AA18" s="89"/>
      <c r="AB18" s="89"/>
      <c r="AC18" s="19"/>
      <c r="AD18" s="19"/>
      <c r="AE18" s="19"/>
      <c r="AF18" s="19"/>
      <c r="AG18" s="19"/>
      <c r="AH18" s="19"/>
    </row>
    <row r="19" ht="12.75" customHeight="1">
      <c r="A19" s="89"/>
      <c r="B19" s="92">
        <v>41214.0</v>
      </c>
      <c r="C19" s="104"/>
      <c r="D19" s="104"/>
      <c r="E19" s="104"/>
      <c r="F19" s="104"/>
      <c r="G19" s="104"/>
      <c r="H19" s="104"/>
      <c r="I19" s="104"/>
      <c r="J19" s="104"/>
      <c r="K19" s="104"/>
      <c r="L19" s="104">
        <v>1.0</v>
      </c>
      <c r="M19" s="104">
        <v>0.247679302354573</v>
      </c>
      <c r="N19" s="104">
        <v>0.18864355466947</v>
      </c>
      <c r="O19" s="104">
        <v>0.142762520874404</v>
      </c>
      <c r="P19" s="104">
        <v>0.140709133365631</v>
      </c>
      <c r="Q19" s="104">
        <v>0.134613301104742</v>
      </c>
      <c r="R19" s="104">
        <v>0.125879697595387</v>
      </c>
      <c r="S19" s="104">
        <v>0.118390378331504</v>
      </c>
      <c r="T19" s="104">
        <v>0.113136356801674</v>
      </c>
      <c r="U19" s="104">
        <v>0.115907818390198</v>
      </c>
      <c r="V19" s="104">
        <v>0.115657297063954</v>
      </c>
      <c r="W19" s="104">
        <v>0.105850842533204</v>
      </c>
      <c r="X19" s="104">
        <v>0.12556587177743</v>
      </c>
      <c r="Y19" s="104">
        <v>0.113548331239575</v>
      </c>
      <c r="Z19" s="104">
        <v>0.111909124059223</v>
      </c>
      <c r="AA19" s="89"/>
      <c r="AB19" s="89"/>
      <c r="AC19" s="19"/>
      <c r="AD19" s="19"/>
      <c r="AE19" s="19"/>
      <c r="AF19" s="19"/>
      <c r="AG19" s="19"/>
      <c r="AH19" s="19"/>
    </row>
    <row r="20" ht="12.75" customHeight="1">
      <c r="A20" s="89"/>
      <c r="B20" s="92">
        <v>41244.0</v>
      </c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>
        <v>1.0</v>
      </c>
      <c r="N20" s="104">
        <v>0.23777213026039</v>
      </c>
      <c r="O20" s="104">
        <v>0.182984248029386</v>
      </c>
      <c r="P20" s="104">
        <v>0.147045396500636</v>
      </c>
      <c r="Q20" s="104">
        <v>0.135080768031006</v>
      </c>
      <c r="R20" s="104">
        <v>0.134613301104742</v>
      </c>
      <c r="S20" s="104">
        <v>0.128397291547295</v>
      </c>
      <c r="T20" s="104">
        <v>0.114293801031394</v>
      </c>
      <c r="U20" s="104">
        <v>0.10747953896159</v>
      </c>
      <c r="V20" s="104">
        <v>0.12286228749361</v>
      </c>
      <c r="W20" s="104">
        <v>0.119127015975872</v>
      </c>
      <c r="X20" s="104">
        <v>0.100558300406544</v>
      </c>
      <c r="Y20" s="104">
        <v>0.123054554341881</v>
      </c>
      <c r="Z20" s="104">
        <v>0.107870914677596</v>
      </c>
      <c r="AA20" s="89"/>
      <c r="AB20" s="89"/>
      <c r="AC20" s="19"/>
      <c r="AD20" s="19"/>
      <c r="AE20" s="19"/>
      <c r="AF20" s="19"/>
      <c r="AG20" s="19"/>
      <c r="AH20" s="19"/>
    </row>
    <row r="21" ht="12.75" customHeight="1">
      <c r="A21" s="89"/>
      <c r="B21" s="92">
        <v>41275.0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>
        <v>1.0</v>
      </c>
      <c r="O21" s="104">
        <v>0.252038458076014</v>
      </c>
      <c r="P21" s="104">
        <v>0.173835035627917</v>
      </c>
      <c r="Q21" s="104">
        <v>0.148515850465642</v>
      </c>
      <c r="R21" s="104">
        <v>0.143185614112866</v>
      </c>
      <c r="S21" s="104">
        <v>0.129228769060552</v>
      </c>
      <c r="T21" s="104">
        <v>0.13481715612466</v>
      </c>
      <c r="U21" s="104">
        <v>0.125336739041708</v>
      </c>
      <c r="V21" s="104">
        <v>0.106404743571974</v>
      </c>
      <c r="W21" s="104">
        <v>0.12900540186829</v>
      </c>
      <c r="X21" s="104">
        <v>0.122700826455149</v>
      </c>
      <c r="Y21" s="104">
        <v>0.104580632422806</v>
      </c>
      <c r="Z21" s="104">
        <v>0.121824008798462</v>
      </c>
      <c r="AA21" s="89"/>
      <c r="AB21" s="89"/>
      <c r="AC21" s="19"/>
      <c r="AD21" s="19"/>
      <c r="AE21" s="19"/>
      <c r="AF21" s="19"/>
      <c r="AG21" s="19"/>
      <c r="AH21" s="19"/>
    </row>
    <row r="22" ht="12.75" customHeight="1">
      <c r="A22" s="89"/>
      <c r="B22" s="92">
        <v>41306.0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>
        <v>1.0</v>
      </c>
      <c r="P22" s="104">
        <v>0.264640380979814</v>
      </c>
      <c r="Q22" s="104">
        <v>0.182526787409312</v>
      </c>
      <c r="R22" s="104">
        <v>0.144060374951673</v>
      </c>
      <c r="S22" s="104">
        <v>0.153208607100767</v>
      </c>
      <c r="T22" s="104">
        <v>0.129228769060552</v>
      </c>
      <c r="U22" s="104">
        <v>0.144254357053386</v>
      </c>
      <c r="V22" s="104">
        <v>0.117443473822542</v>
      </c>
      <c r="W22" s="104">
        <v>0.101084506393376</v>
      </c>
      <c r="X22" s="104">
        <v>0.134165617943022</v>
      </c>
      <c r="Y22" s="104">
        <v>0.125154842984252</v>
      </c>
      <c r="Z22" s="104">
        <v>0.100397407125894</v>
      </c>
      <c r="AA22" s="89"/>
      <c r="AB22" s="89"/>
      <c r="AC22" s="19"/>
      <c r="AD22" s="19"/>
      <c r="AE22" s="19"/>
      <c r="AF22" s="19"/>
      <c r="AG22" s="19"/>
      <c r="AH22" s="19"/>
    </row>
    <row r="23" ht="12.75" customHeight="1">
      <c r="A23" s="89"/>
      <c r="B23" s="92">
        <v>41334.0</v>
      </c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>
        <v>1.0</v>
      </c>
      <c r="Q23" s="104">
        <v>0.25670116955042</v>
      </c>
      <c r="R23" s="104">
        <v>0.178876251661126</v>
      </c>
      <c r="S23" s="104">
        <v>0.144060374951673</v>
      </c>
      <c r="T23" s="104">
        <v>0.154740693171775</v>
      </c>
      <c r="U23" s="104">
        <v>0.130521056751158</v>
      </c>
      <c r="V23" s="104">
        <v>0.142811813482852</v>
      </c>
      <c r="W23" s="104">
        <v>0.115294604346092</v>
      </c>
      <c r="X23" s="104">
        <v>0.108160421840912</v>
      </c>
      <c r="Y23" s="104">
        <v>0.136848930301882</v>
      </c>
      <c r="Z23" s="104">
        <v>0.123903294554409</v>
      </c>
      <c r="AA23" s="89"/>
      <c r="AB23" s="89"/>
      <c r="AC23" s="19"/>
      <c r="AD23" s="19"/>
      <c r="AE23" s="19"/>
      <c r="AF23" s="19"/>
      <c r="AG23" s="19"/>
      <c r="AH23" s="19"/>
    </row>
    <row r="24" ht="12.75" customHeight="1">
      <c r="A24" s="89"/>
      <c r="B24" s="92">
        <v>41365.0</v>
      </c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>
        <v>1.0</v>
      </c>
      <c r="R24" s="104">
        <v>0.261835192941428</v>
      </c>
      <c r="S24" s="104">
        <v>0.16993243907807</v>
      </c>
      <c r="T24" s="104">
        <v>0.141179167452639</v>
      </c>
      <c r="U24" s="104">
        <v>0.165572541693799</v>
      </c>
      <c r="V24" s="104">
        <v>0.129215846183646</v>
      </c>
      <c r="W24" s="104">
        <v>0.141383695348024</v>
      </c>
      <c r="X24" s="104">
        <v>0.122665226650318</v>
      </c>
      <c r="Y24" s="104">
        <v>0.114650047151367</v>
      </c>
      <c r="Z24" s="104">
        <v>0.136848930301882</v>
      </c>
      <c r="AA24" s="89"/>
      <c r="AB24" s="89"/>
      <c r="AC24" s="19"/>
      <c r="AD24" s="19"/>
      <c r="AE24" s="19"/>
      <c r="AF24" s="19"/>
      <c r="AG24" s="19"/>
      <c r="AH24" s="19"/>
    </row>
    <row r="25" ht="12.75" customHeight="1">
      <c r="A25" s="89"/>
      <c r="B25" s="92">
        <v>41395.0</v>
      </c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>
        <v>1.0</v>
      </c>
      <c r="S25" s="104">
        <v>0.251361785223771</v>
      </c>
      <c r="T25" s="104">
        <v>0.176729736641193</v>
      </c>
      <c r="U25" s="104">
        <v>0.144002750801692</v>
      </c>
      <c r="V25" s="104">
        <v>0.158949640026047</v>
      </c>
      <c r="W25" s="104">
        <v>0.135676638492828</v>
      </c>
      <c r="X25" s="104">
        <v>0.134314510580622</v>
      </c>
      <c r="Y25" s="104">
        <v>0.120411922117312</v>
      </c>
      <c r="Z25" s="104">
        <v>0.122675550451962</v>
      </c>
      <c r="AA25" s="89"/>
      <c r="AB25" s="89"/>
      <c r="AC25" s="19"/>
      <c r="AD25" s="19"/>
      <c r="AE25" s="19"/>
      <c r="AF25" s="19"/>
      <c r="AG25" s="19"/>
      <c r="AH25" s="19"/>
    </row>
    <row r="26" ht="12.75" customHeight="1">
      <c r="A26" s="89"/>
      <c r="B26" s="92">
        <v>41426.0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>
        <v>1.0</v>
      </c>
      <c r="T26" s="104">
        <v>0.261416256632722</v>
      </c>
      <c r="U26" s="104">
        <v>0.174962439274781</v>
      </c>
      <c r="V26" s="104">
        <v>0.144002750801692</v>
      </c>
      <c r="W26" s="104">
        <v>0.163718129226829</v>
      </c>
      <c r="X26" s="104">
        <v>0.14246047041747</v>
      </c>
      <c r="Y26" s="104">
        <v>0.134314510580622</v>
      </c>
      <c r="Z26" s="104">
        <v>0.127099564453792</v>
      </c>
      <c r="AA26" s="89"/>
      <c r="AB26" s="89"/>
      <c r="AC26" s="19"/>
      <c r="AD26" s="19"/>
      <c r="AE26" s="19"/>
      <c r="AF26" s="19"/>
      <c r="AG26" s="19"/>
      <c r="AH26" s="19"/>
    </row>
    <row r="27" ht="12.75" customHeight="1">
      <c r="A27" s="89"/>
      <c r="B27" s="92">
        <v>41456.0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>
        <v>1.0</v>
      </c>
      <c r="U27" s="104">
        <v>0.274487069464358</v>
      </c>
      <c r="V27" s="104">
        <v>0.185460185631268</v>
      </c>
      <c r="W27" s="104">
        <v>0.144002750801692</v>
      </c>
      <c r="X27" s="104">
        <v>0.168629673103633</v>
      </c>
      <c r="Y27" s="104">
        <v>0.141035865713295</v>
      </c>
      <c r="Z27" s="104">
        <v>0.14237338121546</v>
      </c>
      <c r="AA27" s="89"/>
      <c r="AB27" s="89"/>
      <c r="AC27" s="19"/>
      <c r="AD27" s="19"/>
      <c r="AE27" s="19"/>
      <c r="AF27" s="19"/>
      <c r="AG27" s="19"/>
      <c r="AH27" s="19"/>
    </row>
    <row r="28" ht="12.75" customHeight="1">
      <c r="A28" s="89"/>
      <c r="B28" s="92">
        <v>41487.0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>
        <v>1.0</v>
      </c>
      <c r="V28" s="104">
        <v>0.263507586685784</v>
      </c>
      <c r="W28" s="104">
        <v>0.189169389343893</v>
      </c>
      <c r="X28" s="104">
        <v>0.151202888341777</v>
      </c>
      <c r="Y28" s="104">
        <v>0.160198189448452</v>
      </c>
      <c r="Z28" s="104">
        <v>0.150908376313226</v>
      </c>
      <c r="AA28" s="89"/>
      <c r="AB28" s="89"/>
      <c r="AC28" s="19"/>
      <c r="AD28" s="19"/>
      <c r="AE28" s="19"/>
      <c r="AF28" s="19"/>
      <c r="AG28" s="19"/>
      <c r="AH28" s="19"/>
    </row>
    <row r="29" ht="12.75" customHeight="1">
      <c r="A29" s="89"/>
      <c r="B29" s="92">
        <v>41518.0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>
        <v>1.0</v>
      </c>
      <c r="W29" s="104">
        <v>0.258237434952068</v>
      </c>
      <c r="X29" s="104">
        <v>0.196736164917649</v>
      </c>
      <c r="Y29" s="104">
        <v>0.145154772808106</v>
      </c>
      <c r="Z29" s="104">
        <v>0.158596207553967</v>
      </c>
      <c r="AA29" s="89"/>
      <c r="AB29" s="89"/>
      <c r="AC29" s="19"/>
      <c r="AD29" s="19"/>
      <c r="AE29" s="19"/>
      <c r="AF29" s="19"/>
      <c r="AG29" s="19"/>
      <c r="AH29" s="19"/>
    </row>
    <row r="30" ht="12.75" customHeight="1">
      <c r="A30" s="89"/>
      <c r="B30" s="92">
        <v>41548.0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>
        <v>1.0</v>
      </c>
      <c r="X30" s="104">
        <v>0.245325563204465</v>
      </c>
      <c r="Y30" s="104">
        <v>0.210507696461884</v>
      </c>
      <c r="Z30" s="104">
        <v>0.140800129623862</v>
      </c>
      <c r="AA30" s="89"/>
      <c r="AB30" s="89"/>
      <c r="AC30" s="19"/>
      <c r="AD30" s="19"/>
      <c r="AE30" s="19"/>
      <c r="AF30" s="19"/>
      <c r="AG30" s="19"/>
      <c r="AH30" s="19"/>
    </row>
    <row r="31" ht="12.75" customHeight="1">
      <c r="A31" s="89"/>
      <c r="B31" s="92">
        <v>41579.0</v>
      </c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>
        <v>1.0</v>
      </c>
      <c r="Y31" s="104">
        <v>0.260045096996733</v>
      </c>
      <c r="Z31" s="104">
        <v>0.216822927355741</v>
      </c>
      <c r="AA31" s="89"/>
      <c r="AB31" s="89"/>
      <c r="AC31" s="19"/>
      <c r="AD31" s="19"/>
      <c r="AE31" s="19"/>
      <c r="AF31" s="19"/>
      <c r="AG31" s="19"/>
      <c r="AH31" s="19"/>
    </row>
    <row r="32" ht="12.75" customHeight="1">
      <c r="A32" s="89"/>
      <c r="B32" s="92">
        <v>41609.0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>
        <v>1.0</v>
      </c>
      <c r="Z32" s="104">
        <v>0.275647802816537</v>
      </c>
      <c r="AA32" s="89"/>
      <c r="AB32" s="89"/>
      <c r="AC32" s="19"/>
      <c r="AD32" s="19"/>
      <c r="AE32" s="19"/>
      <c r="AF32" s="19"/>
      <c r="AG32" s="19"/>
      <c r="AH32" s="19"/>
    </row>
    <row r="33" ht="12.75" customHeight="1">
      <c r="A33" s="89"/>
      <c r="B33" s="92">
        <v>41640.0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>
        <v>1.0</v>
      </c>
      <c r="AA33" s="89"/>
      <c r="AB33" s="89"/>
      <c r="AC33" s="19"/>
      <c r="AD33" s="19"/>
      <c r="AE33" s="19"/>
      <c r="AF33" s="19"/>
      <c r="AG33" s="19"/>
      <c r="AH33" s="19"/>
    </row>
    <row r="34" ht="12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19"/>
      <c r="AD34" s="19"/>
      <c r="AE34" s="19"/>
      <c r="AF34" s="19"/>
      <c r="AG34" s="19"/>
      <c r="AH34" s="19"/>
    </row>
    <row r="35" ht="12.75" customHeight="1">
      <c r="A35" s="89"/>
      <c r="B35" s="89"/>
      <c r="C35" s="89">
        <v>1.0</v>
      </c>
      <c r="D35" s="89">
        <v>2.0</v>
      </c>
      <c r="E35" s="89">
        <v>3.0</v>
      </c>
      <c r="F35" s="89">
        <v>4.0</v>
      </c>
      <c r="G35" s="89">
        <v>5.0</v>
      </c>
      <c r="H35" s="89">
        <v>6.0</v>
      </c>
      <c r="I35" s="89">
        <v>7.0</v>
      </c>
      <c r="J35" s="89">
        <v>8.0</v>
      </c>
      <c r="K35" s="89">
        <v>9.0</v>
      </c>
      <c r="L35" s="89">
        <v>10.0</v>
      </c>
      <c r="M35" s="89">
        <v>11.0</v>
      </c>
      <c r="N35" s="89">
        <v>12.0</v>
      </c>
      <c r="O35" s="89">
        <v>13.0</v>
      </c>
      <c r="P35" s="89">
        <v>14.0</v>
      </c>
      <c r="Q35" s="89">
        <v>15.0</v>
      </c>
      <c r="R35" s="89">
        <v>16.0</v>
      </c>
      <c r="S35" s="89">
        <v>17.0</v>
      </c>
      <c r="T35" s="89">
        <v>18.0</v>
      </c>
      <c r="U35" s="89">
        <v>19.0</v>
      </c>
      <c r="V35" s="89">
        <v>20.0</v>
      </c>
      <c r="W35" s="89">
        <v>21.0</v>
      </c>
      <c r="X35" s="89">
        <v>22.0</v>
      </c>
      <c r="Y35" s="89">
        <v>23.0</v>
      </c>
      <c r="Z35" s="89">
        <v>24.0</v>
      </c>
      <c r="AA35" s="89"/>
      <c r="AB35" s="89" t="s">
        <v>73</v>
      </c>
      <c r="AC35" s="89"/>
      <c r="AD35" s="89"/>
      <c r="AE35" s="89"/>
      <c r="AF35" s="89"/>
      <c r="AG35" s="89"/>
      <c r="AH35" s="89"/>
    </row>
    <row r="36" ht="12.75" customHeight="1">
      <c r="A36" s="90" t="s">
        <v>74</v>
      </c>
      <c r="B36" s="89"/>
      <c r="C36" s="120">
        <f>AVERAGE(C10,D11,E12,F13,G14,H15,I16,J17,K18,L19,M20,N21,O22,P23,Q24,R25,S26,T27,U28,V29,W30,X31,Y32,Z33)</f>
        <v>1</v>
      </c>
      <c r="D36" s="123">
        <f>AVERAGE(D10,E11,F12,G13,H14,I15,J16,K17,L18,M19,N20,O21,P22,Q23,R24,S25,T26,U27,V28,W29,X30,Y31,Z32)</f>
        <v>0.2384857437</v>
      </c>
      <c r="E36" s="123">
        <f>AVERAGE(E10,F11,G12,H13,I14,J15,K16,L17,M18,N19,O20,P21,Q22,R23,S24,T25,U26,V27,W28,X29,Y30,Z31)</f>
        <v>0.1838409122</v>
      </c>
      <c r="F36" s="123">
        <f>AVERAGE(F10,G11,H12,I13,J14,K15,L16,M17,N18,O19,P20,Q21,R22,S23,T24,U25,V26,W27,X28,Y29,Z30)</f>
        <v>0.1451113073</v>
      </c>
      <c r="G36" s="123">
        <f>AVERAGE(G10,H11,I12,J13,K14,L15,M16,N17,O18,P19,Q20,R21,S22,T23,U24,V25,W26,X27,Y28,Z29)</f>
        <v>0.1458180274</v>
      </c>
      <c r="H36" s="123">
        <f>AVERAGE(H10,I11,J12,K13,L14,M15,N16,O17,P18,Q19,R20,S21,T22,U23,V24,W25,X26,Y27,Z28)</f>
        <v>0.1341945125</v>
      </c>
      <c r="I36" s="123">
        <f>AVERAGE(I10,J11,K12,L13,M14,N15,O16,P17,Q18,R19,S20,T21,U22,V23,W24,X25,Y26,Z27)</f>
        <v>0.1278305441</v>
      </c>
      <c r="J36" s="123">
        <f>AVERAGE(J10,K11,L12,M13,N14,O15,P16,Q17,R18,S19,T20,U21,V22,W23,X24,Y25,Z26)</f>
        <v>0.1141082516</v>
      </c>
      <c r="K36" s="123">
        <f>AVERAGE(K10,L11,M12,N13,O14,P15,Q16,R17,S18,T19,U20,V21,W22,X23,Y24,Z25)</f>
        <v>0.1119532987</v>
      </c>
      <c r="L36" s="123">
        <f>AVERAGE(L10,M11,N12,O13,P14,Q15,R16,S17,T18,U19,V20,W21,X22,Y23,Z24)</f>
        <v>0.1190037762</v>
      </c>
      <c r="M36" s="123">
        <f>AVERAGE(M10,N11,O12,P13,Q14,R15,S16,T17,U18,V19,W20,X21,Y22,Z23)</f>
        <v>0.1129121189</v>
      </c>
      <c r="N36" s="123">
        <f>AVERAGE(N10,O11,P12,Q13,R14,S15,T16,U17,V18,W19,X20,Y21,Z22)</f>
        <v>0.1024293866</v>
      </c>
      <c r="O36" s="123">
        <f>AVERAGE(O10,P11,Q12,R13,S14,T15,U16,V17,W18,X19,Y20,Z21)</f>
        <v>0.10869517</v>
      </c>
      <c r="P36" s="123">
        <f>AVERAGE(P10,Q11,R12,S13,T14,U15,V16,W17,X18,Y19,Z20)</f>
        <v>0.09949341279</v>
      </c>
      <c r="Q36" s="123">
        <f>AVERAGE(Q10,R11,S12,T13,U14,V15,W16,X17,Y18,Z19)</f>
        <v>0.1023457855</v>
      </c>
      <c r="R36" s="123">
        <f>AVERAGE(R10,S11,T12,U13,V14,W15,X16,Y17,Z18)</f>
        <v>0.09285628326</v>
      </c>
      <c r="S36" s="123">
        <f>AVERAGE(S10,T11,U12,V13,W14,X15,Y16,Z17)</f>
        <v>0.08707682217</v>
      </c>
      <c r="T36" s="123">
        <f>AVERAGE(T10,U11,V12,W13,X14,Y15,Z16)</f>
        <v>0.08789437189</v>
      </c>
      <c r="U36" s="123">
        <f>AVERAGE(U10,V11,W12,X13,Y14,Z15)</f>
        <v>0.08764669491</v>
      </c>
      <c r="V36" s="123">
        <f>AVERAGE(V10,W11,X12,Y13,Z14)</f>
        <v>0.08245040478</v>
      </c>
      <c r="W36" s="123">
        <f>AVERAGE(W10,X11,Y12,Z13)</f>
        <v>0.0799211248</v>
      </c>
      <c r="X36" s="123">
        <f>AVERAGE(X10,Y11,Z12)</f>
        <v>0.08175053333</v>
      </c>
      <c r="Y36" s="123">
        <f>AVERAGE(Y10,Z11)</f>
        <v>0.081473</v>
      </c>
      <c r="Z36" s="123">
        <f>AVERAGE(Z10)</f>
        <v>0.0781</v>
      </c>
      <c r="AA36" s="89"/>
      <c r="AB36" s="132">
        <f t="array" ref="AB36">EXP(INTERCEPT(LN(D36:Z36), LN(C35:Y35)))</f>
        <v>0.2323917394</v>
      </c>
      <c r="AC36" s="132">
        <f t="array" ref="AC36">SLOPE(LN(D36:Z36), LN(C35:Y35))</f>
        <v>-0.3392176988</v>
      </c>
      <c r="AD36" s="19" t="str">
        <f>"This means that the best fitting line of type y=ax^b is y=" &amp; ROUND(AB36, 3) &amp; "x^(" &amp; ROUND(AC36, 3)  &amp; ")."</f>
        <v>This means that the best fitting line of type y=ax^b is y=0.232x^(-0.339).</v>
      </c>
    </row>
    <row r="37" ht="12.75" customHeight="1">
      <c r="A37" s="145" t="s">
        <v>92</v>
      </c>
      <c r="B37" s="145"/>
      <c r="C37" s="148">
        <f>C36</f>
        <v>1</v>
      </c>
      <c r="D37" s="148">
        <f t="shared" ref="D37:Z37" si="1">$AB36*(D35-1)^$AC36</f>
        <v>0.2323917394</v>
      </c>
      <c r="E37" s="148">
        <f t="shared" si="1"/>
        <v>0.1836986583</v>
      </c>
      <c r="F37" s="148">
        <f t="shared" si="1"/>
        <v>0.1600931362</v>
      </c>
      <c r="G37" s="148">
        <f t="shared" si="1"/>
        <v>0.1452082468</v>
      </c>
      <c r="H37" s="148">
        <f t="shared" si="1"/>
        <v>0.134622512</v>
      </c>
      <c r="I37" s="148">
        <f t="shared" si="1"/>
        <v>0.1265487938</v>
      </c>
      <c r="J37" s="148">
        <f t="shared" si="1"/>
        <v>0.1201015118</v>
      </c>
      <c r="K37" s="148">
        <f t="shared" si="1"/>
        <v>0.1147827378</v>
      </c>
      <c r="L37" s="148">
        <f t="shared" si="1"/>
        <v>0.1102871054</v>
      </c>
      <c r="M37" s="148">
        <f t="shared" si="1"/>
        <v>0.1064150339</v>
      </c>
      <c r="N37" s="148">
        <f t="shared" si="1"/>
        <v>0.1030295627</v>
      </c>
      <c r="O37" s="148">
        <f t="shared" si="1"/>
        <v>0.1000330033</v>
      </c>
      <c r="P37" s="148">
        <f t="shared" si="1"/>
        <v>0.09735345884</v>
      </c>
      <c r="Q37" s="148">
        <f t="shared" si="1"/>
        <v>0.09493662135</v>
      </c>
      <c r="R37" s="148">
        <f t="shared" si="1"/>
        <v>0.09274056045</v>
      </c>
      <c r="S37" s="148">
        <f t="shared" si="1"/>
        <v>0.090732291</v>
      </c>
      <c r="T37" s="148">
        <f t="shared" si="1"/>
        <v>0.08888544172</v>
      </c>
      <c r="U37" s="148">
        <f t="shared" si="1"/>
        <v>0.08717862923</v>
      </c>
      <c r="V37" s="148">
        <f t="shared" si="1"/>
        <v>0.08559429767</v>
      </c>
      <c r="W37" s="148">
        <f t="shared" si="1"/>
        <v>0.08411787354</v>
      </c>
      <c r="X37" s="148">
        <f t="shared" si="1"/>
        <v>0.08273713918</v>
      </c>
      <c r="Y37" s="148">
        <f t="shared" si="1"/>
        <v>0.08144176066</v>
      </c>
      <c r="Z37" s="148">
        <f t="shared" si="1"/>
        <v>0.08022292702</v>
      </c>
      <c r="AA37" s="89"/>
      <c r="AB37" s="89" t="s">
        <v>93</v>
      </c>
      <c r="AC37" s="19"/>
      <c r="AD37" s="19"/>
      <c r="AE37" s="19"/>
      <c r="AF37" s="19"/>
      <c r="AG37" s="19"/>
      <c r="AH37" s="19"/>
    </row>
    <row r="38" ht="12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19"/>
      <c r="AD38" s="19"/>
      <c r="AE38" s="19"/>
      <c r="AF38" s="19"/>
      <c r="AG38" s="19"/>
      <c r="AH38" s="19"/>
    </row>
    <row r="39" ht="12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19"/>
      <c r="AD39" s="19"/>
      <c r="AE39" s="19"/>
      <c r="AF39" s="19"/>
      <c r="AG39" s="19"/>
      <c r="AH39" s="19"/>
    </row>
    <row r="40" ht="12.75" customHeight="1">
      <c r="A40" s="90"/>
      <c r="B40" s="91"/>
      <c r="C40" s="90" t="s">
        <v>94</v>
      </c>
      <c r="D40" s="90"/>
      <c r="E40" s="90"/>
      <c r="F40" s="90"/>
      <c r="G40" s="90"/>
      <c r="H40" s="90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19"/>
      <c r="AD40" s="19"/>
      <c r="AE40" s="19"/>
      <c r="AF40" s="19"/>
      <c r="AG40" s="19"/>
      <c r="AH40" s="19"/>
    </row>
    <row r="41" ht="12.75" customHeight="1">
      <c r="A41" s="89"/>
      <c r="B41" s="89"/>
      <c r="C41" s="92">
        <v>40940.0</v>
      </c>
      <c r="D41" s="92">
        <v>40969.0</v>
      </c>
      <c r="E41" s="92">
        <v>41000.0</v>
      </c>
      <c r="F41" s="92">
        <v>41030.0</v>
      </c>
      <c r="G41" s="92">
        <v>41061.0</v>
      </c>
      <c r="H41" s="92">
        <v>41091.0</v>
      </c>
      <c r="I41" s="92">
        <v>41122.0</v>
      </c>
      <c r="J41" s="92">
        <v>41153.0</v>
      </c>
      <c r="K41" s="92">
        <v>41183.0</v>
      </c>
      <c r="L41" s="92">
        <v>41214.0</v>
      </c>
      <c r="M41" s="92">
        <v>41244.0</v>
      </c>
      <c r="N41" s="92">
        <v>41275.0</v>
      </c>
      <c r="O41" s="92">
        <v>41306.0</v>
      </c>
      <c r="P41" s="92">
        <v>41334.0</v>
      </c>
      <c r="Q41" s="92">
        <v>41365.0</v>
      </c>
      <c r="R41" s="92">
        <v>41395.0</v>
      </c>
      <c r="S41" s="92">
        <v>41426.0</v>
      </c>
      <c r="T41" s="92">
        <v>41456.0</v>
      </c>
      <c r="U41" s="92">
        <v>41487.0</v>
      </c>
      <c r="V41" s="92">
        <v>41518.0</v>
      </c>
      <c r="W41" s="92">
        <v>41548.0</v>
      </c>
      <c r="X41" s="92">
        <v>41579.0</v>
      </c>
      <c r="Y41" s="92">
        <v>41609.0</v>
      </c>
      <c r="Z41" s="92">
        <v>41640.0</v>
      </c>
      <c r="AA41" s="89"/>
      <c r="AB41" s="89"/>
      <c r="AC41" s="19"/>
      <c r="AD41" s="19"/>
      <c r="AE41" s="19"/>
      <c r="AF41" s="19"/>
      <c r="AG41" s="19"/>
      <c r="AH41" s="19"/>
    </row>
    <row r="42" ht="12.75" customHeight="1">
      <c r="A42" s="89" t="s">
        <v>95</v>
      </c>
      <c r="B42" s="92">
        <v>40940.0</v>
      </c>
      <c r="C42" s="160">
        <v>1.05</v>
      </c>
      <c r="D42" s="160">
        <v>1.2</v>
      </c>
      <c r="E42" s="160">
        <v>1.17</v>
      </c>
      <c r="F42" s="160">
        <v>1.18</v>
      </c>
      <c r="G42" s="160">
        <v>1.19</v>
      </c>
      <c r="H42" s="160">
        <v>1.21</v>
      </c>
      <c r="I42" s="160">
        <v>1.23</v>
      </c>
      <c r="J42" s="160">
        <v>1.17</v>
      </c>
      <c r="K42" s="160">
        <v>1.21</v>
      </c>
      <c r="L42" s="160">
        <v>1.19</v>
      </c>
      <c r="M42" s="160">
        <v>1.2</v>
      </c>
      <c r="N42" s="160">
        <v>1.19</v>
      </c>
      <c r="O42" s="160">
        <v>1.19</v>
      </c>
      <c r="P42" s="160">
        <v>1.2</v>
      </c>
      <c r="Q42" s="160">
        <v>1.17</v>
      </c>
      <c r="R42" s="160">
        <v>1.2</v>
      </c>
      <c r="S42" s="160">
        <v>1.22</v>
      </c>
      <c r="T42" s="160">
        <v>1.18</v>
      </c>
      <c r="U42" s="160">
        <v>1.17</v>
      </c>
      <c r="V42" s="160">
        <v>1.17</v>
      </c>
      <c r="W42" s="160">
        <v>1.2</v>
      </c>
      <c r="X42" s="160">
        <v>1.23</v>
      </c>
      <c r="Y42" s="160">
        <v>1.18</v>
      </c>
      <c r="Z42" s="160">
        <v>1.23</v>
      </c>
      <c r="AA42" s="89"/>
      <c r="AB42" s="89"/>
      <c r="AC42" s="19"/>
      <c r="AD42" s="19"/>
      <c r="AE42" s="19"/>
      <c r="AF42" s="19"/>
      <c r="AG42" s="19"/>
      <c r="AH42" s="19"/>
    </row>
    <row r="43" ht="12.75" customHeight="1">
      <c r="A43" s="89"/>
      <c r="B43" s="92">
        <v>40969.0</v>
      </c>
      <c r="C43" s="160"/>
      <c r="D43" s="160">
        <v>1.0395</v>
      </c>
      <c r="E43" s="160">
        <v>1.224</v>
      </c>
      <c r="F43" s="160">
        <v>1.2051</v>
      </c>
      <c r="G43" s="160">
        <v>1.1682</v>
      </c>
      <c r="H43" s="160">
        <v>1.19</v>
      </c>
      <c r="I43" s="160">
        <v>1.1858</v>
      </c>
      <c r="J43" s="160">
        <v>1.23</v>
      </c>
      <c r="K43" s="160">
        <v>1.1817</v>
      </c>
      <c r="L43" s="160">
        <v>1.1858</v>
      </c>
      <c r="M43" s="160">
        <v>1.1662</v>
      </c>
      <c r="N43" s="160">
        <v>1.224</v>
      </c>
      <c r="O43" s="160">
        <v>1.19</v>
      </c>
      <c r="P43" s="160">
        <v>1.2019</v>
      </c>
      <c r="Q43" s="160">
        <v>1.212</v>
      </c>
      <c r="R43" s="160">
        <v>1.2051</v>
      </c>
      <c r="S43" s="160">
        <v>1.176</v>
      </c>
      <c r="T43" s="160">
        <v>1.2566</v>
      </c>
      <c r="U43" s="160">
        <v>1.1918</v>
      </c>
      <c r="V43" s="160">
        <v>1.17</v>
      </c>
      <c r="W43" s="160">
        <v>1.1817</v>
      </c>
      <c r="X43" s="160">
        <v>1.188</v>
      </c>
      <c r="Y43" s="160">
        <v>1.2669</v>
      </c>
      <c r="Z43" s="160">
        <v>1.1918</v>
      </c>
      <c r="AA43" s="89"/>
      <c r="AB43" s="89"/>
      <c r="AC43" s="19"/>
      <c r="AD43" s="19"/>
      <c r="AE43" s="19"/>
      <c r="AF43" s="19"/>
      <c r="AG43" s="19"/>
      <c r="AH43" s="19"/>
    </row>
    <row r="44" ht="12.75" customHeight="1">
      <c r="A44" s="89"/>
      <c r="B44" s="92">
        <v>41000.0</v>
      </c>
      <c r="C44" s="160"/>
      <c r="D44" s="160"/>
      <c r="E44" s="160">
        <v>1.0395</v>
      </c>
      <c r="F44" s="160">
        <v>1.26072</v>
      </c>
      <c r="G44" s="160">
        <v>1.193049</v>
      </c>
      <c r="H44" s="160">
        <v>1.156518</v>
      </c>
      <c r="I44" s="160">
        <v>1.19</v>
      </c>
      <c r="J44" s="160">
        <v>1.197658</v>
      </c>
      <c r="K44" s="160">
        <v>1.23</v>
      </c>
      <c r="L44" s="160">
        <v>1.217151</v>
      </c>
      <c r="M44" s="160">
        <v>1.197658</v>
      </c>
      <c r="N44" s="160">
        <v>1.201186</v>
      </c>
      <c r="O44" s="160">
        <v>1.24848</v>
      </c>
      <c r="P44" s="160">
        <v>1.1781</v>
      </c>
      <c r="Q44" s="160">
        <v>1.189881</v>
      </c>
      <c r="R44" s="160">
        <v>1.212</v>
      </c>
      <c r="S44" s="160">
        <v>1.229202</v>
      </c>
      <c r="T44" s="160">
        <v>1.15248</v>
      </c>
      <c r="U44" s="160">
        <v>1.269166</v>
      </c>
      <c r="V44" s="160">
        <v>1.1918</v>
      </c>
      <c r="W44" s="160">
        <v>1.2051</v>
      </c>
      <c r="X44" s="160">
        <v>1.217151</v>
      </c>
      <c r="Y44" s="160">
        <v>1.16424</v>
      </c>
      <c r="Z44" s="160">
        <v>1.241562</v>
      </c>
      <c r="AA44" s="89"/>
      <c r="AB44" s="89"/>
      <c r="AC44" s="19"/>
      <c r="AD44" s="19"/>
      <c r="AE44" s="19"/>
      <c r="AF44" s="19"/>
      <c r="AG44" s="19"/>
      <c r="AH44" s="19"/>
    </row>
    <row r="45" ht="12.75" customHeight="1">
      <c r="A45" s="89"/>
      <c r="B45" s="92">
        <v>41030.0</v>
      </c>
      <c r="C45" s="160"/>
      <c r="D45" s="160"/>
      <c r="E45" s="160"/>
      <c r="F45" s="160">
        <v>1.0395</v>
      </c>
      <c r="G45" s="160">
        <v>1.2355056</v>
      </c>
      <c r="H45" s="160">
        <v>1.20497949</v>
      </c>
      <c r="I45" s="160">
        <v>1.156518</v>
      </c>
      <c r="J45" s="160">
        <v>1.2138</v>
      </c>
      <c r="K45" s="160">
        <v>1.23358774</v>
      </c>
      <c r="L45" s="160">
        <v>1.2054</v>
      </c>
      <c r="M45" s="160">
        <v>1.24149402</v>
      </c>
      <c r="N45" s="160">
        <v>1.18568142</v>
      </c>
      <c r="O45" s="160">
        <v>1.21319786</v>
      </c>
      <c r="P45" s="160">
        <v>1.2359952</v>
      </c>
      <c r="Q45" s="160">
        <v>1.189881</v>
      </c>
      <c r="R45" s="160">
        <v>1.189881</v>
      </c>
      <c r="S45" s="160">
        <v>1.18776</v>
      </c>
      <c r="T45" s="160">
        <v>1.26607806</v>
      </c>
      <c r="U45" s="160">
        <v>1.1640048</v>
      </c>
      <c r="V45" s="160">
        <v>1.269166</v>
      </c>
      <c r="W45" s="160">
        <v>1.215636</v>
      </c>
      <c r="X45" s="160">
        <v>1.229202</v>
      </c>
      <c r="Y45" s="160">
        <v>1.217151</v>
      </c>
      <c r="Z45" s="160">
        <v>1.1409552</v>
      </c>
      <c r="AA45" s="89"/>
      <c r="AB45" s="89"/>
      <c r="AC45" s="19"/>
      <c r="AD45" s="19"/>
      <c r="AE45" s="19"/>
      <c r="AF45" s="19"/>
      <c r="AG45" s="19"/>
      <c r="AH45" s="19"/>
    </row>
    <row r="46" ht="12.75" customHeight="1">
      <c r="A46" s="89"/>
      <c r="B46" s="92">
        <v>41061.0</v>
      </c>
      <c r="C46" s="160"/>
      <c r="D46" s="160"/>
      <c r="E46" s="160"/>
      <c r="F46" s="160"/>
      <c r="G46" s="160">
        <v>1.0395</v>
      </c>
      <c r="H46" s="160">
        <v>1.247860656</v>
      </c>
      <c r="I46" s="160">
        <v>1.1929296951</v>
      </c>
      <c r="J46" s="160">
        <v>1.13338764</v>
      </c>
      <c r="K46" s="160">
        <v>1.201662</v>
      </c>
      <c r="L46" s="160">
        <v>1.2212518626</v>
      </c>
      <c r="M46" s="160">
        <v>1.241562</v>
      </c>
      <c r="N46" s="160">
        <v>1.2787388406</v>
      </c>
      <c r="O46" s="160">
        <v>1.18568142</v>
      </c>
      <c r="P46" s="160">
        <v>1.1889339028</v>
      </c>
      <c r="Q46" s="160">
        <v>1.273075056</v>
      </c>
      <c r="R46" s="160">
        <v>1.21367862</v>
      </c>
      <c r="S46" s="160">
        <v>1.21367862</v>
      </c>
      <c r="T46" s="160">
        <v>1.1996376</v>
      </c>
      <c r="U46" s="160">
        <v>1.2534172794</v>
      </c>
      <c r="V46" s="160">
        <v>1.187284896</v>
      </c>
      <c r="W46" s="160">
        <v>1.269166</v>
      </c>
      <c r="X46" s="160">
        <v>1.25210508</v>
      </c>
      <c r="Y46" s="160">
        <v>1.21690998</v>
      </c>
      <c r="Z46" s="160">
        <v>1.25366553</v>
      </c>
      <c r="AA46" s="89"/>
      <c r="AB46" s="89"/>
      <c r="AC46" s="19"/>
      <c r="AD46" s="19"/>
      <c r="AE46" s="19"/>
      <c r="AF46" s="19"/>
      <c r="AG46" s="19"/>
      <c r="AH46" s="19"/>
    </row>
    <row r="47" ht="12.75" customHeight="1">
      <c r="A47" s="89"/>
      <c r="B47" s="92">
        <v>41091.0</v>
      </c>
      <c r="C47" s="160"/>
      <c r="D47" s="160"/>
      <c r="E47" s="160"/>
      <c r="F47" s="160"/>
      <c r="G47" s="160"/>
      <c r="H47" s="160">
        <v>1.0605</v>
      </c>
      <c r="I47" s="160">
        <v>1.26033926256</v>
      </c>
      <c r="J47" s="160">
        <v>1.204858992051</v>
      </c>
      <c r="K47" s="160">
        <v>1.13338764</v>
      </c>
      <c r="L47" s="160">
        <v>1.23771186</v>
      </c>
      <c r="M47" s="160">
        <v>1.209039343974</v>
      </c>
      <c r="N47" s="160">
        <v>1.21673076</v>
      </c>
      <c r="O47" s="160">
        <v>1.304313617412</v>
      </c>
      <c r="P47" s="160">
        <v>1.2212518626</v>
      </c>
      <c r="Q47" s="160">
        <v>1.212712580856</v>
      </c>
      <c r="R47" s="160">
        <v>1.31126730768</v>
      </c>
      <c r="S47" s="160">
        <v>1.2379521924</v>
      </c>
      <c r="T47" s="160">
        <v>1.2379521924</v>
      </c>
      <c r="U47" s="160">
        <v>1.211633976</v>
      </c>
      <c r="V47" s="160">
        <v>1.228348933812</v>
      </c>
      <c r="W47" s="160">
        <v>1.16353919808</v>
      </c>
      <c r="X47" s="160">
        <v>1.28185766</v>
      </c>
      <c r="Y47" s="160">
        <v>1.2270629784</v>
      </c>
      <c r="Z47" s="160">
        <v>1.2412481796</v>
      </c>
      <c r="AA47" s="89"/>
      <c r="AB47" s="89"/>
      <c r="AC47" s="19"/>
      <c r="AD47" s="19"/>
      <c r="AE47" s="19"/>
      <c r="AF47" s="19"/>
      <c r="AG47" s="19"/>
      <c r="AH47" s="19"/>
    </row>
    <row r="48" ht="12.75" customHeight="1">
      <c r="A48" s="89"/>
      <c r="B48" s="92">
        <v>41122.0</v>
      </c>
      <c r="C48" s="160"/>
      <c r="D48" s="160"/>
      <c r="E48" s="160"/>
      <c r="F48" s="160"/>
      <c r="G48" s="160"/>
      <c r="H48" s="160"/>
      <c r="I48" s="160">
        <v>1.05</v>
      </c>
      <c r="J48" s="160">
        <v>1.1855460478112</v>
      </c>
      <c r="K48" s="160">
        <v>1.21690758197151</v>
      </c>
      <c r="L48" s="160">
        <v>1.1673892692</v>
      </c>
      <c r="M48" s="160">
        <v>1.23771186</v>
      </c>
      <c r="N48" s="160">
        <v>1.22112973741374</v>
      </c>
      <c r="O48" s="160">
        <v>1.1923961448</v>
      </c>
      <c r="P48" s="160">
        <v>1.31735675358612</v>
      </c>
      <c r="Q48" s="160">
        <v>1.245676899852</v>
      </c>
      <c r="R48" s="160">
        <v>1.23696683247312</v>
      </c>
      <c r="S48" s="160">
        <v>1.3506053269104</v>
      </c>
      <c r="T48" s="160">
        <v>1.250331714324</v>
      </c>
      <c r="U48" s="160">
        <v>1.262711236248</v>
      </c>
      <c r="V48" s="160">
        <v>1.24798299528</v>
      </c>
      <c r="W48" s="160">
        <v>1.21606544447388</v>
      </c>
      <c r="X48" s="160">
        <v>1.1402684141184</v>
      </c>
      <c r="Y48" s="160">
        <v>1.3203133898</v>
      </c>
      <c r="Z48" s="160">
        <v>1.239333608184</v>
      </c>
      <c r="AA48" s="89"/>
      <c r="AB48" s="89"/>
      <c r="AC48" s="19"/>
      <c r="AD48" s="19"/>
      <c r="AE48" s="19"/>
      <c r="AF48" s="19"/>
      <c r="AG48" s="19"/>
      <c r="AH48" s="19"/>
    </row>
    <row r="49" ht="12.75" customHeight="1">
      <c r="A49" s="89"/>
      <c r="B49" s="92">
        <v>41153.0</v>
      </c>
      <c r="C49" s="160"/>
      <c r="D49" s="160"/>
      <c r="E49" s="160"/>
      <c r="F49" s="160"/>
      <c r="G49" s="160"/>
      <c r="H49" s="160"/>
      <c r="I49" s="160"/>
      <c r="J49" s="160">
        <v>1.05</v>
      </c>
      <c r="K49" s="160">
        <v>1.19840150828931</v>
      </c>
      <c r="L49" s="160">
        <v>1.22907665779122</v>
      </c>
      <c r="M49" s="160">
        <v>1.1673892692</v>
      </c>
      <c r="N49" s="160">
        <v>1.23771186</v>
      </c>
      <c r="O49" s="160">
        <v>1.2089184400396</v>
      </c>
      <c r="P49" s="160">
        <v>1.216244067696</v>
      </c>
      <c r="Q49" s="160">
        <v>1.30418318605026</v>
      </c>
      <c r="R49" s="160">
        <v>1.28304720684756</v>
      </c>
      <c r="S49" s="160">
        <v>1.23696683247312</v>
      </c>
      <c r="T49" s="160">
        <v>1.39112348671771</v>
      </c>
      <c r="U49" s="160">
        <v>1.26283503146724</v>
      </c>
      <c r="V49" s="160">
        <v>1.25008412388552</v>
      </c>
      <c r="W49" s="160">
        <v>1.2604628252328</v>
      </c>
      <c r="X49" s="160">
        <v>1.1917441355844</v>
      </c>
      <c r="Y49" s="160">
        <v>1.17447646654195</v>
      </c>
      <c r="Z49" s="160">
        <v>1.333516523698</v>
      </c>
      <c r="AA49" s="89"/>
      <c r="AB49" s="89"/>
      <c r="AC49" s="19"/>
      <c r="AD49" s="19"/>
      <c r="AE49" s="19"/>
      <c r="AF49" s="19"/>
      <c r="AG49" s="19"/>
      <c r="AH49" s="19"/>
    </row>
    <row r="50" ht="12.75" customHeight="1">
      <c r="A50" s="89"/>
      <c r="B50" s="92">
        <v>41183.0</v>
      </c>
      <c r="C50" s="160"/>
      <c r="D50" s="160"/>
      <c r="E50" s="160"/>
      <c r="F50" s="160"/>
      <c r="G50" s="160"/>
      <c r="H50" s="160"/>
      <c r="I50" s="160"/>
      <c r="J50" s="160"/>
      <c r="K50" s="160">
        <v>1.05</v>
      </c>
      <c r="L50" s="160">
        <v>1.23735355353799</v>
      </c>
      <c r="M50" s="160">
        <v>1.21678589121331</v>
      </c>
      <c r="N50" s="160">
        <v>1.1673892692</v>
      </c>
      <c r="O50" s="160">
        <v>1.23771186</v>
      </c>
      <c r="P50" s="160">
        <v>1.19682925563921</v>
      </c>
      <c r="Q50" s="160">
        <v>1.216244067696</v>
      </c>
      <c r="R50" s="160">
        <v>1.33026684977126</v>
      </c>
      <c r="S50" s="160">
        <v>1.25738626271061</v>
      </c>
      <c r="T50" s="160">
        <v>1.22459716414839</v>
      </c>
      <c r="U50" s="160">
        <v>1.39112348671771</v>
      </c>
      <c r="V50" s="160">
        <v>1.28809173209658</v>
      </c>
      <c r="W50" s="160">
        <v>1.25008412388552</v>
      </c>
      <c r="X50" s="160">
        <v>1.24785819698047</v>
      </c>
      <c r="Y50" s="160">
        <v>1.21557901829609</v>
      </c>
      <c r="Z50" s="160">
        <v>1.15098693721111</v>
      </c>
      <c r="AA50" s="89"/>
      <c r="AB50" s="89"/>
      <c r="AC50" s="19"/>
      <c r="AD50" s="19"/>
      <c r="AE50" s="19"/>
      <c r="AF50" s="19"/>
      <c r="AG50" s="19"/>
      <c r="AH50" s="19"/>
    </row>
    <row r="51" ht="12.75" customHeight="1">
      <c r="A51" s="89"/>
      <c r="B51" s="92">
        <v>41214.0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60">
        <v>1.0605</v>
      </c>
      <c r="M51" s="160">
        <v>1.26410062460875</v>
      </c>
      <c r="N51" s="160">
        <v>1.25328946794971</v>
      </c>
      <c r="O51" s="160">
        <v>1.1673892692</v>
      </c>
      <c r="P51" s="160">
        <v>1.2624660972</v>
      </c>
      <c r="Q51" s="160">
        <v>1.23273413330838</v>
      </c>
      <c r="R51" s="160">
        <v>1.24056894904992</v>
      </c>
      <c r="S51" s="160">
        <v>1.34356951826898</v>
      </c>
      <c r="T51" s="160">
        <v>1.28253398796482</v>
      </c>
      <c r="U51" s="160">
        <v>1.24908910743136</v>
      </c>
      <c r="V51" s="160">
        <v>1.41894595645207</v>
      </c>
      <c r="W51" s="160">
        <v>1.28809173209658</v>
      </c>
      <c r="X51" s="160">
        <v>1.25008412388552</v>
      </c>
      <c r="Y51" s="160">
        <v>1.24785819698047</v>
      </c>
      <c r="Z51" s="160">
        <v>1.19126743793017</v>
      </c>
      <c r="AA51" s="89"/>
      <c r="AB51" s="89"/>
      <c r="AC51" s="19"/>
      <c r="AD51" s="19"/>
      <c r="AE51" s="19"/>
      <c r="AF51" s="19"/>
      <c r="AG51" s="19"/>
      <c r="AH51" s="19"/>
    </row>
    <row r="52" ht="12.75" customHeight="1">
      <c r="A52" s="89"/>
      <c r="B52" s="92">
        <v>41244.0</v>
      </c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>
        <v>1.0605</v>
      </c>
      <c r="N52" s="160">
        <v>1.20502364334701</v>
      </c>
      <c r="O52" s="160">
        <v>1.22822367859072</v>
      </c>
      <c r="P52" s="160">
        <v>1.190737054584</v>
      </c>
      <c r="Q52" s="160">
        <v>1.275090758172</v>
      </c>
      <c r="R52" s="160">
        <v>1.25738881597455</v>
      </c>
      <c r="S52" s="160">
        <v>1.22816325955942</v>
      </c>
      <c r="T52" s="160">
        <v>1.37044090863436</v>
      </c>
      <c r="U52" s="160">
        <v>1.32101000760377</v>
      </c>
      <c r="V52" s="160">
        <v>1.22410732528273</v>
      </c>
      <c r="W52" s="160">
        <v>1.41894595645207</v>
      </c>
      <c r="X52" s="160">
        <v>1.28809173209658</v>
      </c>
      <c r="Y52" s="160">
        <v>1.26258496512438</v>
      </c>
      <c r="Z52" s="160">
        <v>1.22290103304086</v>
      </c>
      <c r="AA52" s="89"/>
      <c r="AB52" s="89"/>
      <c r="AC52" s="19"/>
      <c r="AD52" s="19"/>
      <c r="AE52" s="19"/>
      <c r="AF52" s="19"/>
      <c r="AG52" s="19"/>
      <c r="AH52" s="19"/>
    </row>
    <row r="53" ht="12.75" customHeight="1">
      <c r="A53" s="89"/>
      <c r="B53" s="92">
        <v>41275.0</v>
      </c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>
        <v>1.05</v>
      </c>
      <c r="O53" s="160">
        <v>1.20502364334701</v>
      </c>
      <c r="P53" s="160">
        <v>1.25278815216253</v>
      </c>
      <c r="Q53" s="160">
        <v>1.22645916622152</v>
      </c>
      <c r="R53" s="160">
        <v>1.28784166575372</v>
      </c>
      <c r="S53" s="160">
        <v>1.2699627041343</v>
      </c>
      <c r="T53" s="160">
        <v>1.22816325955942</v>
      </c>
      <c r="U53" s="160">
        <v>1.3841453177207</v>
      </c>
      <c r="V53" s="160">
        <v>1.3342201076798</v>
      </c>
      <c r="W53" s="160">
        <v>1.19962517877707</v>
      </c>
      <c r="X53" s="160">
        <v>1.43313541601659</v>
      </c>
      <c r="Y53" s="160">
        <v>1.30097264941755</v>
      </c>
      <c r="Z53" s="160">
        <v>1.28783666442686</v>
      </c>
      <c r="AA53" s="89"/>
      <c r="AB53" s="89"/>
      <c r="AC53" s="19"/>
      <c r="AD53" s="19"/>
      <c r="AE53" s="19"/>
      <c r="AF53" s="19"/>
      <c r="AG53" s="19"/>
      <c r="AH53" s="19"/>
    </row>
    <row r="54" ht="12.75" customHeight="1">
      <c r="A54" s="89"/>
      <c r="B54" s="92">
        <v>41306.0</v>
      </c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>
        <v>1.0395</v>
      </c>
      <c r="P54" s="160">
        <v>1.27692317048007</v>
      </c>
      <c r="Q54" s="160">
        <v>1.22773238911928</v>
      </c>
      <c r="R54" s="160">
        <v>1.26325294120817</v>
      </c>
      <c r="S54" s="160">
        <v>1.32647691572633</v>
      </c>
      <c r="T54" s="160">
        <v>1.24456345005161</v>
      </c>
      <c r="U54" s="160">
        <v>1.2650081573462</v>
      </c>
      <c r="V54" s="160">
        <v>1.3841453177207</v>
      </c>
      <c r="W54" s="160">
        <v>1.3475623087566</v>
      </c>
      <c r="X54" s="160">
        <v>1.19962517877707</v>
      </c>
      <c r="Y54" s="160">
        <v>1.47612947849708</v>
      </c>
      <c r="Z54" s="160">
        <v>1.31398237591173</v>
      </c>
      <c r="AA54" s="89"/>
      <c r="AB54" s="89"/>
      <c r="AC54" s="19"/>
      <c r="AD54" s="19"/>
      <c r="AE54" s="19"/>
      <c r="AF54" s="19"/>
      <c r="AG54" s="19"/>
      <c r="AH54" s="19"/>
    </row>
    <row r="55" ht="12.75" customHeight="1">
      <c r="A55" s="89"/>
      <c r="B55" s="92">
        <v>41334.0</v>
      </c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>
        <v>1.0605</v>
      </c>
      <c r="Q55" s="160">
        <v>1.20446163388968</v>
      </c>
      <c r="R55" s="160">
        <v>1.26456436079286</v>
      </c>
      <c r="S55" s="160">
        <v>1.30115052944441</v>
      </c>
      <c r="T55" s="160">
        <v>1.35300645404086</v>
      </c>
      <c r="U55" s="160">
        <v>1.25700908455213</v>
      </c>
      <c r="V55" s="160">
        <v>1.2650081573462</v>
      </c>
      <c r="W55" s="160">
        <v>1.37030386454349</v>
      </c>
      <c r="X55" s="160">
        <v>1.3879891780193</v>
      </c>
      <c r="Y55" s="160">
        <v>1.22361768235262</v>
      </c>
      <c r="Z55" s="160">
        <v>1.50565206806703</v>
      </c>
      <c r="AA55" s="89"/>
      <c r="AB55" s="89"/>
      <c r="AC55" s="19"/>
      <c r="AD55" s="19"/>
      <c r="AE55" s="19"/>
      <c r="AF55" s="19"/>
      <c r="AG55" s="19"/>
      <c r="AH55" s="19"/>
    </row>
    <row r="56" ht="12.75" customHeight="1">
      <c r="A56" s="89"/>
      <c r="B56" s="92">
        <v>41365.0</v>
      </c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>
        <v>1.05</v>
      </c>
      <c r="R56" s="160">
        <v>1.31850625022857</v>
      </c>
      <c r="S56" s="160">
        <v>1.26456436079286</v>
      </c>
      <c r="T56" s="160">
        <v>1.31416203473885</v>
      </c>
      <c r="U56" s="160">
        <v>1.32594632496004</v>
      </c>
      <c r="V56" s="160">
        <v>1.25700908455213</v>
      </c>
      <c r="W56" s="160">
        <v>1.25235807577274</v>
      </c>
      <c r="X56" s="160">
        <v>1.37030386454349</v>
      </c>
      <c r="Y56" s="160">
        <v>1.3879891780193</v>
      </c>
      <c r="Z56" s="160">
        <v>1.24809003599967</v>
      </c>
      <c r="AA56" s="89"/>
      <c r="AB56" s="89"/>
      <c r="AC56" s="19"/>
      <c r="AD56" s="19"/>
      <c r="AE56" s="19"/>
      <c r="AF56" s="19"/>
      <c r="AG56" s="19"/>
      <c r="AH56" s="19"/>
    </row>
    <row r="57" ht="12.75" customHeight="1">
      <c r="A57" s="89"/>
      <c r="B57" s="92">
        <v>41395.0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>
        <v>1.05</v>
      </c>
      <c r="S57" s="160">
        <v>1.30432118772629</v>
      </c>
      <c r="T57" s="160">
        <v>1.26456436079286</v>
      </c>
      <c r="U57" s="160">
        <v>1.28787879404408</v>
      </c>
      <c r="V57" s="160">
        <v>1.33920578820964</v>
      </c>
      <c r="W57" s="160">
        <v>1.26957917539765</v>
      </c>
      <c r="X57" s="160">
        <v>1.23983449501501</v>
      </c>
      <c r="Y57" s="160">
        <v>1.4114129804798</v>
      </c>
      <c r="Z57" s="160">
        <v>1.36022939445891</v>
      </c>
      <c r="AA57" s="89"/>
      <c r="AB57" s="89"/>
      <c r="AC57" s="19"/>
      <c r="AD57" s="19"/>
      <c r="AE57" s="19"/>
      <c r="AF57" s="19"/>
      <c r="AG57" s="19"/>
      <c r="AH57" s="19"/>
    </row>
    <row r="58" ht="12.75" customHeight="1">
      <c r="A58" s="89"/>
      <c r="B58" s="92">
        <v>41426.0</v>
      </c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>
        <v>1.0395</v>
      </c>
      <c r="T58" s="160">
        <v>1.24645082335807</v>
      </c>
      <c r="U58" s="160">
        <v>1.239273073577</v>
      </c>
      <c r="V58" s="160">
        <v>1.2621212181632</v>
      </c>
      <c r="W58" s="160">
        <v>1.37938196185593</v>
      </c>
      <c r="X58" s="160">
        <v>1.28227496715162</v>
      </c>
      <c r="Y58" s="160">
        <v>1.22743615006486</v>
      </c>
      <c r="Z58" s="160">
        <v>1.397298850675</v>
      </c>
      <c r="AA58" s="89"/>
      <c r="AB58" s="89"/>
      <c r="AC58" s="19"/>
      <c r="AD58" s="19"/>
      <c r="AE58" s="19"/>
      <c r="AF58" s="19"/>
      <c r="AG58" s="19"/>
      <c r="AH58" s="19"/>
    </row>
    <row r="59" ht="12.75" customHeight="1">
      <c r="A59" s="89"/>
      <c r="B59" s="92">
        <v>41456.0</v>
      </c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>
        <v>1.0605</v>
      </c>
      <c r="U59" s="160">
        <v>1.33198631512449</v>
      </c>
      <c r="V59" s="160">
        <v>1.27645126578431</v>
      </c>
      <c r="W59" s="160">
        <v>1.29998485470809</v>
      </c>
      <c r="X59" s="160">
        <v>1.37938196185593</v>
      </c>
      <c r="Y59" s="160">
        <v>1.32074321616617</v>
      </c>
      <c r="Z59" s="160">
        <v>1.22743615006486</v>
      </c>
      <c r="AA59" s="89"/>
      <c r="AB59" s="89"/>
      <c r="AC59" s="19"/>
      <c r="AD59" s="19"/>
      <c r="AE59" s="19"/>
      <c r="AF59" s="19"/>
      <c r="AG59" s="19"/>
      <c r="AH59" s="19"/>
    </row>
    <row r="60" ht="12.75" customHeight="1">
      <c r="A60" s="89"/>
      <c r="B60" s="92">
        <v>41487.0</v>
      </c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>
        <v>1.0605</v>
      </c>
      <c r="V60" s="160">
        <v>1.31766645197325</v>
      </c>
      <c r="W60" s="160">
        <v>1.26368675312647</v>
      </c>
      <c r="X60" s="160">
        <v>1.33898440034933</v>
      </c>
      <c r="Y60" s="160">
        <v>1.35179432261881</v>
      </c>
      <c r="Z60" s="160">
        <v>1.33395064832783</v>
      </c>
      <c r="AA60" s="89"/>
      <c r="AB60" s="89"/>
      <c r="AC60" s="19"/>
      <c r="AD60" s="19"/>
      <c r="AE60" s="19"/>
      <c r="AF60" s="19"/>
      <c r="AG60" s="19"/>
      <c r="AH60" s="19"/>
    </row>
    <row r="61" ht="12.75" customHeight="1">
      <c r="A61" s="89"/>
      <c r="B61" s="92">
        <v>41518.0</v>
      </c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>
        <v>1.0395</v>
      </c>
      <c r="W61" s="160">
        <v>1.34601978101271</v>
      </c>
      <c r="X61" s="160">
        <v>1.23841301806394</v>
      </c>
      <c r="Y61" s="160">
        <v>1.32559455634584</v>
      </c>
      <c r="Z61" s="160">
        <v>1.32475843616644</v>
      </c>
      <c r="AA61" s="89"/>
      <c r="AB61" s="89"/>
      <c r="AC61" s="19"/>
      <c r="AD61" s="19"/>
      <c r="AE61" s="19"/>
      <c r="AF61" s="19"/>
      <c r="AG61" s="19"/>
      <c r="AH61" s="19"/>
    </row>
    <row r="62" ht="12.75" customHeight="1">
      <c r="A62" s="89"/>
      <c r="B62" s="92">
        <v>41548.0</v>
      </c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>
        <v>1.05</v>
      </c>
      <c r="X62" s="160">
        <v>1.36047997882284</v>
      </c>
      <c r="Y62" s="160">
        <v>1.27556540860586</v>
      </c>
      <c r="Z62" s="160">
        <v>1.3388505019093</v>
      </c>
      <c r="AA62" s="89"/>
      <c r="AB62" s="89"/>
      <c r="AC62" s="19"/>
      <c r="AD62" s="19"/>
      <c r="AE62" s="19"/>
      <c r="AF62" s="19"/>
      <c r="AG62" s="19"/>
      <c r="AH62" s="19"/>
    </row>
    <row r="63" ht="12.75" customHeight="1">
      <c r="A63" s="89"/>
      <c r="B63" s="92">
        <v>41579.0</v>
      </c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>
        <v>1.0395</v>
      </c>
      <c r="Y63" s="160">
        <v>1.2896895783993</v>
      </c>
      <c r="Z63" s="160">
        <v>1.25005410043374</v>
      </c>
      <c r="AA63" s="89"/>
      <c r="AB63" s="89"/>
      <c r="AC63" s="19"/>
      <c r="AD63" s="19"/>
      <c r="AE63" s="19"/>
      <c r="AF63" s="19"/>
      <c r="AG63" s="19"/>
      <c r="AH63" s="19"/>
    </row>
    <row r="64" ht="12.75" customHeight="1">
      <c r="A64" s="89"/>
      <c r="B64" s="92">
        <v>41609.0</v>
      </c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>
        <v>1.0605</v>
      </c>
      <c r="Z64" s="160">
        <v>1.2896895783993</v>
      </c>
      <c r="AA64" s="89"/>
      <c r="AB64" s="89"/>
      <c r="AC64" s="19"/>
      <c r="AD64" s="19"/>
      <c r="AE64" s="19"/>
      <c r="AF64" s="19"/>
      <c r="AG64" s="19"/>
      <c r="AH64" s="19"/>
    </row>
    <row r="65" ht="12.75" customHeight="1">
      <c r="A65" s="89"/>
      <c r="B65" s="92">
        <v>41640.0</v>
      </c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>
        <v>1.05</v>
      </c>
      <c r="AA65" s="89"/>
      <c r="AB65" s="89"/>
      <c r="AC65" s="19"/>
      <c r="AD65" s="19"/>
      <c r="AE65" s="19"/>
      <c r="AF65" s="19"/>
      <c r="AG65" s="19"/>
      <c r="AH65" s="19"/>
    </row>
    <row r="66" ht="12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19"/>
      <c r="AD66" s="19"/>
      <c r="AE66" s="19"/>
      <c r="AF66" s="19"/>
      <c r="AG66" s="19"/>
      <c r="AH66" s="19"/>
    </row>
    <row r="67" ht="12.75" customHeight="1">
      <c r="A67" s="89"/>
      <c r="B67" s="89"/>
      <c r="C67" s="89">
        <v>1.0</v>
      </c>
      <c r="D67" s="171" t="s">
        <v>97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19"/>
      <c r="AD67" s="19"/>
      <c r="AE67" s="19"/>
      <c r="AF67" s="19"/>
      <c r="AG67" s="19"/>
      <c r="AH67" s="19"/>
    </row>
    <row r="68" ht="12.75" customHeight="1">
      <c r="A68" s="90" t="s">
        <v>98</v>
      </c>
      <c r="B68" s="89"/>
      <c r="C68" s="174">
        <f>AVERAGE(C42,D43,E44,F45,G46,H47,I48,J49,K50,L51,M52,N53,O54,P55,Q56,R57,S58,T59,U60,V61,W62,X63,Y64,Z65)</f>
        <v>1.0495625</v>
      </c>
      <c r="D68" s="174">
        <f>AVERAGE(Z42:Z64,Y42:Y63,X42:X62,W42:W61,V42:V60,U42:U59,T42:T58,S42:S57,R42:R56,Q42:Q55,P42:P54,O42:O53,N42:N52,M42:M51,L42:L50,K42:K49,J42:J48,I42:I47,H42:H46,G42:G45,F42:F44,E42:E43,D42)</f>
        <v>1.247047044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19"/>
      <c r="AD68" s="19"/>
      <c r="AE68" s="19"/>
      <c r="AF68" s="19"/>
      <c r="AG68" s="19"/>
      <c r="AH68" s="19"/>
    </row>
    <row r="69" ht="12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19"/>
      <c r="AD69" s="19"/>
      <c r="AE69" s="19"/>
      <c r="AF69" s="19"/>
      <c r="AG69" s="19"/>
      <c r="AH69" s="19"/>
    </row>
    <row r="70" ht="12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19"/>
      <c r="AD70" s="19"/>
      <c r="AE70" s="19"/>
      <c r="AF70" s="19"/>
      <c r="AG70" s="19"/>
      <c r="AH70" s="19"/>
    </row>
    <row r="71" ht="12.75" customHeight="1">
      <c r="A71" s="90"/>
      <c r="B71" s="91"/>
      <c r="C71" s="90" t="s">
        <v>100</v>
      </c>
      <c r="D71" s="90"/>
      <c r="E71" s="90"/>
      <c r="F71" s="90"/>
      <c r="G71" s="90"/>
      <c r="H71" s="90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19"/>
      <c r="AD71" s="19"/>
      <c r="AE71" s="19"/>
      <c r="AF71" s="19"/>
      <c r="AG71" s="19"/>
      <c r="AH71" s="19"/>
    </row>
    <row r="72" ht="12.75" customHeight="1">
      <c r="A72" s="89"/>
      <c r="B72" s="89"/>
      <c r="C72" s="92">
        <v>40940.0</v>
      </c>
      <c r="D72" s="92">
        <v>40969.0</v>
      </c>
      <c r="E72" s="92">
        <v>41000.0</v>
      </c>
      <c r="F72" s="92">
        <v>41030.0</v>
      </c>
      <c r="G72" s="92">
        <v>41061.0</v>
      </c>
      <c r="H72" s="92">
        <v>41091.0</v>
      </c>
      <c r="I72" s="92">
        <v>41122.0</v>
      </c>
      <c r="J72" s="92">
        <v>41153.0</v>
      </c>
      <c r="K72" s="92">
        <v>41183.0</v>
      </c>
      <c r="L72" s="92">
        <v>41214.0</v>
      </c>
      <c r="M72" s="92">
        <v>41244.0</v>
      </c>
      <c r="N72" s="92">
        <v>41275.0</v>
      </c>
      <c r="O72" s="92">
        <v>41306.0</v>
      </c>
      <c r="P72" s="92">
        <v>41334.0</v>
      </c>
      <c r="Q72" s="92">
        <v>41365.0</v>
      </c>
      <c r="R72" s="92">
        <v>41395.0</v>
      </c>
      <c r="S72" s="92">
        <v>41426.0</v>
      </c>
      <c r="T72" s="92">
        <v>41456.0</v>
      </c>
      <c r="U72" s="92">
        <v>41487.0</v>
      </c>
      <c r="V72" s="92">
        <v>41518.0</v>
      </c>
      <c r="W72" s="92">
        <v>41548.0</v>
      </c>
      <c r="X72" s="92">
        <v>41579.0</v>
      </c>
      <c r="Y72" s="92">
        <v>41609.0</v>
      </c>
      <c r="Z72" s="92">
        <v>41640.0</v>
      </c>
      <c r="AA72" s="89"/>
      <c r="AB72" s="89"/>
      <c r="AC72" s="19"/>
      <c r="AD72" s="19"/>
      <c r="AE72" s="19"/>
      <c r="AF72" s="19"/>
      <c r="AG72" s="19"/>
      <c r="AH72" s="19"/>
    </row>
    <row r="73" ht="12.75" customHeight="1">
      <c r="A73" s="89" t="s">
        <v>95</v>
      </c>
      <c r="B73" s="92">
        <v>40940.0</v>
      </c>
      <c r="C73" s="176">
        <v>7.15</v>
      </c>
      <c r="D73" s="176">
        <v>7.0576</v>
      </c>
      <c r="E73" s="176">
        <v>7.0634</v>
      </c>
      <c r="F73" s="176">
        <v>7.0642</v>
      </c>
      <c r="G73" s="176">
        <v>7.0802</v>
      </c>
      <c r="H73" s="176">
        <v>7.0989</v>
      </c>
      <c r="I73" s="176">
        <v>7.1053</v>
      </c>
      <c r="J73" s="176">
        <v>7.1054</v>
      </c>
      <c r="K73" s="176">
        <v>7.0986</v>
      </c>
      <c r="L73" s="176">
        <v>7.1184</v>
      </c>
      <c r="M73" s="176">
        <v>7.1106</v>
      </c>
      <c r="N73" s="176">
        <v>7.1031</v>
      </c>
      <c r="O73" s="176">
        <v>7.1006</v>
      </c>
      <c r="P73" s="176">
        <v>7.1016</v>
      </c>
      <c r="Q73" s="176">
        <v>7.1029</v>
      </c>
      <c r="R73" s="176">
        <v>7.1093</v>
      </c>
      <c r="S73" s="176">
        <v>7.1087</v>
      </c>
      <c r="T73" s="176">
        <v>7.1054</v>
      </c>
      <c r="U73" s="176">
        <v>7.1077</v>
      </c>
      <c r="V73" s="176">
        <v>7.1133</v>
      </c>
      <c r="W73" s="176">
        <v>7.1213</v>
      </c>
      <c r="X73" s="176">
        <v>7.1268</v>
      </c>
      <c r="Y73" s="176">
        <v>7.1191</v>
      </c>
      <c r="Z73" s="176">
        <v>7.1235</v>
      </c>
      <c r="AA73" s="89"/>
      <c r="AB73" s="89"/>
      <c r="AC73" s="19"/>
      <c r="AD73" s="19"/>
      <c r="AE73" s="19"/>
      <c r="AF73" s="19"/>
      <c r="AG73" s="19"/>
      <c r="AH73" s="19"/>
    </row>
    <row r="74" ht="12.75" customHeight="1">
      <c r="A74" s="89"/>
      <c r="B74" s="92">
        <v>40969.0</v>
      </c>
      <c r="C74" s="176"/>
      <c r="D74" s="176">
        <v>7.1581</v>
      </c>
      <c r="E74" s="176">
        <v>7.0713</v>
      </c>
      <c r="F74" s="176">
        <v>7.0831</v>
      </c>
      <c r="G74" s="176">
        <v>7.0972</v>
      </c>
      <c r="H74" s="176">
        <v>7.0951</v>
      </c>
      <c r="I74" s="176">
        <v>7.0941</v>
      </c>
      <c r="J74" s="176">
        <v>7.1009</v>
      </c>
      <c r="K74" s="176">
        <v>7.1016</v>
      </c>
      <c r="L74" s="176">
        <v>7.1112</v>
      </c>
      <c r="M74" s="176">
        <v>7.1168</v>
      </c>
      <c r="N74" s="176">
        <v>7.1248</v>
      </c>
      <c r="O74" s="176">
        <v>7.1297</v>
      </c>
      <c r="P74" s="176">
        <v>7.1402</v>
      </c>
      <c r="Q74" s="176">
        <v>7.1327</v>
      </c>
      <c r="R74" s="176">
        <v>7.1262</v>
      </c>
      <c r="S74" s="176">
        <v>7.1228</v>
      </c>
      <c r="T74" s="176">
        <v>7.116</v>
      </c>
      <c r="U74" s="176">
        <v>7.1339</v>
      </c>
      <c r="V74" s="176">
        <v>7.1303</v>
      </c>
      <c r="W74" s="176">
        <v>7.1226</v>
      </c>
      <c r="X74" s="176">
        <v>7.1127</v>
      </c>
      <c r="Y74" s="176">
        <v>7.1171</v>
      </c>
      <c r="Z74" s="176">
        <v>7.1319</v>
      </c>
      <c r="AA74" s="89"/>
      <c r="AB74" s="89"/>
      <c r="AC74" s="19"/>
      <c r="AD74" s="19"/>
      <c r="AE74" s="19"/>
      <c r="AF74" s="19"/>
      <c r="AG74" s="19"/>
      <c r="AH74" s="19"/>
    </row>
    <row r="75" ht="12.75" customHeight="1">
      <c r="A75" s="89"/>
      <c r="B75" s="92">
        <v>41000.0</v>
      </c>
      <c r="C75" s="176"/>
      <c r="D75" s="176"/>
      <c r="E75" s="176">
        <v>7.1617</v>
      </c>
      <c r="F75" s="176">
        <v>7.0722</v>
      </c>
      <c r="G75" s="176">
        <v>7.0907</v>
      </c>
      <c r="H75" s="176">
        <v>7.0976</v>
      </c>
      <c r="I75" s="176">
        <v>7.0952</v>
      </c>
      <c r="J75" s="176">
        <v>7.0995</v>
      </c>
      <c r="K75" s="176">
        <v>7.1131</v>
      </c>
      <c r="L75" s="176">
        <v>7.1159</v>
      </c>
      <c r="M75" s="176">
        <v>7.1183</v>
      </c>
      <c r="N75" s="176">
        <v>7.1165</v>
      </c>
      <c r="O75" s="176">
        <v>7.1324</v>
      </c>
      <c r="P75" s="176">
        <v>7.1327</v>
      </c>
      <c r="Q75" s="176">
        <v>7.1251</v>
      </c>
      <c r="R75" s="176">
        <v>7.1155</v>
      </c>
      <c r="S75" s="176">
        <v>7.1312</v>
      </c>
      <c r="T75" s="176">
        <v>7.1264</v>
      </c>
      <c r="U75" s="176">
        <v>7.1347</v>
      </c>
      <c r="V75" s="176">
        <v>7.1383</v>
      </c>
      <c r="W75" s="176">
        <v>7.1413</v>
      </c>
      <c r="X75" s="176">
        <v>7.1531</v>
      </c>
      <c r="Y75" s="176">
        <v>7.1517</v>
      </c>
      <c r="Z75" s="176">
        <v>7.1666</v>
      </c>
      <c r="AA75" s="89"/>
      <c r="AB75" s="89"/>
      <c r="AC75" s="19"/>
      <c r="AD75" s="19"/>
      <c r="AE75" s="19"/>
      <c r="AF75" s="19"/>
      <c r="AG75" s="19"/>
      <c r="AH75" s="19"/>
    </row>
    <row r="76" ht="12.75" customHeight="1">
      <c r="A76" s="89"/>
      <c r="B76" s="92">
        <v>41030.0</v>
      </c>
      <c r="C76" s="176"/>
      <c r="D76" s="176"/>
      <c r="E76" s="176"/>
      <c r="F76" s="176">
        <v>7.1741</v>
      </c>
      <c r="G76" s="176">
        <v>7.0701</v>
      </c>
      <c r="H76" s="176">
        <v>7.077</v>
      </c>
      <c r="I76" s="176">
        <v>7.0691</v>
      </c>
      <c r="J76" s="176">
        <v>7.07</v>
      </c>
      <c r="K76" s="176">
        <v>7.06</v>
      </c>
      <c r="L76" s="176">
        <v>7.0664</v>
      </c>
      <c r="M76" s="176">
        <v>7.0592</v>
      </c>
      <c r="N76" s="176">
        <v>7.0526</v>
      </c>
      <c r="O76" s="176">
        <v>7.0437</v>
      </c>
      <c r="P76" s="176">
        <v>7.0534</v>
      </c>
      <c r="Q76" s="176">
        <v>7.0686</v>
      </c>
      <c r="R76" s="176">
        <v>7.0841</v>
      </c>
      <c r="S76" s="176">
        <v>7.1012</v>
      </c>
      <c r="T76" s="176">
        <v>7.1189</v>
      </c>
      <c r="U76" s="176">
        <v>7.1188</v>
      </c>
      <c r="V76" s="176">
        <v>7.1294</v>
      </c>
      <c r="W76" s="176">
        <v>7.1425</v>
      </c>
      <c r="X76" s="176">
        <v>7.1581</v>
      </c>
      <c r="Y76" s="176">
        <v>7.1565</v>
      </c>
      <c r="Z76" s="176">
        <v>7.1761</v>
      </c>
      <c r="AA76" s="89"/>
      <c r="AB76" s="89"/>
      <c r="AC76" s="19"/>
      <c r="AD76" s="19"/>
      <c r="AE76" s="19"/>
      <c r="AF76" s="19"/>
      <c r="AG76" s="19"/>
      <c r="AH76" s="19"/>
    </row>
    <row r="77" ht="12.75" customHeight="1">
      <c r="A77" s="89"/>
      <c r="B77" s="92">
        <v>41061.0</v>
      </c>
      <c r="C77" s="176"/>
      <c r="D77" s="176"/>
      <c r="E77" s="176"/>
      <c r="F77" s="176"/>
      <c r="G77" s="176">
        <v>7.1834</v>
      </c>
      <c r="H77" s="176">
        <v>7.0756</v>
      </c>
      <c r="I77" s="176">
        <v>7.0889</v>
      </c>
      <c r="J77" s="176">
        <v>7.1059</v>
      </c>
      <c r="K77" s="176">
        <v>7.1091</v>
      </c>
      <c r="L77" s="176">
        <v>7.1201</v>
      </c>
      <c r="M77" s="176">
        <v>7.1155</v>
      </c>
      <c r="N77" s="176">
        <v>7.1146</v>
      </c>
      <c r="O77" s="176">
        <v>7.1266</v>
      </c>
      <c r="P77" s="176">
        <v>7.1299</v>
      </c>
      <c r="Q77" s="176">
        <v>7.1263</v>
      </c>
      <c r="R77" s="176">
        <v>7.1221</v>
      </c>
      <c r="S77" s="176">
        <v>7.117</v>
      </c>
      <c r="T77" s="176">
        <v>7.1357</v>
      </c>
      <c r="U77" s="176">
        <v>7.1358</v>
      </c>
      <c r="V77" s="176">
        <v>7.1501</v>
      </c>
      <c r="W77" s="176">
        <v>7.1547</v>
      </c>
      <c r="X77" s="176">
        <v>7.1521</v>
      </c>
      <c r="Y77" s="176">
        <v>7.16</v>
      </c>
      <c r="Z77" s="176">
        <v>7.1606</v>
      </c>
      <c r="AA77" s="89"/>
      <c r="AB77" s="89"/>
      <c r="AC77" s="19"/>
      <c r="AD77" s="19"/>
      <c r="AE77" s="19"/>
      <c r="AF77" s="19"/>
      <c r="AG77" s="19"/>
      <c r="AH77" s="19"/>
    </row>
    <row r="78" ht="12.75" customHeight="1">
      <c r="A78" s="89"/>
      <c r="B78" s="92">
        <v>41091.0</v>
      </c>
      <c r="C78" s="176"/>
      <c r="D78" s="176"/>
      <c r="E78" s="176"/>
      <c r="F78" s="176"/>
      <c r="G78" s="176"/>
      <c r="H78" s="176">
        <v>7.1797</v>
      </c>
      <c r="I78" s="176">
        <v>7.0969</v>
      </c>
      <c r="J78" s="176">
        <v>7.0999</v>
      </c>
      <c r="K78" s="176">
        <v>7.1147</v>
      </c>
      <c r="L78" s="176">
        <v>7.1194</v>
      </c>
      <c r="M78" s="176">
        <v>7.1375</v>
      </c>
      <c r="N78" s="176">
        <v>7.1275</v>
      </c>
      <c r="O78" s="176">
        <v>7.1281</v>
      </c>
      <c r="P78" s="176">
        <v>7.1407</v>
      </c>
      <c r="Q78" s="176">
        <v>7.1349</v>
      </c>
      <c r="R78" s="176">
        <v>7.1257</v>
      </c>
      <c r="S78" s="176">
        <v>7.1325</v>
      </c>
      <c r="T78" s="176">
        <v>7.1458</v>
      </c>
      <c r="U78" s="176">
        <v>7.1408</v>
      </c>
      <c r="V78" s="176">
        <v>7.1365</v>
      </c>
      <c r="W78" s="176">
        <v>7.1317</v>
      </c>
      <c r="X78" s="176">
        <v>7.1388</v>
      </c>
      <c r="Y78" s="176">
        <v>7.1439</v>
      </c>
      <c r="Z78" s="176">
        <v>7.1592</v>
      </c>
      <c r="AA78" s="89"/>
      <c r="AB78" s="89"/>
      <c r="AC78" s="19"/>
      <c r="AD78" s="19"/>
      <c r="AE78" s="19"/>
      <c r="AF78" s="19"/>
      <c r="AG78" s="19"/>
      <c r="AH78" s="19"/>
    </row>
    <row r="79" ht="12.75" customHeight="1">
      <c r="A79" s="89"/>
      <c r="B79" s="92">
        <v>41122.0</v>
      </c>
      <c r="C79" s="176"/>
      <c r="D79" s="176"/>
      <c r="E79" s="176"/>
      <c r="F79" s="176"/>
      <c r="G79" s="176"/>
      <c r="H79" s="176"/>
      <c r="I79" s="176">
        <v>7.1934</v>
      </c>
      <c r="J79" s="176">
        <v>7.1043</v>
      </c>
      <c r="K79" s="176">
        <v>7.1224</v>
      </c>
      <c r="L79" s="176">
        <v>7.1227</v>
      </c>
      <c r="M79" s="176">
        <v>7.1391</v>
      </c>
      <c r="N79" s="176">
        <v>7.1389</v>
      </c>
      <c r="O79" s="176">
        <v>7.1306</v>
      </c>
      <c r="P79" s="176">
        <v>7.1268</v>
      </c>
      <c r="Q79" s="176">
        <v>7.1354</v>
      </c>
      <c r="R79" s="176">
        <v>7.1383</v>
      </c>
      <c r="S79" s="176">
        <v>7.1404</v>
      </c>
      <c r="T79" s="176">
        <v>7.1567</v>
      </c>
      <c r="U79" s="176">
        <v>7.1532</v>
      </c>
      <c r="V79" s="176">
        <v>7.1432</v>
      </c>
      <c r="W79" s="176">
        <v>7.1416</v>
      </c>
      <c r="X79" s="176">
        <v>7.1417</v>
      </c>
      <c r="Y79" s="176">
        <v>7.1358</v>
      </c>
      <c r="Z79" s="176">
        <v>7.1544</v>
      </c>
      <c r="AA79" s="89"/>
      <c r="AB79" s="89"/>
      <c r="AC79" s="19"/>
      <c r="AD79" s="19"/>
      <c r="AE79" s="19"/>
      <c r="AF79" s="19"/>
      <c r="AG79" s="19"/>
      <c r="AH79" s="19"/>
    </row>
    <row r="80" ht="12.75" customHeight="1">
      <c r="A80" s="89"/>
      <c r="B80" s="92">
        <v>41153.0</v>
      </c>
      <c r="C80" s="176"/>
      <c r="D80" s="176"/>
      <c r="E80" s="176"/>
      <c r="F80" s="176"/>
      <c r="G80" s="176"/>
      <c r="H80" s="176"/>
      <c r="I80" s="176"/>
      <c r="J80" s="176">
        <v>7.2058</v>
      </c>
      <c r="K80" s="176">
        <v>7.1029</v>
      </c>
      <c r="L80" s="176">
        <v>7.1175</v>
      </c>
      <c r="M80" s="176">
        <v>7.1177</v>
      </c>
      <c r="N80" s="176">
        <v>7.1309</v>
      </c>
      <c r="O80" s="176">
        <v>7.1445</v>
      </c>
      <c r="P80" s="176">
        <v>7.1511</v>
      </c>
      <c r="Q80" s="176">
        <v>7.1707</v>
      </c>
      <c r="R80" s="176">
        <v>7.1757</v>
      </c>
      <c r="S80" s="176">
        <v>7.1745</v>
      </c>
      <c r="T80" s="176">
        <v>7.1866</v>
      </c>
      <c r="U80" s="176">
        <v>7.1991</v>
      </c>
      <c r="V80" s="176">
        <v>7.1969</v>
      </c>
      <c r="W80" s="176">
        <v>7.1977</v>
      </c>
      <c r="X80" s="176">
        <v>7.1996</v>
      </c>
      <c r="Y80" s="176">
        <v>7.2168</v>
      </c>
      <c r="Z80" s="176">
        <v>7.2289</v>
      </c>
      <c r="AA80" s="89"/>
      <c r="AB80" s="89"/>
      <c r="AC80" s="19"/>
      <c r="AD80" s="19"/>
      <c r="AE80" s="19"/>
      <c r="AF80" s="19"/>
      <c r="AG80" s="19"/>
      <c r="AH80" s="19"/>
    </row>
    <row r="81" ht="12.75" customHeight="1">
      <c r="A81" s="89"/>
      <c r="B81" s="92">
        <v>41183.0</v>
      </c>
      <c r="C81" s="176"/>
      <c r="D81" s="176"/>
      <c r="E81" s="176"/>
      <c r="F81" s="176"/>
      <c r="G81" s="176"/>
      <c r="H81" s="176"/>
      <c r="I81" s="176"/>
      <c r="J81" s="176"/>
      <c r="K81" s="176">
        <v>7.2195</v>
      </c>
      <c r="L81" s="176">
        <v>7.133</v>
      </c>
      <c r="M81" s="176">
        <v>7.1257</v>
      </c>
      <c r="N81" s="176">
        <v>7.1371</v>
      </c>
      <c r="O81" s="176">
        <v>7.142</v>
      </c>
      <c r="P81" s="176">
        <v>7.1588</v>
      </c>
      <c r="Q81" s="176">
        <v>7.1544</v>
      </c>
      <c r="R81" s="176">
        <v>7.1477</v>
      </c>
      <c r="S81" s="176">
        <v>7.1395</v>
      </c>
      <c r="T81" s="176">
        <v>7.1351</v>
      </c>
      <c r="U81" s="176">
        <v>7.1368</v>
      </c>
      <c r="V81" s="176">
        <v>7.1345</v>
      </c>
      <c r="W81" s="176">
        <v>7.1545</v>
      </c>
      <c r="X81" s="176">
        <v>7.1542</v>
      </c>
      <c r="Y81" s="176">
        <v>7.1564</v>
      </c>
      <c r="Z81" s="176">
        <v>7.163</v>
      </c>
      <c r="AA81" s="89"/>
      <c r="AB81" s="89"/>
      <c r="AC81" s="19"/>
      <c r="AD81" s="19"/>
      <c r="AE81" s="19"/>
      <c r="AF81" s="19"/>
      <c r="AG81" s="19"/>
      <c r="AH81" s="19"/>
    </row>
    <row r="82" ht="12.75" customHeight="1">
      <c r="A82" s="89"/>
      <c r="B82" s="92">
        <v>41214.0</v>
      </c>
      <c r="C82" s="176"/>
      <c r="D82" s="176"/>
      <c r="E82" s="176"/>
      <c r="F82" s="176"/>
      <c r="G82" s="176"/>
      <c r="H82" s="176"/>
      <c r="I82" s="176"/>
      <c r="J82" s="176"/>
      <c r="K82" s="176"/>
      <c r="L82" s="176">
        <v>7.2359</v>
      </c>
      <c r="M82" s="176">
        <v>7.1452</v>
      </c>
      <c r="N82" s="176">
        <v>7.1422</v>
      </c>
      <c r="O82" s="176">
        <v>7.1345</v>
      </c>
      <c r="P82" s="176">
        <v>7.1353</v>
      </c>
      <c r="Q82" s="176">
        <v>7.126</v>
      </c>
      <c r="R82" s="176">
        <v>7.1396</v>
      </c>
      <c r="S82" s="176">
        <v>7.1354</v>
      </c>
      <c r="T82" s="176">
        <v>7.1431</v>
      </c>
      <c r="U82" s="176">
        <v>7.1582</v>
      </c>
      <c r="V82" s="176">
        <v>7.1498</v>
      </c>
      <c r="W82" s="176">
        <v>7.1691</v>
      </c>
      <c r="X82" s="176">
        <v>7.1695</v>
      </c>
      <c r="Y82" s="176">
        <v>7.1639</v>
      </c>
      <c r="Z82" s="176">
        <v>7.1586</v>
      </c>
      <c r="AA82" s="89"/>
      <c r="AB82" s="89"/>
      <c r="AC82" s="19"/>
      <c r="AD82" s="19"/>
      <c r="AE82" s="19"/>
      <c r="AF82" s="19"/>
      <c r="AG82" s="19"/>
      <c r="AH82" s="19"/>
    </row>
    <row r="83" ht="12.75" customHeight="1">
      <c r="A83" s="89"/>
      <c r="B83" s="92">
        <v>41244.0</v>
      </c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>
        <v>7.2297</v>
      </c>
      <c r="N83" s="176">
        <v>7.1487</v>
      </c>
      <c r="O83" s="176">
        <v>7.1589</v>
      </c>
      <c r="P83" s="176">
        <v>7.1691</v>
      </c>
      <c r="Q83" s="176">
        <v>7.1679</v>
      </c>
      <c r="R83" s="176">
        <v>7.1646</v>
      </c>
      <c r="S83" s="176">
        <v>7.1609</v>
      </c>
      <c r="T83" s="176">
        <v>7.1743</v>
      </c>
      <c r="U83" s="176">
        <v>7.1828</v>
      </c>
      <c r="V83" s="176">
        <v>7.1744</v>
      </c>
      <c r="W83" s="176">
        <v>7.1831</v>
      </c>
      <c r="X83" s="176">
        <v>7.1871</v>
      </c>
      <c r="Y83" s="176">
        <v>7.2013</v>
      </c>
      <c r="Z83" s="176">
        <v>7.2081</v>
      </c>
      <c r="AA83" s="89"/>
      <c r="AB83" s="89"/>
      <c r="AC83" s="19"/>
      <c r="AD83" s="19"/>
      <c r="AE83" s="19"/>
      <c r="AF83" s="19"/>
      <c r="AG83" s="19"/>
      <c r="AH83" s="19"/>
    </row>
    <row r="84" ht="12.75" customHeight="1">
      <c r="A84" s="89"/>
      <c r="B84" s="92">
        <v>41275.0</v>
      </c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>
        <v>7.2388</v>
      </c>
      <c r="O84" s="176">
        <v>7.1565</v>
      </c>
      <c r="P84" s="176">
        <v>7.1599</v>
      </c>
      <c r="Q84" s="176">
        <v>7.1499</v>
      </c>
      <c r="R84" s="176">
        <v>7.1662</v>
      </c>
      <c r="S84" s="176">
        <v>7.1594</v>
      </c>
      <c r="T84" s="176">
        <v>7.1731</v>
      </c>
      <c r="U84" s="176">
        <v>7.1839</v>
      </c>
      <c r="V84" s="176">
        <v>7.1878</v>
      </c>
      <c r="W84" s="176">
        <v>7.2014</v>
      </c>
      <c r="X84" s="176">
        <v>7.219</v>
      </c>
      <c r="Y84" s="176">
        <v>7.221</v>
      </c>
      <c r="Z84" s="176">
        <v>7.237</v>
      </c>
      <c r="AA84" s="89"/>
      <c r="AB84" s="89"/>
      <c r="AC84" s="19"/>
      <c r="AD84" s="19"/>
      <c r="AE84" s="19"/>
      <c r="AF84" s="19"/>
      <c r="AG84" s="19"/>
      <c r="AH84" s="19"/>
    </row>
    <row r="85" ht="12.75" customHeight="1">
      <c r="A85" s="89"/>
      <c r="B85" s="92">
        <v>41306.0</v>
      </c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>
        <v>7.2557</v>
      </c>
      <c r="P85" s="176">
        <v>7.1517</v>
      </c>
      <c r="Q85" s="176">
        <v>7.1533</v>
      </c>
      <c r="R85" s="176">
        <v>7.1512</v>
      </c>
      <c r="S85" s="176">
        <v>7.1441</v>
      </c>
      <c r="T85" s="176">
        <v>7.1527</v>
      </c>
      <c r="U85" s="176">
        <v>7.1506</v>
      </c>
      <c r="V85" s="176">
        <v>7.1659</v>
      </c>
      <c r="W85" s="176">
        <v>7.177</v>
      </c>
      <c r="X85" s="176">
        <v>7.1955</v>
      </c>
      <c r="Y85" s="176">
        <v>7.208</v>
      </c>
      <c r="Z85" s="176">
        <v>7.2101</v>
      </c>
      <c r="AA85" s="89"/>
      <c r="AB85" s="89"/>
      <c r="AC85" s="19"/>
      <c r="AD85" s="19"/>
      <c r="AE85" s="19"/>
      <c r="AF85" s="19"/>
      <c r="AG85" s="19"/>
      <c r="AH85" s="19"/>
    </row>
    <row r="86" ht="12.75" customHeight="1">
      <c r="A86" s="89"/>
      <c r="B86" s="92">
        <v>41334.0</v>
      </c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>
        <v>7.2499</v>
      </c>
      <c r="Q86" s="176">
        <v>7.1619</v>
      </c>
      <c r="R86" s="176">
        <v>7.1582</v>
      </c>
      <c r="S86" s="176">
        <v>7.1668</v>
      </c>
      <c r="T86" s="176">
        <v>7.1729</v>
      </c>
      <c r="U86" s="176">
        <v>7.1683</v>
      </c>
      <c r="V86" s="176">
        <v>7.1872</v>
      </c>
      <c r="W86" s="176">
        <v>7.1878</v>
      </c>
      <c r="X86" s="176">
        <v>7.204</v>
      </c>
      <c r="Y86" s="176">
        <v>7.2004</v>
      </c>
      <c r="Z86" s="176">
        <v>7.2028</v>
      </c>
      <c r="AA86" s="89"/>
      <c r="AB86" s="89"/>
      <c r="AC86" s="19"/>
      <c r="AD86" s="19"/>
      <c r="AE86" s="19"/>
      <c r="AF86" s="19"/>
      <c r="AG86" s="19"/>
      <c r="AH86" s="19"/>
    </row>
    <row r="87" ht="12.75" customHeight="1">
      <c r="A87" s="89"/>
      <c r="B87" s="92">
        <v>41365.0</v>
      </c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>
        <v>7.2681</v>
      </c>
      <c r="R87" s="176">
        <v>7.1811</v>
      </c>
      <c r="S87" s="176">
        <v>7.2004</v>
      </c>
      <c r="T87" s="176">
        <v>7.2113</v>
      </c>
      <c r="U87" s="176">
        <v>7.212</v>
      </c>
      <c r="V87" s="176">
        <v>7.2146</v>
      </c>
      <c r="W87" s="176">
        <v>7.23</v>
      </c>
      <c r="X87" s="176">
        <v>7.2407</v>
      </c>
      <c r="Y87" s="176">
        <v>7.235</v>
      </c>
      <c r="Z87" s="176">
        <v>7.2405</v>
      </c>
      <c r="AA87" s="89"/>
      <c r="AB87" s="89"/>
      <c r="AC87" s="19"/>
      <c r="AD87" s="19"/>
      <c r="AE87" s="19"/>
      <c r="AF87" s="19"/>
      <c r="AG87" s="19"/>
      <c r="AH87" s="19"/>
    </row>
    <row r="88" ht="12.75" customHeight="1">
      <c r="A88" s="89"/>
      <c r="B88" s="92">
        <v>41395.0</v>
      </c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>
        <v>7.2704</v>
      </c>
      <c r="S88" s="176">
        <v>7.1717</v>
      </c>
      <c r="T88" s="176">
        <v>7.17</v>
      </c>
      <c r="U88" s="176">
        <v>7.1632</v>
      </c>
      <c r="V88" s="176">
        <v>7.1549</v>
      </c>
      <c r="W88" s="176">
        <v>7.1628</v>
      </c>
      <c r="X88" s="176">
        <v>7.1629</v>
      </c>
      <c r="Y88" s="176">
        <v>7.1716</v>
      </c>
      <c r="Z88" s="176">
        <v>7.1633</v>
      </c>
      <c r="AA88" s="89"/>
      <c r="AB88" s="89"/>
      <c r="AC88" s="19"/>
      <c r="AD88" s="19"/>
      <c r="AE88" s="19"/>
      <c r="AF88" s="19"/>
      <c r="AG88" s="19"/>
      <c r="AH88" s="19"/>
    </row>
    <row r="89" ht="12.75" customHeight="1">
      <c r="A89" s="89"/>
      <c r="B89" s="92">
        <v>41426.0</v>
      </c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>
        <v>7.274</v>
      </c>
      <c r="T89" s="176">
        <v>7.178</v>
      </c>
      <c r="U89" s="176">
        <v>7.1892</v>
      </c>
      <c r="V89" s="176">
        <v>7.205</v>
      </c>
      <c r="W89" s="176">
        <v>7.1965</v>
      </c>
      <c r="X89" s="176">
        <v>7.2025</v>
      </c>
      <c r="Y89" s="176">
        <v>7.2086</v>
      </c>
      <c r="Z89" s="176">
        <v>7.223</v>
      </c>
      <c r="AA89" s="89"/>
      <c r="AB89" s="89"/>
      <c r="AC89" s="19"/>
      <c r="AD89" s="19"/>
      <c r="AE89" s="19"/>
      <c r="AF89" s="19"/>
      <c r="AG89" s="19"/>
      <c r="AH89" s="19"/>
    </row>
    <row r="90" ht="12.75" customHeight="1">
      <c r="A90" s="89"/>
      <c r="B90" s="92">
        <v>41456.0</v>
      </c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>
        <v>7.2679</v>
      </c>
      <c r="U90" s="176">
        <v>7.1606</v>
      </c>
      <c r="V90" s="176">
        <v>7.1645</v>
      </c>
      <c r="W90" s="176">
        <v>7.1764</v>
      </c>
      <c r="X90" s="176">
        <v>7.19</v>
      </c>
      <c r="Y90" s="176">
        <v>7.1998</v>
      </c>
      <c r="Z90" s="176">
        <v>7.2166</v>
      </c>
      <c r="AA90" s="89"/>
      <c r="AB90" s="89"/>
      <c r="AC90" s="19"/>
      <c r="AD90" s="19"/>
      <c r="AE90" s="19"/>
      <c r="AF90" s="19"/>
      <c r="AG90" s="19"/>
      <c r="AH90" s="19"/>
    </row>
    <row r="91" ht="12.75" customHeight="1">
      <c r="A91" s="89"/>
      <c r="B91" s="92">
        <v>41487.0</v>
      </c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>
        <v>7.2641</v>
      </c>
      <c r="V91" s="176">
        <v>7.1707</v>
      </c>
      <c r="W91" s="176">
        <v>7.1619</v>
      </c>
      <c r="X91" s="176">
        <v>7.1554</v>
      </c>
      <c r="Y91" s="176">
        <v>7.171</v>
      </c>
      <c r="Z91" s="176">
        <v>7.1731</v>
      </c>
      <c r="AA91" s="89"/>
      <c r="AB91" s="89"/>
      <c r="AC91" s="19"/>
      <c r="AD91" s="19"/>
      <c r="AE91" s="19"/>
      <c r="AF91" s="19"/>
      <c r="AG91" s="19"/>
      <c r="AH91" s="19"/>
    </row>
    <row r="92" ht="12.75" customHeight="1">
      <c r="A92" s="89"/>
      <c r="B92" s="92">
        <v>41518.0</v>
      </c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>
        <v>7.2735</v>
      </c>
      <c r="W92" s="176">
        <v>7.1854</v>
      </c>
      <c r="X92" s="176">
        <v>7.1943</v>
      </c>
      <c r="Y92" s="176">
        <v>7.1894</v>
      </c>
      <c r="Z92" s="176">
        <v>7.1941</v>
      </c>
      <c r="AA92" s="89"/>
      <c r="AB92" s="89"/>
      <c r="AC92" s="19"/>
      <c r="AD92" s="19"/>
      <c r="AE92" s="19"/>
      <c r="AF92" s="19"/>
      <c r="AG92" s="19"/>
      <c r="AH92" s="19"/>
    </row>
    <row r="93" ht="12.75" customHeight="1">
      <c r="A93" s="89"/>
      <c r="B93" s="92">
        <v>41548.0</v>
      </c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>
        <v>7.2889</v>
      </c>
      <c r="X93" s="176">
        <v>7.1802</v>
      </c>
      <c r="Y93" s="176">
        <v>7.1777</v>
      </c>
      <c r="Z93" s="176">
        <v>7.1933</v>
      </c>
      <c r="AA93" s="89"/>
      <c r="AB93" s="89"/>
      <c r="AC93" s="19"/>
      <c r="AD93" s="19"/>
      <c r="AE93" s="19"/>
      <c r="AF93" s="19"/>
      <c r="AG93" s="19"/>
      <c r="AH93" s="19"/>
    </row>
    <row r="94" ht="12.75" customHeight="1">
      <c r="A94" s="89"/>
      <c r="B94" s="92">
        <v>41579.0</v>
      </c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>
        <v>7.2911</v>
      </c>
      <c r="Y94" s="176">
        <v>7.1999</v>
      </c>
      <c r="Z94" s="176">
        <v>7.212</v>
      </c>
      <c r="AA94" s="89"/>
      <c r="AB94" s="89"/>
      <c r="AC94" s="19"/>
      <c r="AD94" s="19"/>
      <c r="AE94" s="19"/>
      <c r="AF94" s="19"/>
      <c r="AG94" s="19"/>
      <c r="AH94" s="19"/>
    </row>
    <row r="95" ht="12.75" customHeight="1">
      <c r="A95" s="89"/>
      <c r="B95" s="92">
        <v>41609.0</v>
      </c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>
        <v>7.306</v>
      </c>
      <c r="Z95" s="176">
        <v>7.2115</v>
      </c>
      <c r="AA95" s="89"/>
      <c r="AB95" s="89"/>
      <c r="AC95" s="19"/>
      <c r="AD95" s="19"/>
      <c r="AE95" s="19"/>
      <c r="AF95" s="19"/>
      <c r="AG95" s="19"/>
      <c r="AH95" s="19"/>
    </row>
    <row r="96" ht="12.75" customHeight="1">
      <c r="A96" s="89"/>
      <c r="B96" s="92">
        <v>41640.0</v>
      </c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>
        <v>7.3212</v>
      </c>
      <c r="AA96" s="89"/>
      <c r="AB96" s="89"/>
      <c r="AC96" s="19"/>
      <c r="AD96" s="19"/>
      <c r="AE96" s="19"/>
      <c r="AF96" s="19"/>
      <c r="AG96" s="19"/>
      <c r="AH96" s="19"/>
    </row>
    <row r="97" ht="12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19"/>
      <c r="AD97" s="19"/>
      <c r="AE97" s="19"/>
      <c r="AF97" s="19"/>
      <c r="AG97" s="19"/>
      <c r="AH97" s="19"/>
    </row>
    <row r="98" ht="12.75" customHeight="1">
      <c r="A98" s="89"/>
      <c r="B98" s="89"/>
      <c r="C98" s="89">
        <v>1.0</v>
      </c>
      <c r="D98" s="171" t="s">
        <v>97</v>
      </c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19"/>
      <c r="AD98" s="19"/>
      <c r="AE98" s="19"/>
      <c r="AF98" s="19"/>
      <c r="AG98" s="19"/>
      <c r="AH98" s="19"/>
    </row>
    <row r="99" ht="12.75" customHeight="1">
      <c r="A99" s="90" t="s">
        <v>106</v>
      </c>
      <c r="B99" s="89"/>
      <c r="C99" s="185">
        <f>AVERAGE(C73,D74,E75,F76,G77,H78,I79,J80,K81,L82,M83,N84,O85,P86,Q87,R88,S89,T90,U91,V92,W93,X94,Y95,Z96)</f>
        <v>7.235870833</v>
      </c>
      <c r="D99" s="185">
        <f>AVERAGE(Z73:Z95,Y73:Y94,X73:X93,W73:W92,V73:V91,U73:U90,T73:T89,S73:S88,R73:R87,Q73:Q86,P73:P85,O73:O84,N73:N83,M73:M82,L73:L81,K73:K80,J73:J79,I73:I78,H73:H77,G73:G76,F73:F75,E73:E74,D73)</f>
        <v>7.145180797</v>
      </c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19"/>
      <c r="AD99" s="19"/>
      <c r="AE99" s="19"/>
      <c r="AF99" s="19"/>
      <c r="AG99" s="19"/>
      <c r="AH99" s="19"/>
    </row>
    <row r="100" ht="12.75" customHeight="1">
      <c r="A100" s="89"/>
      <c r="B100" s="186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19"/>
      <c r="AD100" s="19"/>
      <c r="AE100" s="19"/>
      <c r="AF100" s="19"/>
      <c r="AG100" s="19"/>
      <c r="AH100" s="19"/>
    </row>
    <row r="101" ht="12.75" customHeight="1">
      <c r="A101" s="89"/>
      <c r="B101" s="186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19"/>
      <c r="AD101" s="19"/>
      <c r="AE101" s="19"/>
      <c r="AF101" s="19"/>
      <c r="AG101" s="19"/>
      <c r="AH101" s="19"/>
    </row>
    <row r="102" ht="12.75" customHeight="1">
      <c r="A102" s="90"/>
      <c r="B102" s="91"/>
      <c r="C102" s="90" t="s">
        <v>37</v>
      </c>
      <c r="D102" s="90"/>
      <c r="E102" s="90"/>
      <c r="F102" s="90"/>
      <c r="G102" s="90"/>
      <c r="H102" s="90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19"/>
      <c r="AD102" s="19"/>
      <c r="AE102" s="19"/>
      <c r="AF102" s="19"/>
      <c r="AG102" s="19"/>
      <c r="AH102" s="19"/>
    </row>
    <row r="103" ht="12.75" customHeight="1">
      <c r="A103" s="89"/>
      <c r="B103" s="89"/>
      <c r="C103" s="92">
        <v>40940.0</v>
      </c>
      <c r="D103" s="92">
        <v>40969.0</v>
      </c>
      <c r="E103" s="92">
        <v>41000.0</v>
      </c>
      <c r="F103" s="92">
        <v>41030.0</v>
      </c>
      <c r="G103" s="92">
        <v>41061.0</v>
      </c>
      <c r="H103" s="92">
        <v>41091.0</v>
      </c>
      <c r="I103" s="92">
        <v>41122.0</v>
      </c>
      <c r="J103" s="92">
        <v>41153.0</v>
      </c>
      <c r="K103" s="92">
        <v>41183.0</v>
      </c>
      <c r="L103" s="92">
        <v>41214.0</v>
      </c>
      <c r="M103" s="92">
        <v>41244.0</v>
      </c>
      <c r="N103" s="92">
        <v>41275.0</v>
      </c>
      <c r="O103" s="92">
        <v>41306.0</v>
      </c>
      <c r="P103" s="92">
        <v>41334.0</v>
      </c>
      <c r="Q103" s="92">
        <v>41365.0</v>
      </c>
      <c r="R103" s="92">
        <v>41395.0</v>
      </c>
      <c r="S103" s="92">
        <v>41426.0</v>
      </c>
      <c r="T103" s="92">
        <v>41456.0</v>
      </c>
      <c r="U103" s="92">
        <v>41487.0</v>
      </c>
      <c r="V103" s="92">
        <v>41518.0</v>
      </c>
      <c r="W103" s="92">
        <v>41548.0</v>
      </c>
      <c r="X103" s="92">
        <v>41579.0</v>
      </c>
      <c r="Y103" s="92">
        <v>41609.0</v>
      </c>
      <c r="Z103" s="92">
        <v>41640.0</v>
      </c>
      <c r="AA103" s="89"/>
      <c r="AB103" s="89"/>
      <c r="AC103" s="19"/>
      <c r="AD103" s="19"/>
      <c r="AE103" s="19"/>
      <c r="AF103" s="19"/>
      <c r="AG103" s="19"/>
      <c r="AH103" s="19"/>
    </row>
    <row r="104" ht="12.75" customHeight="1">
      <c r="A104" s="89" t="s">
        <v>95</v>
      </c>
      <c r="B104" s="92">
        <v>40940.0</v>
      </c>
      <c r="C104" s="104">
        <v>0.35</v>
      </c>
      <c r="D104" s="104">
        <v>0.3535</v>
      </c>
      <c r="E104" s="104">
        <v>0.3629</v>
      </c>
      <c r="F104" s="104">
        <v>0.3743</v>
      </c>
      <c r="G104" s="104">
        <v>0.3783</v>
      </c>
      <c r="H104" s="104">
        <v>0.3899</v>
      </c>
      <c r="I104" s="104">
        <v>0.3847</v>
      </c>
      <c r="J104" s="104">
        <v>0.3796</v>
      </c>
      <c r="K104" s="104">
        <v>0.3803</v>
      </c>
      <c r="L104" s="104">
        <v>0.3778</v>
      </c>
      <c r="M104" s="104">
        <v>0.3719</v>
      </c>
      <c r="N104" s="104">
        <v>0.3789</v>
      </c>
      <c r="O104" s="104">
        <v>0.3795</v>
      </c>
      <c r="P104" s="104">
        <v>0.374</v>
      </c>
      <c r="Q104" s="104">
        <v>0.3714</v>
      </c>
      <c r="R104" s="104">
        <v>0.3837</v>
      </c>
      <c r="S104" s="104">
        <v>0.3951</v>
      </c>
      <c r="T104" s="104">
        <v>0.3926</v>
      </c>
      <c r="U104" s="104">
        <v>0.3842</v>
      </c>
      <c r="V104" s="104">
        <v>0.3783</v>
      </c>
      <c r="W104" s="104">
        <v>0.3837</v>
      </c>
      <c r="X104" s="104">
        <v>0.3811</v>
      </c>
      <c r="Y104" s="104">
        <v>0.3769</v>
      </c>
      <c r="Z104" s="104">
        <v>0.3754</v>
      </c>
      <c r="AA104" s="89"/>
      <c r="AB104" s="89"/>
      <c r="AC104" s="19"/>
      <c r="AD104" s="19"/>
      <c r="AE104" s="19"/>
      <c r="AF104" s="19"/>
      <c r="AG104" s="19"/>
      <c r="AH104" s="19"/>
    </row>
    <row r="105" ht="12.75" customHeight="1">
      <c r="A105" s="89"/>
      <c r="B105" s="92">
        <v>40969.0</v>
      </c>
      <c r="C105" s="104"/>
      <c r="D105" s="104">
        <v>0.351</v>
      </c>
      <c r="E105" s="104">
        <v>0.34643</v>
      </c>
      <c r="F105" s="104">
        <v>0.359271</v>
      </c>
      <c r="G105" s="104">
        <v>0.366814</v>
      </c>
      <c r="H105" s="104">
        <v>0.3783</v>
      </c>
      <c r="I105" s="104">
        <v>0.401597</v>
      </c>
      <c r="J105" s="104">
        <v>0.3847</v>
      </c>
      <c r="K105" s="104">
        <v>0.383396</v>
      </c>
      <c r="L105" s="104">
        <v>0.372694</v>
      </c>
      <c r="M105" s="104">
        <v>0.3778</v>
      </c>
      <c r="N105" s="104">
        <v>0.379338</v>
      </c>
      <c r="O105" s="104">
        <v>0.371322</v>
      </c>
      <c r="P105" s="104">
        <v>0.383295</v>
      </c>
      <c r="Q105" s="104">
        <v>0.37026</v>
      </c>
      <c r="R105" s="104">
        <v>0.363972</v>
      </c>
      <c r="S105" s="104">
        <v>0.3837</v>
      </c>
      <c r="T105" s="104">
        <v>0.387198</v>
      </c>
      <c r="U105" s="104">
        <v>0.388674</v>
      </c>
      <c r="V105" s="104">
        <v>0.395726</v>
      </c>
      <c r="W105" s="104">
        <v>0.382083</v>
      </c>
      <c r="X105" s="104">
        <v>0.3837</v>
      </c>
      <c r="Y105" s="104">
        <v>0.384911</v>
      </c>
      <c r="Z105" s="104">
        <v>0.3769</v>
      </c>
      <c r="AA105" s="89"/>
      <c r="AB105" s="89"/>
      <c r="AC105" s="19"/>
      <c r="AD105" s="19"/>
      <c r="AE105" s="19"/>
      <c r="AF105" s="19"/>
      <c r="AG105" s="19"/>
      <c r="AH105" s="19"/>
    </row>
    <row r="106" ht="12.75" customHeight="1">
      <c r="A106" s="89"/>
      <c r="B106" s="92">
        <v>41000.0</v>
      </c>
      <c r="C106" s="104"/>
      <c r="D106" s="104"/>
      <c r="E106" s="104">
        <v>0.357</v>
      </c>
      <c r="F106" s="104">
        <v>0.3568229</v>
      </c>
      <c r="G106" s="104">
        <v>0.36286371</v>
      </c>
      <c r="H106" s="104">
        <v>0.37048214</v>
      </c>
      <c r="I106" s="104">
        <v>0.389649</v>
      </c>
      <c r="J106" s="104">
        <v>0.40962894</v>
      </c>
      <c r="K106" s="104">
        <v>0.388547</v>
      </c>
      <c r="L106" s="104">
        <v>0.383396</v>
      </c>
      <c r="M106" s="104">
        <v>0.37642094</v>
      </c>
      <c r="N106" s="104">
        <v>0.3778</v>
      </c>
      <c r="O106" s="104">
        <v>0.39071814</v>
      </c>
      <c r="P106" s="104">
        <v>0.37874844</v>
      </c>
      <c r="Q106" s="104">
        <v>0.383295</v>
      </c>
      <c r="R106" s="104">
        <v>0.3739626</v>
      </c>
      <c r="S106" s="104">
        <v>0.37489116</v>
      </c>
      <c r="T106" s="104">
        <v>0.395211</v>
      </c>
      <c r="U106" s="104">
        <v>0.387198</v>
      </c>
      <c r="V106" s="104">
        <v>0.38090052</v>
      </c>
      <c r="W106" s="104">
        <v>0.38781148</v>
      </c>
      <c r="X106" s="104">
        <v>0.382083</v>
      </c>
      <c r="Y106" s="104">
        <v>0.376026</v>
      </c>
      <c r="Z106" s="104">
        <v>0.38876011</v>
      </c>
      <c r="AA106" s="89"/>
      <c r="AB106" s="89"/>
      <c r="AC106" s="19"/>
      <c r="AD106" s="19"/>
      <c r="AE106" s="19"/>
      <c r="AF106" s="19"/>
      <c r="AG106" s="19"/>
      <c r="AH106" s="19"/>
    </row>
    <row r="107" ht="12.75" customHeight="1">
      <c r="A107" s="89"/>
      <c r="B107" s="92">
        <v>41030.0</v>
      </c>
      <c r="C107" s="104"/>
      <c r="D107" s="104"/>
      <c r="E107" s="104"/>
      <c r="F107" s="104">
        <v>0.35343</v>
      </c>
      <c r="G107" s="104">
        <v>0.349686442</v>
      </c>
      <c r="H107" s="104">
        <v>0.3701209842</v>
      </c>
      <c r="I107" s="104">
        <v>0.3667773186</v>
      </c>
      <c r="J107" s="104">
        <v>0.389649</v>
      </c>
      <c r="K107" s="104">
        <v>0.4014363612</v>
      </c>
      <c r="L107" s="104">
        <v>0.39243247</v>
      </c>
      <c r="M107" s="104">
        <v>0.38722996</v>
      </c>
      <c r="N107" s="104">
        <v>0.3726567306</v>
      </c>
      <c r="O107" s="104">
        <v>0.389134</v>
      </c>
      <c r="P107" s="104">
        <v>0.3946253214</v>
      </c>
      <c r="Q107" s="104">
        <v>0.3711734712</v>
      </c>
      <c r="R107" s="104">
        <v>0.383295</v>
      </c>
      <c r="S107" s="104">
        <v>0.385181478</v>
      </c>
      <c r="T107" s="104">
        <v>0.37489116</v>
      </c>
      <c r="U107" s="104">
        <v>0.39125889</v>
      </c>
      <c r="V107" s="104">
        <v>0.39881394</v>
      </c>
      <c r="W107" s="104">
        <v>0.38090052</v>
      </c>
      <c r="X107" s="104">
        <v>0.38781148</v>
      </c>
      <c r="Y107" s="104">
        <v>0.37444134</v>
      </c>
      <c r="Z107" s="104">
        <v>0.376026</v>
      </c>
      <c r="AA107" s="89"/>
      <c r="AB107" s="89"/>
      <c r="AC107" s="19"/>
      <c r="AD107" s="19"/>
      <c r="AE107" s="19"/>
      <c r="AF107" s="19"/>
      <c r="AG107" s="19"/>
      <c r="AH107" s="19"/>
    </row>
    <row r="108" ht="12.75" customHeight="1">
      <c r="A108" s="89"/>
      <c r="B108" s="92">
        <v>41061.0</v>
      </c>
      <c r="C108" s="104"/>
      <c r="D108" s="104"/>
      <c r="E108" s="104"/>
      <c r="F108" s="104"/>
      <c r="G108" s="104">
        <v>0.3569643</v>
      </c>
      <c r="H108" s="104">
        <v>0.35668017084</v>
      </c>
      <c r="I108" s="104">
        <v>0.377523403884</v>
      </c>
      <c r="J108" s="104">
        <v>0.3667773186</v>
      </c>
      <c r="K108" s="104">
        <v>0.389649</v>
      </c>
      <c r="L108" s="104">
        <v>0.413479452036</v>
      </c>
      <c r="M108" s="104">
        <v>0.3845838206</v>
      </c>
      <c r="N108" s="104">
        <v>0.3833576604</v>
      </c>
      <c r="O108" s="104">
        <v>0.383836432518</v>
      </c>
      <c r="P108" s="104">
        <v>0.38524266</v>
      </c>
      <c r="Q108" s="104">
        <v>0.3946253214</v>
      </c>
      <c r="R108" s="104">
        <v>0.382308675336</v>
      </c>
      <c r="S108" s="104">
        <v>0.38712795</v>
      </c>
      <c r="T108" s="104">
        <v>0.38132966322</v>
      </c>
      <c r="U108" s="104">
        <v>0.3823889832</v>
      </c>
      <c r="V108" s="104">
        <v>0.39125889</v>
      </c>
      <c r="W108" s="104">
        <v>0.4067902188</v>
      </c>
      <c r="X108" s="104">
        <v>0.38090052</v>
      </c>
      <c r="Y108" s="104">
        <v>0.38781148</v>
      </c>
      <c r="Z108" s="104">
        <v>0.3856745802</v>
      </c>
      <c r="AA108" s="89"/>
      <c r="AB108" s="89"/>
      <c r="AC108" s="19"/>
      <c r="AD108" s="19"/>
      <c r="AE108" s="19"/>
      <c r="AF108" s="19"/>
      <c r="AG108" s="19"/>
      <c r="AH108" s="19"/>
    </row>
    <row r="109" ht="12.75" customHeight="1">
      <c r="A109" s="89"/>
      <c r="B109" s="92">
        <v>41091.0</v>
      </c>
      <c r="C109" s="104"/>
      <c r="D109" s="104"/>
      <c r="E109" s="104"/>
      <c r="F109" s="104"/>
      <c r="G109" s="104"/>
      <c r="H109" s="104">
        <v>0.353394657</v>
      </c>
      <c r="I109" s="104">
        <v>0.3673805759652</v>
      </c>
      <c r="J109" s="104">
        <v>0.36997293580632</v>
      </c>
      <c r="K109" s="104">
        <v>0.370445091786</v>
      </c>
      <c r="L109" s="104">
        <v>0.40133847</v>
      </c>
      <c r="M109" s="104">
        <v>0.42174904107672</v>
      </c>
      <c r="N109" s="104">
        <v>0.3845838206</v>
      </c>
      <c r="O109" s="104">
        <v>0.3833576604</v>
      </c>
      <c r="P109" s="104">
        <v>0.37999806819282</v>
      </c>
      <c r="Q109" s="104">
        <v>0.3929475132</v>
      </c>
      <c r="R109" s="104">
        <v>0.406464081042</v>
      </c>
      <c r="S109" s="104">
        <v>0.38613176208936</v>
      </c>
      <c r="T109" s="104">
        <v>0.379385391</v>
      </c>
      <c r="U109" s="104">
        <v>0.38132966322</v>
      </c>
      <c r="V109" s="104">
        <v>0.386212873032</v>
      </c>
      <c r="W109" s="104">
        <v>0.39125889</v>
      </c>
      <c r="X109" s="104">
        <v>0.402722316612</v>
      </c>
      <c r="Y109" s="104">
        <v>0.3923275356</v>
      </c>
      <c r="Z109" s="104">
        <v>0.3839333652</v>
      </c>
      <c r="AA109" s="89"/>
      <c r="AB109" s="89"/>
      <c r="AC109" s="19"/>
      <c r="AD109" s="19"/>
      <c r="AE109" s="19"/>
      <c r="AF109" s="19"/>
      <c r="AG109" s="19"/>
      <c r="AH109" s="19"/>
    </row>
    <row r="110" ht="12.75" customHeight="1">
      <c r="A110" s="89"/>
      <c r="B110" s="92">
        <v>41122.0</v>
      </c>
      <c r="C110" s="104"/>
      <c r="D110" s="104"/>
      <c r="E110" s="104"/>
      <c r="F110" s="104"/>
      <c r="G110" s="104"/>
      <c r="H110" s="104"/>
      <c r="I110" s="104">
        <v>0.353394657</v>
      </c>
      <c r="J110" s="104">
        <v>0.363706770205548</v>
      </c>
      <c r="K110" s="104">
        <v>0.373672665164383</v>
      </c>
      <c r="L110" s="104">
        <v>0.36303618995028</v>
      </c>
      <c r="M110" s="104">
        <v>0.40133847</v>
      </c>
      <c r="N110" s="104">
        <v>0.413314060255186</v>
      </c>
      <c r="O110" s="104">
        <v>0.388429658806</v>
      </c>
      <c r="P110" s="104">
        <v>0.391024813608</v>
      </c>
      <c r="Q110" s="104">
        <v>0.37999806819282</v>
      </c>
      <c r="R110" s="104">
        <v>0.385088562936</v>
      </c>
      <c r="S110" s="104">
        <v>0.39833479942116</v>
      </c>
      <c r="T110" s="104">
        <v>0.382270444468466</v>
      </c>
      <c r="U110" s="104">
        <v>0.38317924491</v>
      </c>
      <c r="V110" s="104">
        <v>0.38132966322</v>
      </c>
      <c r="W110" s="104">
        <v>0.386212873032</v>
      </c>
      <c r="X110" s="104">
        <v>0.3990840678</v>
      </c>
      <c r="Y110" s="104">
        <v>0.40674953977812</v>
      </c>
      <c r="Z110" s="104">
        <v>0.3923275356</v>
      </c>
      <c r="AA110" s="89"/>
      <c r="AB110" s="89"/>
      <c r="AC110" s="19"/>
      <c r="AD110" s="19"/>
      <c r="AE110" s="19"/>
      <c r="AF110" s="19"/>
      <c r="AG110" s="19"/>
      <c r="AH110" s="19"/>
    </row>
    <row r="111" ht="12.75" customHeight="1">
      <c r="A111" s="89"/>
      <c r="B111" s="92">
        <v>41153.0</v>
      </c>
      <c r="C111" s="104"/>
      <c r="D111" s="104"/>
      <c r="E111" s="104"/>
      <c r="F111" s="104"/>
      <c r="G111" s="104"/>
      <c r="H111" s="104"/>
      <c r="I111" s="104"/>
      <c r="J111" s="104">
        <v>0.35692860357</v>
      </c>
      <c r="K111" s="104">
        <v>0.363706770205548</v>
      </c>
      <c r="L111" s="104">
        <v>0.366199211861096</v>
      </c>
      <c r="M111" s="104">
        <v>0.373927275648788</v>
      </c>
      <c r="N111" s="104">
        <v>0.3973250853</v>
      </c>
      <c r="O111" s="104">
        <v>0.425713482062841</v>
      </c>
      <c r="P111" s="104">
        <v>0.38454536221794</v>
      </c>
      <c r="Q111" s="104">
        <v>0.391024813608</v>
      </c>
      <c r="R111" s="104">
        <v>0.37999806819282</v>
      </c>
      <c r="S111" s="104">
        <v>0.38123767730664</v>
      </c>
      <c r="T111" s="104">
        <v>0.410284843403795</v>
      </c>
      <c r="U111" s="104">
        <v>0.382270444468466</v>
      </c>
      <c r="V111" s="104">
        <v>0.3755156600118</v>
      </c>
      <c r="W111" s="104">
        <v>0.3889562564844</v>
      </c>
      <c r="X111" s="104">
        <v>0.386212873032</v>
      </c>
      <c r="Y111" s="104">
        <v>0.411056589834</v>
      </c>
      <c r="Z111" s="104">
        <v>0.402682044380339</v>
      </c>
      <c r="AA111" s="89"/>
      <c r="AB111" s="89"/>
      <c r="AC111" s="19"/>
      <c r="AD111" s="19"/>
      <c r="AE111" s="19"/>
      <c r="AF111" s="19"/>
      <c r="AG111" s="19"/>
      <c r="AH111" s="19"/>
    </row>
    <row r="112" ht="12.75" customHeight="1">
      <c r="A112" s="89"/>
      <c r="B112" s="92">
        <v>41183.0</v>
      </c>
      <c r="C112" s="104"/>
      <c r="D112" s="104"/>
      <c r="E112" s="104"/>
      <c r="F112" s="104"/>
      <c r="G112" s="104"/>
      <c r="H112" s="104"/>
      <c r="I112" s="104"/>
      <c r="J112" s="104"/>
      <c r="K112" s="104">
        <v>0.3640671756414</v>
      </c>
      <c r="L112" s="104">
        <v>0.363706770205548</v>
      </c>
      <c r="M112" s="104">
        <v>0.358875227623874</v>
      </c>
      <c r="N112" s="104">
        <v>0.381405821161764</v>
      </c>
      <c r="O112" s="104">
        <v>0.3973250853</v>
      </c>
      <c r="P112" s="104">
        <v>0.421456347242213</v>
      </c>
      <c r="Q112" s="104">
        <v>0.38454536221794</v>
      </c>
      <c r="R112" s="104">
        <v>0.38711456547192</v>
      </c>
      <c r="S112" s="104">
        <v>0.391398010238605</v>
      </c>
      <c r="T112" s="104">
        <v>0.385050054079707</v>
      </c>
      <c r="U112" s="104">
        <v>0.422593388705909</v>
      </c>
      <c r="V112" s="104">
        <v>0.393738557802521</v>
      </c>
      <c r="W112" s="104">
        <v>0.379270816611918</v>
      </c>
      <c r="X112" s="104">
        <v>0.381177131354712</v>
      </c>
      <c r="Y112" s="104">
        <v>0.386212873032</v>
      </c>
      <c r="Z112" s="104">
        <v>0.40694602393566</v>
      </c>
      <c r="AA112" s="89"/>
      <c r="AB112" s="89"/>
      <c r="AC112" s="19"/>
      <c r="AD112" s="19"/>
      <c r="AE112" s="19"/>
      <c r="AF112" s="19"/>
      <c r="AG112" s="19"/>
      <c r="AH112" s="19"/>
    </row>
    <row r="113" ht="12.75" customHeight="1">
      <c r="A113" s="89"/>
      <c r="B113" s="92">
        <v>41214.0</v>
      </c>
      <c r="C113" s="104"/>
      <c r="D113" s="104"/>
      <c r="E113" s="104"/>
      <c r="F113" s="104"/>
      <c r="G113" s="104"/>
      <c r="H113" s="104"/>
      <c r="I113" s="104"/>
      <c r="J113" s="104"/>
      <c r="K113" s="104"/>
      <c r="L113" s="104">
        <v>0.360426503884986</v>
      </c>
      <c r="M113" s="104">
        <v>0.370980905609659</v>
      </c>
      <c r="N113" s="104">
        <v>0.355286475347635</v>
      </c>
      <c r="O113" s="104">
        <v>0.392847995796617</v>
      </c>
      <c r="P113" s="104">
        <v>0.389378583594</v>
      </c>
      <c r="Q113" s="104">
        <v>0.429885474187057</v>
      </c>
      <c r="R113" s="104">
        <v>0.388390815840119</v>
      </c>
      <c r="S113" s="104">
        <v>0.398728002436078</v>
      </c>
      <c r="T113" s="104">
        <v>0.399225970443377</v>
      </c>
      <c r="U113" s="104">
        <v>0.385050054079707</v>
      </c>
      <c r="V113" s="104">
        <v>0.41414152093179</v>
      </c>
      <c r="W113" s="104">
        <v>0.405550714536596</v>
      </c>
      <c r="X113" s="104">
        <v>0.386856232944156</v>
      </c>
      <c r="Y113" s="104">
        <v>0.381177131354712</v>
      </c>
      <c r="Z113" s="104">
        <v>0.37848861557136</v>
      </c>
      <c r="AA113" s="89"/>
      <c r="AB113" s="89"/>
      <c r="AC113" s="19"/>
      <c r="AD113" s="19"/>
      <c r="AE113" s="19"/>
      <c r="AF113" s="19"/>
      <c r="AG113" s="19"/>
      <c r="AH113" s="19"/>
    </row>
    <row r="114" ht="12.75" customHeight="1">
      <c r="A114" s="89"/>
      <c r="B114" s="92">
        <v>41244.0</v>
      </c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>
        <v>0.364030768923836</v>
      </c>
      <c r="N114" s="104">
        <v>0.378400523721852</v>
      </c>
      <c r="O114" s="104">
        <v>0.365945069608064</v>
      </c>
      <c r="P114" s="104">
        <v>0.396776475754583</v>
      </c>
      <c r="Q114" s="104">
        <v>0.39716615526588</v>
      </c>
      <c r="R114" s="104">
        <v>0.442782038412669</v>
      </c>
      <c r="S114" s="104">
        <v>0.400042540315323</v>
      </c>
      <c r="T114" s="104">
        <v>0.398728002436078</v>
      </c>
      <c r="U114" s="104">
        <v>0.395233710738943</v>
      </c>
      <c r="V114" s="104">
        <v>0.396601555702098</v>
      </c>
      <c r="W114" s="104">
        <v>0.410000105722472</v>
      </c>
      <c r="X114" s="104">
        <v>0.405550714536596</v>
      </c>
      <c r="Y114" s="104">
        <v>0.379119108285273</v>
      </c>
      <c r="Z114" s="104">
        <v>0.384988902668259</v>
      </c>
      <c r="AA114" s="89"/>
      <c r="AB114" s="89"/>
      <c r="AC114" s="19"/>
      <c r="AD114" s="19"/>
      <c r="AE114" s="19"/>
      <c r="AF114" s="19"/>
      <c r="AG114" s="19"/>
      <c r="AH114" s="19"/>
    </row>
    <row r="115" ht="12.75" customHeight="1">
      <c r="A115" s="89"/>
      <c r="B115" s="92">
        <v>41275.0</v>
      </c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>
        <v>0.367671076613074</v>
      </c>
      <c r="O115" s="104">
        <v>0.370832513247415</v>
      </c>
      <c r="P115" s="104">
        <v>0.365945069608064</v>
      </c>
      <c r="Q115" s="104">
        <v>0.388840946239492</v>
      </c>
      <c r="R115" s="104">
        <v>0.39716615526588</v>
      </c>
      <c r="S115" s="104">
        <v>0.447209858796795</v>
      </c>
      <c r="T115" s="104">
        <v>0.412043816524783</v>
      </c>
      <c r="U115" s="104">
        <v>0.41068984250916</v>
      </c>
      <c r="V115" s="104">
        <v>0.395233710738943</v>
      </c>
      <c r="W115" s="104">
        <v>0.392635540145077</v>
      </c>
      <c r="X115" s="104">
        <v>0.405900104665248</v>
      </c>
      <c r="Y115" s="104">
        <v>0.413661728827328</v>
      </c>
      <c r="Z115" s="104">
        <v>0.390492681533832</v>
      </c>
      <c r="AA115" s="89"/>
      <c r="AB115" s="89"/>
      <c r="AC115" s="19"/>
      <c r="AD115" s="19"/>
      <c r="AE115" s="19"/>
      <c r="AF115" s="19"/>
      <c r="AG115" s="19"/>
      <c r="AH115" s="19"/>
    </row>
    <row r="116" ht="12.75" customHeight="1">
      <c r="A116" s="89"/>
      <c r="B116" s="92">
        <v>41306.0</v>
      </c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>
        <v>0.363994365846943</v>
      </c>
      <c r="P116" s="104">
        <v>0.378249163512363</v>
      </c>
      <c r="Q116" s="104">
        <v>0.365945069608064</v>
      </c>
      <c r="R116" s="104">
        <v>0.381064127314702</v>
      </c>
      <c r="S116" s="104">
        <v>0.39716615526588</v>
      </c>
      <c r="T116" s="104">
        <v>0.456154055972731</v>
      </c>
      <c r="U116" s="104">
        <v>0.41616425469003</v>
      </c>
      <c r="V116" s="104">
        <v>0.414796740934252</v>
      </c>
      <c r="W116" s="104">
        <v>0.387329036524164</v>
      </c>
      <c r="X116" s="104">
        <v>0.384782829342175</v>
      </c>
      <c r="Y116" s="104">
        <v>0.418077107805205</v>
      </c>
      <c r="Z116" s="104">
        <v>0.409525111539055</v>
      </c>
      <c r="AA116" s="89"/>
      <c r="AB116" s="89"/>
      <c r="AC116" s="19"/>
      <c r="AD116" s="19"/>
      <c r="AE116" s="19"/>
      <c r="AF116" s="19"/>
      <c r="AG116" s="19"/>
      <c r="AH116" s="19"/>
    </row>
    <row r="117" ht="12.75" customHeight="1">
      <c r="A117" s="89"/>
      <c r="B117" s="92">
        <v>41334.0</v>
      </c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>
        <v>0.367634309505413</v>
      </c>
      <c r="Q117" s="104">
        <v>0.389596638417734</v>
      </c>
      <c r="R117" s="104">
        <v>0.358626168215903</v>
      </c>
      <c r="S117" s="104">
        <v>0.377253486041555</v>
      </c>
      <c r="T117" s="104">
        <v>0.409081139923857</v>
      </c>
      <c r="U117" s="104">
        <v>0.465277137092186</v>
      </c>
      <c r="V117" s="104">
        <v>0.420325897236931</v>
      </c>
      <c r="W117" s="104">
        <v>0.418944708343594</v>
      </c>
      <c r="X117" s="104">
        <v>0.383455746158922</v>
      </c>
      <c r="Y117" s="104">
        <v>0.377087172755332</v>
      </c>
      <c r="Z117" s="104">
        <v>0.409715565649101</v>
      </c>
      <c r="AA117" s="89"/>
      <c r="AB117" s="89"/>
      <c r="AC117" s="19"/>
      <c r="AD117" s="19"/>
      <c r="AE117" s="19"/>
      <c r="AF117" s="19"/>
      <c r="AG117" s="19"/>
      <c r="AH117" s="19"/>
    </row>
    <row r="118" ht="12.75" customHeight="1">
      <c r="A118" s="89"/>
      <c r="B118" s="92">
        <v>41365.0</v>
      </c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>
        <v>0.374986995695521</v>
      </c>
      <c r="R118" s="104">
        <v>0.393492604801912</v>
      </c>
      <c r="S118" s="104">
        <v>0.351453644851585</v>
      </c>
      <c r="T118" s="104">
        <v>0.38102602090197</v>
      </c>
      <c r="U118" s="104">
        <v>0.400899517125379</v>
      </c>
      <c r="V118" s="104">
        <v>0.47458267983403</v>
      </c>
      <c r="W118" s="104">
        <v>0.420325897236931</v>
      </c>
      <c r="X118" s="104">
        <v>0.410565814176722</v>
      </c>
      <c r="Y118" s="104">
        <v>0.383455746158922</v>
      </c>
      <c r="Z118" s="104">
        <v>0.369545429300225</v>
      </c>
      <c r="AA118" s="89"/>
      <c r="AB118" s="89"/>
      <c r="AC118" s="19"/>
      <c r="AD118" s="19"/>
      <c r="AE118" s="19"/>
      <c r="AF118" s="19"/>
      <c r="AG118" s="19"/>
      <c r="AH118" s="19"/>
    </row>
    <row r="119" ht="12.75" customHeight="1">
      <c r="A119" s="89"/>
      <c r="B119" s="92">
        <v>41395.0</v>
      </c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>
        <v>0.378736865652476</v>
      </c>
      <c r="S119" s="104">
        <v>0.385622752705873</v>
      </c>
      <c r="T119" s="104">
        <v>0.361997254197132</v>
      </c>
      <c r="U119" s="104">
        <v>0.38864654132001</v>
      </c>
      <c r="V119" s="104">
        <v>0.392881526782872</v>
      </c>
      <c r="W119" s="104">
        <v>0.488820160229051</v>
      </c>
      <c r="X119" s="104">
        <v>0.4245291562093</v>
      </c>
      <c r="Y119" s="104">
        <v>0.422882788602024</v>
      </c>
      <c r="Z119" s="104">
        <v>0.391124861082101</v>
      </c>
      <c r="AA119" s="89"/>
      <c r="AB119" s="89"/>
      <c r="AC119" s="19"/>
      <c r="AD119" s="19"/>
      <c r="AE119" s="19"/>
      <c r="AF119" s="19"/>
      <c r="AG119" s="19"/>
      <c r="AH119" s="19"/>
    </row>
    <row r="120" ht="12.75" customHeight="1">
      <c r="A120" s="89"/>
      <c r="B120" s="92">
        <v>41426.0</v>
      </c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>
        <v>0.382524234309001</v>
      </c>
      <c r="T120" s="104">
        <v>0.381766525178815</v>
      </c>
      <c r="U120" s="104">
        <v>0.369237199281075</v>
      </c>
      <c r="V120" s="104">
        <v>0.39641947214641</v>
      </c>
      <c r="W120" s="104">
        <v>0.388952711515043</v>
      </c>
      <c r="X120" s="104">
        <v>0.503484765035922</v>
      </c>
      <c r="Y120" s="104">
        <v>0.4245291562093</v>
      </c>
      <c r="Z120" s="104">
        <v>0.427111616488044</v>
      </c>
      <c r="AA120" s="89"/>
      <c r="AB120" s="89"/>
      <c r="AC120" s="19"/>
      <c r="AD120" s="19"/>
      <c r="AE120" s="19"/>
      <c r="AF120" s="19"/>
      <c r="AG120" s="19"/>
      <c r="AH120" s="19"/>
    </row>
    <row r="121" ht="12.75" customHeight="1">
      <c r="A121" s="89"/>
      <c r="B121" s="92">
        <v>41456.0</v>
      </c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>
        <v>0.378698991965911</v>
      </c>
      <c r="U121" s="104">
        <v>0.374131194675238</v>
      </c>
      <c r="V121" s="104">
        <v>0.380314315259507</v>
      </c>
      <c r="W121" s="104">
        <v>0.408312056310802</v>
      </c>
      <c r="X121" s="104">
        <v>0.396731765745344</v>
      </c>
      <c r="Y121" s="104">
        <v>0.493415069735204</v>
      </c>
      <c r="Z121" s="104">
        <v>0.420283864647207</v>
      </c>
      <c r="AA121" s="89"/>
      <c r="AB121" s="89"/>
      <c r="AC121" s="19"/>
      <c r="AD121" s="19"/>
      <c r="AE121" s="19"/>
      <c r="AF121" s="19"/>
      <c r="AG121" s="19"/>
      <c r="AH121" s="19"/>
    </row>
    <row r="122" ht="12.75" customHeight="1">
      <c r="A122" s="89"/>
      <c r="B122" s="92">
        <v>41487.0</v>
      </c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>
        <v>0.378698991965911</v>
      </c>
      <c r="V122" s="104">
        <v>0.366648570781734</v>
      </c>
      <c r="W122" s="104">
        <v>0.372708028954317</v>
      </c>
      <c r="X122" s="104">
        <v>0.408312056310802</v>
      </c>
      <c r="Y122" s="104">
        <v>0.396731765745344</v>
      </c>
      <c r="Z122" s="104">
        <v>0.4835467683405</v>
      </c>
      <c r="AA122" s="89"/>
      <c r="AB122" s="89"/>
      <c r="AC122" s="19"/>
      <c r="AD122" s="19"/>
      <c r="AE122" s="19"/>
      <c r="AF122" s="19"/>
      <c r="AG122" s="19"/>
      <c r="AH122" s="19"/>
    </row>
    <row r="123" ht="12.75" customHeight="1">
      <c r="A123" s="89"/>
      <c r="B123" s="92">
        <v>41518.0</v>
      </c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>
        <v>0.38248598188557</v>
      </c>
      <c r="W123" s="104">
        <v>0.359315599366099</v>
      </c>
      <c r="X123" s="104">
        <v>0.383889269822946</v>
      </c>
      <c r="Y123" s="104">
        <v>0.416478297437018</v>
      </c>
      <c r="Z123" s="104">
        <v>0.396731765745344</v>
      </c>
      <c r="AA123" s="89"/>
      <c r="AB123" s="89"/>
      <c r="AC123" s="19"/>
      <c r="AD123" s="19"/>
      <c r="AE123" s="19"/>
      <c r="AF123" s="19"/>
      <c r="AG123" s="19"/>
      <c r="AH123" s="19"/>
    </row>
    <row r="124" ht="12.75" customHeight="1">
      <c r="A124" s="89"/>
      <c r="B124" s="92">
        <v>41548.0</v>
      </c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>
        <v>0.390135701523282</v>
      </c>
      <c r="X124" s="104">
        <v>0.355722443372438</v>
      </c>
      <c r="Y124" s="104">
        <v>0.380050377124717</v>
      </c>
      <c r="Z124" s="104">
        <v>0.424807863385759</v>
      </c>
      <c r="AA124" s="89"/>
      <c r="AB124" s="89"/>
      <c r="AC124" s="19"/>
      <c r="AD124" s="19"/>
      <c r="AE124" s="19"/>
      <c r="AF124" s="19"/>
      <c r="AG124" s="19"/>
      <c r="AH124" s="19"/>
    </row>
    <row r="125" ht="12.75" customHeight="1">
      <c r="A125" s="89"/>
      <c r="B125" s="92">
        <v>41579.0</v>
      </c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>
        <v>0.386234344508049</v>
      </c>
      <c r="Y125" s="104">
        <v>0.352165218938714</v>
      </c>
      <c r="Z125" s="104">
        <v>0.372449369582223</v>
      </c>
      <c r="AA125" s="89"/>
      <c r="AB125" s="89"/>
      <c r="AC125" s="19"/>
      <c r="AD125" s="19"/>
      <c r="AE125" s="19"/>
      <c r="AF125" s="19"/>
      <c r="AG125" s="19"/>
      <c r="AH125" s="19"/>
    </row>
    <row r="126" ht="12.75" customHeight="1">
      <c r="A126" s="89"/>
      <c r="B126" s="92">
        <v>41609.0</v>
      </c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>
        <v>0.390096687953129</v>
      </c>
      <c r="Z126" s="104">
        <v>0.345121914559939</v>
      </c>
      <c r="AA126" s="89"/>
      <c r="AB126" s="89"/>
      <c r="AC126" s="19"/>
      <c r="AD126" s="19"/>
      <c r="AE126" s="19"/>
      <c r="AF126" s="19"/>
      <c r="AG126" s="19"/>
      <c r="AH126" s="19"/>
    </row>
    <row r="127" ht="12.75" customHeight="1">
      <c r="A127" s="89"/>
      <c r="B127" s="92">
        <v>41640.0</v>
      </c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>
        <v>0.386195721073598</v>
      </c>
      <c r="AA127" s="89"/>
      <c r="AB127" s="89"/>
      <c r="AC127" s="19"/>
      <c r="AD127" s="19"/>
      <c r="AE127" s="19"/>
      <c r="AF127" s="19"/>
      <c r="AG127" s="19"/>
      <c r="AH127" s="19"/>
    </row>
    <row r="128" ht="12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19"/>
      <c r="AD128" s="19"/>
      <c r="AE128" s="19"/>
      <c r="AF128" s="19"/>
      <c r="AG128" s="19"/>
      <c r="AH128" s="19"/>
    </row>
    <row r="129" ht="12.75" customHeight="1">
      <c r="A129" s="90" t="s">
        <v>107</v>
      </c>
      <c r="B129" s="89"/>
      <c r="C129" s="120">
        <f>AVERAGE(C104:Z127)</f>
        <v>0.3878094638</v>
      </c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19"/>
      <c r="AD129" s="19"/>
      <c r="AE129" s="19"/>
      <c r="AF129" s="19"/>
      <c r="AG129" s="19"/>
      <c r="AH129" s="19"/>
    </row>
    <row r="130" ht="12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19"/>
      <c r="AD130" s="19"/>
      <c r="AE130" s="19"/>
      <c r="AF130" s="19"/>
      <c r="AG130" s="19"/>
      <c r="AH130" s="19"/>
    </row>
    <row r="131" ht="12.75" customHeight="1">
      <c r="A131" s="89"/>
      <c r="B131" s="186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19"/>
      <c r="AD131" s="19"/>
      <c r="AE131" s="19"/>
      <c r="AF131" s="19"/>
      <c r="AG131" s="19"/>
      <c r="AH131" s="19"/>
    </row>
    <row r="132" ht="12.75" customHeight="1">
      <c r="A132" s="90"/>
      <c r="B132" s="91"/>
      <c r="C132" s="90" t="s">
        <v>108</v>
      </c>
      <c r="D132" s="90"/>
      <c r="E132" s="90"/>
      <c r="F132" s="90"/>
      <c r="G132" s="90"/>
      <c r="H132" s="90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 t="s">
        <v>109</v>
      </c>
    </row>
    <row r="133" ht="12.75" customHeight="1">
      <c r="A133" s="89"/>
      <c r="B133" s="89"/>
      <c r="C133" s="92">
        <v>40940.0</v>
      </c>
      <c r="D133" s="92">
        <v>40969.0</v>
      </c>
      <c r="E133" s="92">
        <v>41000.0</v>
      </c>
      <c r="F133" s="92">
        <v>41030.0</v>
      </c>
      <c r="G133" s="92">
        <v>41061.0</v>
      </c>
      <c r="H133" s="92">
        <v>41091.0</v>
      </c>
      <c r="I133" s="92">
        <v>41122.0</v>
      </c>
      <c r="J133" s="92">
        <v>41153.0</v>
      </c>
      <c r="K133" s="92">
        <v>41183.0</v>
      </c>
      <c r="L133" s="92">
        <v>41214.0</v>
      </c>
      <c r="M133" s="92">
        <v>41244.0</v>
      </c>
      <c r="N133" s="92">
        <v>41275.0</v>
      </c>
      <c r="O133" s="92">
        <v>41306.0</v>
      </c>
      <c r="P133" s="92">
        <v>41334.0</v>
      </c>
      <c r="Q133" s="92">
        <v>41365.0</v>
      </c>
      <c r="R133" s="92">
        <v>41395.0</v>
      </c>
      <c r="S133" s="92">
        <v>41426.0</v>
      </c>
      <c r="T133" s="92">
        <v>41456.0</v>
      </c>
      <c r="U133" s="92">
        <v>41487.0</v>
      </c>
      <c r="V133" s="92">
        <v>41518.0</v>
      </c>
      <c r="W133" s="92">
        <v>41548.0</v>
      </c>
      <c r="X133" s="92">
        <v>41579.0</v>
      </c>
      <c r="Y133" s="92">
        <v>41609.0</v>
      </c>
      <c r="Z133" s="92">
        <v>41640.0</v>
      </c>
      <c r="AA133" s="89"/>
      <c r="AB133" s="89"/>
      <c r="AC133" s="19"/>
      <c r="AD133" s="19"/>
      <c r="AE133" s="19"/>
      <c r="AF133" s="19"/>
      <c r="AG133" s="19"/>
      <c r="AH133" s="19"/>
    </row>
    <row r="134" ht="12.75" customHeight="1">
      <c r="A134" s="89" t="s">
        <v>95</v>
      </c>
      <c r="B134" s="92">
        <v>40940.0</v>
      </c>
      <c r="C134" s="195">
        <f t="shared" ref="C134:Z134" si="2">IF(C10="","",C10*C42*C73*C104)</f>
        <v>2.627625</v>
      </c>
      <c r="D134" s="195">
        <f t="shared" si="2"/>
        <v>0.600263701</v>
      </c>
      <c r="E134" s="195">
        <f t="shared" si="2"/>
        <v>0.4873489069</v>
      </c>
      <c r="F134" s="195">
        <f t="shared" si="2"/>
        <v>0.4486665651</v>
      </c>
      <c r="G134" s="195">
        <f t="shared" si="2"/>
        <v>0.4207293018</v>
      </c>
      <c r="H134" s="195">
        <f t="shared" si="2"/>
        <v>0.4132804138</v>
      </c>
      <c r="I134" s="195">
        <f t="shared" si="2"/>
        <v>0.3926924576</v>
      </c>
      <c r="J134" s="195">
        <f t="shared" si="2"/>
        <v>0.3521800832</v>
      </c>
      <c r="K134" s="195">
        <f t="shared" si="2"/>
        <v>0.3501702013</v>
      </c>
      <c r="L134" s="195">
        <f t="shared" si="2"/>
        <v>0.3312315167</v>
      </c>
      <c r="M134" s="195">
        <f t="shared" si="2"/>
        <v>0.3179665205</v>
      </c>
      <c r="N134" s="195">
        <f t="shared" si="2"/>
        <v>0.3119453042</v>
      </c>
      <c r="O134" s="195">
        <f t="shared" si="2"/>
        <v>0.3043126473</v>
      </c>
      <c r="P134" s="195">
        <f t="shared" si="2"/>
        <v>0.295453262</v>
      </c>
      <c r="Q134" s="195">
        <f t="shared" si="2"/>
        <v>0.2796350844</v>
      </c>
      <c r="R134" s="195">
        <f t="shared" si="2"/>
        <v>0.290678461</v>
      </c>
      <c r="S134" s="195">
        <f t="shared" si="2"/>
        <v>0.2984524868</v>
      </c>
      <c r="T134" s="195">
        <f t="shared" si="2"/>
        <v>0.2814407302</v>
      </c>
      <c r="U134" s="195">
        <f t="shared" si="2"/>
        <v>0.2683808953</v>
      </c>
      <c r="V134" s="195">
        <f t="shared" si="2"/>
        <v>0.2603747331</v>
      </c>
      <c r="W134" s="195">
        <f t="shared" si="2"/>
        <v>0.2669050137</v>
      </c>
      <c r="X134" s="195">
        <f t="shared" si="2"/>
        <v>0.2679248522</v>
      </c>
      <c r="Y134" s="195">
        <f t="shared" si="2"/>
        <v>0.2504434753</v>
      </c>
      <c r="Z134" s="195">
        <f t="shared" si="2"/>
        <v>0.2568880146</v>
      </c>
      <c r="AA134" s="195"/>
      <c r="AB134" s="195">
        <f>SUM(C134:H134)</f>
        <v>4.997913889</v>
      </c>
      <c r="AC134" s="19"/>
      <c r="AD134" s="19"/>
      <c r="AE134" s="19"/>
      <c r="AF134" s="19"/>
      <c r="AG134" s="19"/>
      <c r="AH134" s="19"/>
    </row>
    <row r="135" ht="12.75" customHeight="1">
      <c r="A135" s="89"/>
      <c r="B135" s="92">
        <v>40969.0</v>
      </c>
      <c r="C135" s="195" t="str">
        <f t="shared" ref="C135:Z135" si="3">IF(C11="","",C11*C43*C74*C105)</f>
        <v/>
      </c>
      <c r="D135" s="195">
        <f t="shared" si="3"/>
        <v>2.611736577</v>
      </c>
      <c r="E135" s="195">
        <f t="shared" si="3"/>
        <v>0.571128926</v>
      </c>
      <c r="F135" s="195">
        <f t="shared" si="3"/>
        <v>0.5332191835</v>
      </c>
      <c r="G135" s="195">
        <f t="shared" si="3"/>
        <v>0.4679428463</v>
      </c>
      <c r="H135" s="195">
        <f t="shared" si="3"/>
        <v>0.4342631512</v>
      </c>
      <c r="I135" s="195">
        <f t="shared" si="3"/>
        <v>0.4293896741</v>
      </c>
      <c r="J135" s="195">
        <f t="shared" si="3"/>
        <v>0.3767513092</v>
      </c>
      <c r="K135" s="195">
        <f t="shared" si="3"/>
        <v>0.3770201081</v>
      </c>
      <c r="L135" s="195">
        <f t="shared" si="3"/>
        <v>0.3503764152</v>
      </c>
      <c r="M135" s="195">
        <f t="shared" si="3"/>
        <v>0.34400596</v>
      </c>
      <c r="N135" s="195">
        <f t="shared" si="3"/>
        <v>0.3447319266</v>
      </c>
      <c r="O135" s="195">
        <f t="shared" si="3"/>
        <v>0.3160567574</v>
      </c>
      <c r="P135" s="195">
        <f t="shared" si="3"/>
        <v>0.3184038058</v>
      </c>
      <c r="Q135" s="195">
        <f t="shared" si="3"/>
        <v>0.2937502896</v>
      </c>
      <c r="R135" s="195">
        <f t="shared" si="3"/>
        <v>0.294517161</v>
      </c>
      <c r="S135" s="195">
        <f t="shared" si="3"/>
        <v>0.2739895946</v>
      </c>
      <c r="T135" s="195">
        <f t="shared" si="3"/>
        <v>0.2864889399</v>
      </c>
      <c r="U135" s="195">
        <f t="shared" si="3"/>
        <v>0.2740651013</v>
      </c>
      <c r="V135" s="195">
        <f t="shared" si="3"/>
        <v>0.266218829</v>
      </c>
      <c r="W135" s="195">
        <f t="shared" si="3"/>
        <v>0.2792533004</v>
      </c>
      <c r="X135" s="195">
        <f t="shared" si="3"/>
        <v>0.253360186</v>
      </c>
      <c r="Y135" s="195">
        <f t="shared" si="3"/>
        <v>0.2922600095</v>
      </c>
      <c r="Z135" s="195">
        <f t="shared" si="3"/>
        <v>0.2686068677</v>
      </c>
      <c r="AA135" s="195"/>
      <c r="AB135" s="195">
        <f>SUM(D135:I135)</f>
        <v>5.047680359</v>
      </c>
      <c r="AC135" s="19"/>
      <c r="AD135" s="19"/>
      <c r="AE135" s="19"/>
      <c r="AF135" s="19"/>
      <c r="AG135" s="19"/>
      <c r="AH135" s="19"/>
    </row>
    <row r="136" ht="12.75" customHeight="1">
      <c r="A136" s="89"/>
      <c r="B136" s="92">
        <v>41000.0</v>
      </c>
      <c r="C136" s="195" t="str">
        <f t="shared" ref="C136:Z136" si="4">IF(C12="","",C12*C44*C75*C106)</f>
        <v/>
      </c>
      <c r="D136" s="195" t="str">
        <f t="shared" si="4"/>
        <v/>
      </c>
      <c r="E136" s="195">
        <f t="shared" si="4"/>
        <v>2.657717613</v>
      </c>
      <c r="F136" s="195">
        <f t="shared" si="4"/>
        <v>0.6241674288</v>
      </c>
      <c r="G136" s="195">
        <f t="shared" si="4"/>
        <v>0.5390753154</v>
      </c>
      <c r="H136" s="195">
        <f t="shared" si="4"/>
        <v>0.4445263016</v>
      </c>
      <c r="I136" s="195">
        <f t="shared" si="4"/>
        <v>0.4607162705</v>
      </c>
      <c r="J136" s="195">
        <f t="shared" si="4"/>
        <v>0.4426939628</v>
      </c>
      <c r="K136" s="195">
        <f t="shared" si="4"/>
        <v>0.3849843146</v>
      </c>
      <c r="L136" s="195">
        <f t="shared" si="4"/>
        <v>0.3696570327</v>
      </c>
      <c r="M136" s="195">
        <f t="shared" si="4"/>
        <v>0.3577758372</v>
      </c>
      <c r="N136" s="195">
        <f t="shared" si="4"/>
        <v>0.3578543147</v>
      </c>
      <c r="O136" s="195">
        <f t="shared" si="4"/>
        <v>0.3843153949</v>
      </c>
      <c r="P136" s="195">
        <f t="shared" si="4"/>
        <v>0.3384457101</v>
      </c>
      <c r="Q136" s="195">
        <f t="shared" si="4"/>
        <v>0.3176986766</v>
      </c>
      <c r="R136" s="195">
        <f t="shared" si="4"/>
        <v>0.3018917979</v>
      </c>
      <c r="S136" s="195">
        <f t="shared" si="4"/>
        <v>0.3189259343</v>
      </c>
      <c r="T136" s="195">
        <f t="shared" si="4"/>
        <v>0.2877730732</v>
      </c>
      <c r="U136" s="195">
        <f t="shared" si="4"/>
        <v>0.2901142167</v>
      </c>
      <c r="V136" s="195">
        <f t="shared" si="4"/>
        <v>0.2875619165</v>
      </c>
      <c r="W136" s="195">
        <f t="shared" si="4"/>
        <v>0.2799012794</v>
      </c>
      <c r="X136" s="195">
        <f t="shared" si="4"/>
        <v>0.2801966991</v>
      </c>
      <c r="Y136" s="195">
        <f t="shared" si="4"/>
        <v>0.2422147085</v>
      </c>
      <c r="Z136" s="195">
        <f t="shared" si="4"/>
        <v>0.2796392791</v>
      </c>
      <c r="AA136" s="195"/>
      <c r="AB136" s="195">
        <f>SUM(E136:J136)</f>
        <v>5.168896892</v>
      </c>
      <c r="AC136" s="19"/>
      <c r="AD136" s="19"/>
      <c r="AE136" s="19"/>
      <c r="AF136" s="19"/>
      <c r="AG136" s="19"/>
      <c r="AH136" s="19"/>
    </row>
    <row r="137" ht="12.75" customHeight="1">
      <c r="A137" s="89"/>
      <c r="B137" s="92">
        <v>41030.0</v>
      </c>
      <c r="C137" s="195" t="str">
        <f t="shared" ref="C137:Z137" si="5">IF(C13="","",C13*C45*C76*C107)</f>
        <v/>
      </c>
      <c r="D137" s="195" t="str">
        <f t="shared" si="5"/>
        <v/>
      </c>
      <c r="E137" s="195" t="str">
        <f t="shared" si="5"/>
        <v/>
      </c>
      <c r="F137" s="195">
        <f t="shared" si="5"/>
        <v>2.635696078</v>
      </c>
      <c r="G137" s="195">
        <f t="shared" si="5"/>
        <v>0.5932796754</v>
      </c>
      <c r="H137" s="195">
        <f t="shared" si="5"/>
        <v>0.5875393261</v>
      </c>
      <c r="I137" s="195">
        <f t="shared" si="5"/>
        <v>0.4514633363</v>
      </c>
      <c r="J137" s="195">
        <f t="shared" si="5"/>
        <v>0.4448484676</v>
      </c>
      <c r="K137" s="195">
        <f t="shared" si="5"/>
        <v>0.4577001576</v>
      </c>
      <c r="L137" s="195">
        <f t="shared" si="5"/>
        <v>0.3936979264</v>
      </c>
      <c r="M137" s="195">
        <f t="shared" si="5"/>
        <v>0.3664526807</v>
      </c>
      <c r="N137" s="195">
        <f t="shared" si="5"/>
        <v>0.3508938327</v>
      </c>
      <c r="O137" s="195">
        <f t="shared" si="5"/>
        <v>0.3537288534</v>
      </c>
      <c r="P137" s="195">
        <f t="shared" si="5"/>
        <v>0.3724202163</v>
      </c>
      <c r="Q137" s="195">
        <f t="shared" si="5"/>
        <v>0.3220235591</v>
      </c>
      <c r="R137" s="195">
        <f t="shared" si="5"/>
        <v>0.3032357198</v>
      </c>
      <c r="S137" s="195">
        <f t="shared" si="5"/>
        <v>0.29195248</v>
      </c>
      <c r="T137" s="195">
        <f t="shared" si="5"/>
        <v>0.35088202</v>
      </c>
      <c r="U137" s="195">
        <f t="shared" si="5"/>
        <v>0.307558049</v>
      </c>
      <c r="V137" s="195">
        <f t="shared" si="5"/>
        <v>0.2956097104</v>
      </c>
      <c r="W137" s="195">
        <f t="shared" si="5"/>
        <v>0.2993554477</v>
      </c>
      <c r="X137" s="195">
        <f t="shared" si="5"/>
        <v>0.306202912</v>
      </c>
      <c r="Y137" s="195">
        <f t="shared" si="5"/>
        <v>0.2637343527</v>
      </c>
      <c r="Z137" s="195">
        <f t="shared" si="5"/>
        <v>0.2548528879</v>
      </c>
      <c r="AA137" s="195"/>
      <c r="AB137" s="195">
        <f>SUM(F137:K137)</f>
        <v>5.170527042</v>
      </c>
      <c r="AC137" s="19"/>
      <c r="AD137" s="19"/>
      <c r="AE137" s="19"/>
      <c r="AF137" s="19"/>
      <c r="AG137" s="19"/>
      <c r="AH137" s="19"/>
    </row>
    <row r="138" ht="12.75" customHeight="1">
      <c r="A138" s="89"/>
      <c r="B138" s="92">
        <v>41061.0</v>
      </c>
      <c r="C138" s="195" t="str">
        <f t="shared" ref="C138:Z138" si="6">IF(C14="","",C14*C46*C77*C108)</f>
        <v/>
      </c>
      <c r="D138" s="195" t="str">
        <f t="shared" si="6"/>
        <v/>
      </c>
      <c r="E138" s="195" t="str">
        <f t="shared" si="6"/>
        <v/>
      </c>
      <c r="F138" s="195" t="str">
        <f t="shared" si="6"/>
        <v/>
      </c>
      <c r="G138" s="195">
        <f t="shared" si="6"/>
        <v>2.665503938</v>
      </c>
      <c r="H138" s="195">
        <f t="shared" si="6"/>
        <v>0.6300223517</v>
      </c>
      <c r="I138" s="195">
        <f t="shared" si="6"/>
        <v>0.5705230491</v>
      </c>
      <c r="J138" s="195">
        <f t="shared" si="6"/>
        <v>0.4225004091</v>
      </c>
      <c r="K138" s="195">
        <f t="shared" si="6"/>
        <v>0.4206937967</v>
      </c>
      <c r="L138" s="195">
        <f t="shared" si="6"/>
        <v>0.4659829947</v>
      </c>
      <c r="M138" s="195">
        <f t="shared" si="6"/>
        <v>0.412164761</v>
      </c>
      <c r="N138" s="195">
        <f t="shared" si="6"/>
        <v>0.3653062126</v>
      </c>
      <c r="O138" s="195">
        <f t="shared" si="6"/>
        <v>0.3542564977</v>
      </c>
      <c r="P138" s="195">
        <f t="shared" si="6"/>
        <v>0.3578092548</v>
      </c>
      <c r="Q138" s="195">
        <f t="shared" si="6"/>
        <v>0.4030597208</v>
      </c>
      <c r="R138" s="195">
        <f t="shared" si="6"/>
        <v>0.3442873586</v>
      </c>
      <c r="S138" s="195">
        <f t="shared" si="6"/>
        <v>0.3326749126</v>
      </c>
      <c r="T138" s="195">
        <f t="shared" si="6"/>
        <v>0.296274961</v>
      </c>
      <c r="U138" s="195">
        <f t="shared" si="6"/>
        <v>0.3374037173</v>
      </c>
      <c r="V138" s="195">
        <f t="shared" si="6"/>
        <v>0.2993341028</v>
      </c>
      <c r="W138" s="195">
        <f t="shared" si="6"/>
        <v>0.3237733448</v>
      </c>
      <c r="X138" s="195">
        <f t="shared" si="6"/>
        <v>0.2994880195</v>
      </c>
      <c r="Y138" s="195">
        <f t="shared" si="6"/>
        <v>0.3092857735</v>
      </c>
      <c r="Z138" s="195">
        <f t="shared" si="6"/>
        <v>0.2687578286</v>
      </c>
      <c r="AA138" s="195"/>
      <c r="AB138" s="195">
        <f>SUM(G138:L138)</f>
        <v>5.175226539</v>
      </c>
      <c r="AC138" s="19"/>
      <c r="AD138" s="19"/>
      <c r="AE138" s="19"/>
      <c r="AF138" s="19"/>
      <c r="AG138" s="19"/>
      <c r="AH138" s="19"/>
    </row>
    <row r="139" ht="12.75" customHeight="1">
      <c r="A139" s="89"/>
      <c r="B139" s="92">
        <v>41091.0</v>
      </c>
      <c r="C139" s="195" t="str">
        <f t="shared" ref="C139:Z139" si="7">IF(C15="","",C15*C47*C78*C109)</f>
        <v/>
      </c>
      <c r="D139" s="195" t="str">
        <f t="shared" si="7"/>
        <v/>
      </c>
      <c r="E139" s="195" t="str">
        <f t="shared" si="7"/>
        <v/>
      </c>
      <c r="F139" s="195" t="str">
        <f t="shared" si="7"/>
        <v/>
      </c>
      <c r="G139" s="195" t="str">
        <f t="shared" si="7"/>
        <v/>
      </c>
      <c r="H139" s="195">
        <f t="shared" si="7"/>
        <v>2.69077231</v>
      </c>
      <c r="I139" s="195">
        <f t="shared" si="7"/>
        <v>0.696828386</v>
      </c>
      <c r="J139" s="195">
        <f t="shared" si="7"/>
        <v>0.5486125777</v>
      </c>
      <c r="K139" s="195">
        <f t="shared" si="7"/>
        <v>0.4272538732</v>
      </c>
      <c r="L139" s="195">
        <f t="shared" si="7"/>
        <v>0.4782479381</v>
      </c>
      <c r="M139" s="195">
        <f t="shared" si="7"/>
        <v>0.4905675326</v>
      </c>
      <c r="N139" s="195">
        <f t="shared" si="7"/>
        <v>0.4126947161</v>
      </c>
      <c r="O139" s="195">
        <f t="shared" si="7"/>
        <v>0.3583865964</v>
      </c>
      <c r="P139" s="195">
        <f t="shared" si="7"/>
        <v>0.3655695566</v>
      </c>
      <c r="Q139" s="195">
        <f t="shared" si="7"/>
        <v>0.3799763237</v>
      </c>
      <c r="R139" s="195">
        <f t="shared" si="7"/>
        <v>0.4061915527</v>
      </c>
      <c r="S139" s="195">
        <f t="shared" si="7"/>
        <v>0.3445466802</v>
      </c>
      <c r="T139" s="195">
        <f t="shared" si="7"/>
        <v>0.3472430236</v>
      </c>
      <c r="U139" s="195">
        <f t="shared" si="7"/>
        <v>0.3204131913</v>
      </c>
      <c r="V139" s="195">
        <f t="shared" si="7"/>
        <v>0.3373349096</v>
      </c>
      <c r="W139" s="195">
        <f t="shared" si="7"/>
        <v>0.2984443737</v>
      </c>
      <c r="X139" s="195">
        <f t="shared" si="7"/>
        <v>0.3327121583</v>
      </c>
      <c r="Y139" s="195">
        <f t="shared" si="7"/>
        <v>0.3170544419</v>
      </c>
      <c r="Z139" s="195">
        <f t="shared" si="7"/>
        <v>0.3278959723</v>
      </c>
      <c r="AA139" s="195"/>
      <c r="AB139" s="195">
        <f>SUM(H139:M139)</f>
        <v>5.332282617</v>
      </c>
      <c r="AC139" s="19"/>
      <c r="AD139" s="19"/>
      <c r="AE139" s="19"/>
      <c r="AF139" s="19"/>
      <c r="AG139" s="19"/>
      <c r="AH139" s="19"/>
    </row>
    <row r="140" ht="12.75" customHeight="1">
      <c r="A140" s="89"/>
      <c r="B140" s="92">
        <v>41122.0</v>
      </c>
      <c r="C140" s="195" t="str">
        <f t="shared" ref="C140:Z140" si="8">IF(C16="","",C16*C48*C79*C110)</f>
        <v/>
      </c>
      <c r="D140" s="195" t="str">
        <f t="shared" si="8"/>
        <v/>
      </c>
      <c r="E140" s="195" t="str">
        <f t="shared" si="8"/>
        <v/>
      </c>
      <c r="F140" s="195" t="str">
        <f t="shared" si="8"/>
        <v/>
      </c>
      <c r="G140" s="195" t="str">
        <f t="shared" si="8"/>
        <v/>
      </c>
      <c r="H140" s="195" t="str">
        <f t="shared" si="8"/>
        <v/>
      </c>
      <c r="I140" s="195">
        <f t="shared" si="8"/>
        <v>2.669214582</v>
      </c>
      <c r="J140" s="195">
        <f t="shared" si="8"/>
        <v>0.6885737489</v>
      </c>
      <c r="K140" s="195">
        <f t="shared" si="8"/>
        <v>0.5950980149</v>
      </c>
      <c r="L140" s="195">
        <f t="shared" si="8"/>
        <v>0.4188023439</v>
      </c>
      <c r="M140" s="195">
        <f t="shared" si="8"/>
        <v>0.4843670047</v>
      </c>
      <c r="N140" s="195">
        <f t="shared" si="8"/>
        <v>0.5002287553</v>
      </c>
      <c r="O140" s="195">
        <f t="shared" si="8"/>
        <v>0.4168361524</v>
      </c>
      <c r="P140" s="195">
        <f t="shared" si="8"/>
        <v>0.3802168123</v>
      </c>
      <c r="Q140" s="195">
        <f t="shared" si="8"/>
        <v>0.3875083539</v>
      </c>
      <c r="R140" s="195">
        <f t="shared" si="8"/>
        <v>0.3952055444</v>
      </c>
      <c r="S140" s="195">
        <f t="shared" si="8"/>
        <v>0.4231812526</v>
      </c>
      <c r="T140" s="195">
        <f t="shared" si="8"/>
        <v>0.3318538827</v>
      </c>
      <c r="U140" s="195">
        <f t="shared" si="8"/>
        <v>0.3831672336</v>
      </c>
      <c r="V140" s="195">
        <f t="shared" si="8"/>
        <v>0.3466433329</v>
      </c>
      <c r="W140" s="195">
        <f t="shared" si="8"/>
        <v>0.3542522348</v>
      </c>
      <c r="X140" s="195">
        <f t="shared" si="8"/>
        <v>0.3106930366</v>
      </c>
      <c r="Y140" s="195">
        <f t="shared" si="8"/>
        <v>0.3528945052</v>
      </c>
      <c r="Z140" s="195">
        <f t="shared" si="8"/>
        <v>0.3046608659</v>
      </c>
      <c r="AA140" s="195"/>
      <c r="AB140" s="195">
        <f>SUM(I140:N140)</f>
        <v>5.35628445</v>
      </c>
      <c r="AC140" s="19"/>
      <c r="AD140" s="19"/>
      <c r="AE140" s="19"/>
      <c r="AF140" s="19"/>
      <c r="AG140" s="19"/>
      <c r="AH140" s="19"/>
    </row>
    <row r="141" ht="12.75" customHeight="1">
      <c r="A141" s="89"/>
      <c r="B141" s="92">
        <v>41153.0</v>
      </c>
      <c r="C141" s="195" t="str">
        <f t="shared" ref="C141:Z141" si="9">IF(C17="","",C17*C49*C80*C111)</f>
        <v/>
      </c>
      <c r="D141" s="195" t="str">
        <f t="shared" si="9"/>
        <v/>
      </c>
      <c r="E141" s="195" t="str">
        <f t="shared" si="9"/>
        <v/>
      </c>
      <c r="F141" s="195" t="str">
        <f t="shared" si="9"/>
        <v/>
      </c>
      <c r="G141" s="195" t="str">
        <f t="shared" si="9"/>
        <v/>
      </c>
      <c r="H141" s="195" t="str">
        <f t="shared" si="9"/>
        <v/>
      </c>
      <c r="I141" s="195" t="str">
        <f t="shared" si="9"/>
        <v/>
      </c>
      <c r="J141" s="195">
        <f t="shared" si="9"/>
        <v>2.700553938</v>
      </c>
      <c r="K141" s="195">
        <f t="shared" si="9"/>
        <v>0.688944098</v>
      </c>
      <c r="L141" s="195">
        <f t="shared" si="9"/>
        <v>0.629826376</v>
      </c>
      <c r="M141" s="195">
        <f t="shared" si="9"/>
        <v>0.4526167833</v>
      </c>
      <c r="N141" s="195">
        <f t="shared" si="9"/>
        <v>0.4789725522</v>
      </c>
      <c r="O141" s="195">
        <f t="shared" si="9"/>
        <v>0.5155882226</v>
      </c>
      <c r="P141" s="195">
        <f t="shared" si="9"/>
        <v>0.409467329</v>
      </c>
      <c r="Q141" s="195">
        <f t="shared" si="9"/>
        <v>0.378733301</v>
      </c>
      <c r="R141" s="195">
        <f t="shared" si="9"/>
        <v>0.4294850207</v>
      </c>
      <c r="S141" s="195">
        <f t="shared" si="9"/>
        <v>0.4168318852</v>
      </c>
      <c r="T141" s="195">
        <f t="shared" si="9"/>
        <v>0.4563763962</v>
      </c>
      <c r="U141" s="195">
        <f t="shared" si="9"/>
        <v>0.3607592277</v>
      </c>
      <c r="V141" s="195">
        <f t="shared" si="9"/>
        <v>0.4002013155</v>
      </c>
      <c r="W141" s="195">
        <f t="shared" si="9"/>
        <v>0.3778284248</v>
      </c>
      <c r="X141" s="195">
        <f t="shared" si="9"/>
        <v>0.3569864176</v>
      </c>
      <c r="Y141" s="195">
        <f t="shared" si="9"/>
        <v>0.3563959939</v>
      </c>
      <c r="Z141" s="195">
        <f t="shared" si="9"/>
        <v>0.3574629313</v>
      </c>
      <c r="AA141" s="195"/>
      <c r="AB141" s="195">
        <f>SUM(J141:O141)</f>
        <v>5.46650197</v>
      </c>
      <c r="AC141" s="19"/>
      <c r="AD141" s="19"/>
      <c r="AE141" s="19"/>
      <c r="AF141" s="19"/>
      <c r="AG141" s="19"/>
      <c r="AH141" s="19"/>
    </row>
    <row r="142" ht="12.75" customHeight="1">
      <c r="A142" s="89"/>
      <c r="B142" s="92">
        <v>41183.0</v>
      </c>
      <c r="C142" s="195" t="str">
        <f t="shared" ref="C142:Z142" si="10">IF(C18="","",C18*C50*C81*C112)</f>
        <v/>
      </c>
      <c r="D142" s="195" t="str">
        <f t="shared" si="10"/>
        <v/>
      </c>
      <c r="E142" s="195" t="str">
        <f t="shared" si="10"/>
        <v/>
      </c>
      <c r="F142" s="195" t="str">
        <f t="shared" si="10"/>
        <v/>
      </c>
      <c r="G142" s="195" t="str">
        <f t="shared" si="10"/>
        <v/>
      </c>
      <c r="H142" s="195" t="str">
        <f t="shared" si="10"/>
        <v/>
      </c>
      <c r="I142" s="195" t="str">
        <f t="shared" si="10"/>
        <v/>
      </c>
      <c r="J142" s="195" t="str">
        <f t="shared" si="10"/>
        <v/>
      </c>
      <c r="K142" s="195">
        <f t="shared" si="10"/>
        <v>2.759802123</v>
      </c>
      <c r="L142" s="195">
        <f t="shared" si="10"/>
        <v>0.7500690916</v>
      </c>
      <c r="M142" s="195">
        <f t="shared" si="10"/>
        <v>0.5811734661</v>
      </c>
      <c r="N142" s="195">
        <f t="shared" si="10"/>
        <v>0.4629274441</v>
      </c>
      <c r="O142" s="195">
        <f t="shared" si="10"/>
        <v>0.4845153048</v>
      </c>
      <c r="P142" s="195">
        <f t="shared" si="10"/>
        <v>0.506339451</v>
      </c>
      <c r="Q142" s="195">
        <f t="shared" si="10"/>
        <v>0.3973665963</v>
      </c>
      <c r="R142" s="195">
        <f t="shared" si="10"/>
        <v>0.4357736895</v>
      </c>
      <c r="S142" s="195">
        <f t="shared" si="10"/>
        <v>0.4140817396</v>
      </c>
      <c r="T142" s="195">
        <f t="shared" si="10"/>
        <v>0.3979212739</v>
      </c>
      <c r="U142" s="195">
        <f t="shared" si="10"/>
        <v>0.4621422211</v>
      </c>
      <c r="V142" s="195">
        <f t="shared" si="10"/>
        <v>0.3868810036</v>
      </c>
      <c r="W142" s="195">
        <f t="shared" si="10"/>
        <v>0.4018219948</v>
      </c>
      <c r="X142" s="195">
        <f t="shared" si="10"/>
        <v>0.3679972789</v>
      </c>
      <c r="Y142" s="195">
        <f t="shared" si="10"/>
        <v>0.3836577437</v>
      </c>
      <c r="Z142" s="195">
        <f t="shared" si="10"/>
        <v>0.3294697894</v>
      </c>
      <c r="AA142" s="195"/>
      <c r="AB142" s="195">
        <f>SUM(K142:P142)</f>
        <v>5.544826881</v>
      </c>
      <c r="AC142" s="19"/>
      <c r="AD142" s="19"/>
      <c r="AE142" s="19"/>
      <c r="AF142" s="19"/>
      <c r="AG142" s="19"/>
      <c r="AH142" s="19"/>
    </row>
    <row r="143" ht="12.75" customHeight="1">
      <c r="A143" s="89"/>
      <c r="B143" s="92">
        <v>41214.0</v>
      </c>
      <c r="C143" s="195" t="str">
        <f t="shared" ref="C143:Z143" si="11">IF(C19="","",C19*C51*C82*C113)</f>
        <v/>
      </c>
      <c r="D143" s="195" t="str">
        <f t="shared" si="11"/>
        <v/>
      </c>
      <c r="E143" s="195" t="str">
        <f t="shared" si="11"/>
        <v/>
      </c>
      <c r="F143" s="195" t="str">
        <f t="shared" si="11"/>
        <v/>
      </c>
      <c r="G143" s="195" t="str">
        <f t="shared" si="11"/>
        <v/>
      </c>
      <c r="H143" s="195" t="str">
        <f t="shared" si="11"/>
        <v/>
      </c>
      <c r="I143" s="195" t="str">
        <f t="shared" si="11"/>
        <v/>
      </c>
      <c r="J143" s="195" t="str">
        <f t="shared" si="11"/>
        <v/>
      </c>
      <c r="K143" s="195" t="str">
        <f t="shared" si="11"/>
        <v/>
      </c>
      <c r="L143" s="195">
        <f t="shared" si="11"/>
        <v>2.765794753</v>
      </c>
      <c r="M143" s="195">
        <f t="shared" si="11"/>
        <v>0.8299220592</v>
      </c>
      <c r="N143" s="195">
        <f t="shared" si="11"/>
        <v>0.5999347861</v>
      </c>
      <c r="O143" s="195">
        <f t="shared" si="11"/>
        <v>0.4671087354</v>
      </c>
      <c r="P143" s="195">
        <f t="shared" si="11"/>
        <v>0.4935444936</v>
      </c>
      <c r="Q143" s="195">
        <f t="shared" si="11"/>
        <v>0.5083419897</v>
      </c>
      <c r="R143" s="195">
        <f t="shared" si="11"/>
        <v>0.4330314411</v>
      </c>
      <c r="S143" s="195">
        <f t="shared" si="11"/>
        <v>0.4525552546</v>
      </c>
      <c r="T143" s="195">
        <f t="shared" si="11"/>
        <v>0.4137867577</v>
      </c>
      <c r="U143" s="195">
        <f t="shared" si="11"/>
        <v>0.3990498666</v>
      </c>
      <c r="V143" s="195">
        <f t="shared" si="11"/>
        <v>0.4859387821</v>
      </c>
      <c r="W143" s="195">
        <f t="shared" si="11"/>
        <v>0.3964157682</v>
      </c>
      <c r="X143" s="195">
        <f t="shared" si="11"/>
        <v>0.435360801</v>
      </c>
      <c r="Y143" s="195">
        <f t="shared" si="11"/>
        <v>0.3869210382</v>
      </c>
      <c r="Z143" s="195">
        <f t="shared" si="11"/>
        <v>0.3612066061</v>
      </c>
      <c r="AA143" s="195"/>
      <c r="AB143" s="195">
        <f>SUM(L143:Q143)</f>
        <v>5.664646817</v>
      </c>
      <c r="AC143" s="19"/>
      <c r="AD143" s="19"/>
      <c r="AE143" s="19"/>
      <c r="AF143" s="19"/>
      <c r="AG143" s="19"/>
      <c r="AH143" s="19"/>
    </row>
    <row r="144" ht="12.75" customHeight="1">
      <c r="A144" s="89"/>
      <c r="B144" s="92">
        <v>41244.0</v>
      </c>
      <c r="C144" s="195" t="str">
        <f t="shared" ref="C144:Z144" si="12">IF(C20="","",C20*C52*C83*C114)</f>
        <v/>
      </c>
      <c r="D144" s="195" t="str">
        <f t="shared" si="12"/>
        <v/>
      </c>
      <c r="E144" s="195" t="str">
        <f t="shared" si="12"/>
        <v/>
      </c>
      <c r="F144" s="195" t="str">
        <f t="shared" si="12"/>
        <v/>
      </c>
      <c r="G144" s="195" t="str">
        <f t="shared" si="12"/>
        <v/>
      </c>
      <c r="H144" s="195" t="str">
        <f t="shared" si="12"/>
        <v/>
      </c>
      <c r="I144" s="195" t="str">
        <f t="shared" si="12"/>
        <v/>
      </c>
      <c r="J144" s="195" t="str">
        <f t="shared" si="12"/>
        <v/>
      </c>
      <c r="K144" s="195" t="str">
        <f t="shared" si="12"/>
        <v/>
      </c>
      <c r="L144" s="195" t="str">
        <f t="shared" si="12"/>
        <v/>
      </c>
      <c r="M144" s="195">
        <f t="shared" si="12"/>
        <v>2.791059162</v>
      </c>
      <c r="N144" s="195">
        <f t="shared" si="12"/>
        <v>0.7750599887</v>
      </c>
      <c r="O144" s="195">
        <f t="shared" si="12"/>
        <v>0.5887804317</v>
      </c>
      <c r="P144" s="195">
        <f t="shared" si="12"/>
        <v>0.4980556318</v>
      </c>
      <c r="Q144" s="195">
        <f t="shared" si="12"/>
        <v>0.4903416564</v>
      </c>
      <c r="R144" s="195">
        <f t="shared" si="12"/>
        <v>0.536957004</v>
      </c>
      <c r="S144" s="195">
        <f t="shared" si="12"/>
        <v>0.4517370895</v>
      </c>
      <c r="T144" s="195">
        <f t="shared" si="12"/>
        <v>0.4480631837</v>
      </c>
      <c r="U144" s="195">
        <f t="shared" si="12"/>
        <v>0.4030692399</v>
      </c>
      <c r="V144" s="195">
        <f t="shared" si="12"/>
        <v>0.4279352815</v>
      </c>
      <c r="W144" s="195">
        <f t="shared" si="12"/>
        <v>0.4978196088</v>
      </c>
      <c r="X144" s="195">
        <f t="shared" si="12"/>
        <v>0.3775405252</v>
      </c>
      <c r="Y144" s="195">
        <f t="shared" si="12"/>
        <v>0.424174819</v>
      </c>
      <c r="Z144" s="195">
        <f t="shared" si="12"/>
        <v>0.366070462</v>
      </c>
      <c r="AA144" s="195"/>
      <c r="AB144" s="195">
        <f>SUM(M144:R144)</f>
        <v>5.680253874</v>
      </c>
      <c r="AC144" s="19"/>
      <c r="AD144" s="19"/>
      <c r="AE144" s="19"/>
      <c r="AF144" s="19"/>
      <c r="AG144" s="19"/>
      <c r="AH144" s="19"/>
    </row>
    <row r="145" ht="12.75" customHeight="1">
      <c r="A145" s="89"/>
      <c r="B145" s="92">
        <v>41275.0</v>
      </c>
      <c r="C145" s="195" t="str">
        <f t="shared" ref="C145:Z145" si="13">IF(C21="","",C21*C53*C84*C115)</f>
        <v/>
      </c>
      <c r="D145" s="195" t="str">
        <f t="shared" si="13"/>
        <v/>
      </c>
      <c r="E145" s="195" t="str">
        <f t="shared" si="13"/>
        <v/>
      </c>
      <c r="F145" s="195" t="str">
        <f t="shared" si="13"/>
        <v/>
      </c>
      <c r="G145" s="195" t="str">
        <f t="shared" si="13"/>
        <v/>
      </c>
      <c r="H145" s="195" t="str">
        <f t="shared" si="13"/>
        <v/>
      </c>
      <c r="I145" s="195" t="str">
        <f t="shared" si="13"/>
        <v/>
      </c>
      <c r="J145" s="195" t="str">
        <f t="shared" si="13"/>
        <v/>
      </c>
      <c r="K145" s="195" t="str">
        <f t="shared" si="13"/>
        <v/>
      </c>
      <c r="L145" s="195" t="str">
        <f t="shared" si="13"/>
        <v/>
      </c>
      <c r="M145" s="195" t="str">
        <f t="shared" si="13"/>
        <v/>
      </c>
      <c r="N145" s="195">
        <f t="shared" si="13"/>
        <v>2.794572259</v>
      </c>
      <c r="O145" s="195">
        <f t="shared" si="13"/>
        <v>0.8060108022</v>
      </c>
      <c r="P145" s="195">
        <f t="shared" si="13"/>
        <v>0.5706079333</v>
      </c>
      <c r="Q145" s="195">
        <f t="shared" si="13"/>
        <v>0.5064048529</v>
      </c>
      <c r="R145" s="195">
        <f t="shared" si="13"/>
        <v>0.5248352735</v>
      </c>
      <c r="S145" s="195">
        <f t="shared" si="13"/>
        <v>0.5254581966</v>
      </c>
      <c r="T145" s="195">
        <f t="shared" si="13"/>
        <v>0.4893860095</v>
      </c>
      <c r="U145" s="195">
        <f t="shared" si="13"/>
        <v>0.5118401136</v>
      </c>
      <c r="V145" s="195">
        <f t="shared" si="13"/>
        <v>0.4033094844</v>
      </c>
      <c r="W145" s="195">
        <f t="shared" si="13"/>
        <v>0.4375825662</v>
      </c>
      <c r="X145" s="195">
        <f t="shared" si="13"/>
        <v>0.51526533</v>
      </c>
      <c r="Y145" s="195">
        <f t="shared" si="13"/>
        <v>0.4064078779</v>
      </c>
      <c r="Z145" s="195">
        <f t="shared" si="13"/>
        <v>0.4433688151</v>
      </c>
      <c r="AA145" s="195"/>
      <c r="AB145" s="195">
        <f>SUM(N145:S145)</f>
        <v>5.727889317</v>
      </c>
      <c r="AC145" s="19"/>
      <c r="AD145" s="19"/>
      <c r="AE145" s="19"/>
      <c r="AF145" s="19"/>
      <c r="AG145" s="19"/>
      <c r="AH145" s="19"/>
    </row>
    <row r="146" ht="12.75" customHeight="1">
      <c r="A146" s="89"/>
      <c r="B146" s="92">
        <v>41306.0</v>
      </c>
      <c r="C146" s="195" t="str">
        <f t="shared" ref="C146:Z146" si="14">IF(C22="","",C22*C54*C85*C116)</f>
        <v/>
      </c>
      <c r="D146" s="195" t="str">
        <f t="shared" si="14"/>
        <v/>
      </c>
      <c r="E146" s="195" t="str">
        <f t="shared" si="14"/>
        <v/>
      </c>
      <c r="F146" s="195" t="str">
        <f t="shared" si="14"/>
        <v/>
      </c>
      <c r="G146" s="195" t="str">
        <f t="shared" si="14"/>
        <v/>
      </c>
      <c r="H146" s="195" t="str">
        <f t="shared" si="14"/>
        <v/>
      </c>
      <c r="I146" s="195" t="str">
        <f t="shared" si="14"/>
        <v/>
      </c>
      <c r="J146" s="195" t="str">
        <f t="shared" si="14"/>
        <v/>
      </c>
      <c r="K146" s="195" t="str">
        <f t="shared" si="14"/>
        <v/>
      </c>
      <c r="L146" s="195" t="str">
        <f t="shared" si="14"/>
        <v/>
      </c>
      <c r="M146" s="195" t="str">
        <f t="shared" si="14"/>
        <v/>
      </c>
      <c r="N146" s="195" t="str">
        <f t="shared" si="14"/>
        <v/>
      </c>
      <c r="O146" s="195">
        <f t="shared" si="14"/>
        <v>2.74535476</v>
      </c>
      <c r="P146" s="195">
        <f t="shared" si="14"/>
        <v>0.914130386</v>
      </c>
      <c r="Q146" s="195">
        <f t="shared" si="14"/>
        <v>0.586614323</v>
      </c>
      <c r="R146" s="195">
        <f t="shared" si="14"/>
        <v>0.495920259</v>
      </c>
      <c r="S146" s="195">
        <f t="shared" si="14"/>
        <v>0.5766371499</v>
      </c>
      <c r="T146" s="195">
        <f t="shared" si="14"/>
        <v>0.5247564691</v>
      </c>
      <c r="U146" s="195">
        <f t="shared" si="14"/>
        <v>0.5430371295</v>
      </c>
      <c r="V146" s="195">
        <f t="shared" si="14"/>
        <v>0.4831885733</v>
      </c>
      <c r="W146" s="195">
        <f t="shared" si="14"/>
        <v>0.3786661218</v>
      </c>
      <c r="X146" s="195">
        <f t="shared" si="14"/>
        <v>0.4456187633</v>
      </c>
      <c r="Y146" s="195">
        <f t="shared" si="14"/>
        <v>0.5567282753</v>
      </c>
      <c r="Z146" s="195">
        <f t="shared" si="14"/>
        <v>0.3895236782</v>
      </c>
      <c r="AA146" s="195"/>
      <c r="AB146" s="195">
        <f>SUM(O146:T146)</f>
        <v>5.843413347</v>
      </c>
      <c r="AC146" s="19"/>
      <c r="AD146" s="19"/>
      <c r="AE146" s="19"/>
      <c r="AF146" s="19"/>
      <c r="AG146" s="19"/>
      <c r="AH146" s="19"/>
    </row>
    <row r="147" ht="12.75" customHeight="1">
      <c r="A147" s="89"/>
      <c r="B147" s="92">
        <v>41334.0</v>
      </c>
      <c r="C147" s="195" t="str">
        <f t="shared" ref="C147:Z147" si="15">IF(C23="","",C23*C55*C86*C117)</f>
        <v/>
      </c>
      <c r="D147" s="195" t="str">
        <f t="shared" si="15"/>
        <v/>
      </c>
      <c r="E147" s="195" t="str">
        <f t="shared" si="15"/>
        <v/>
      </c>
      <c r="F147" s="195" t="str">
        <f t="shared" si="15"/>
        <v/>
      </c>
      <c r="G147" s="195" t="str">
        <f t="shared" si="15"/>
        <v/>
      </c>
      <c r="H147" s="195" t="str">
        <f t="shared" si="15"/>
        <v/>
      </c>
      <c r="I147" s="195" t="str">
        <f t="shared" si="15"/>
        <v/>
      </c>
      <c r="J147" s="195" t="str">
        <f t="shared" si="15"/>
        <v/>
      </c>
      <c r="K147" s="195" t="str">
        <f t="shared" si="15"/>
        <v/>
      </c>
      <c r="L147" s="195" t="str">
        <f t="shared" si="15"/>
        <v/>
      </c>
      <c r="M147" s="195" t="str">
        <f t="shared" si="15"/>
        <v/>
      </c>
      <c r="N147" s="195" t="str">
        <f t="shared" si="15"/>
        <v/>
      </c>
      <c r="O147" s="195" t="str">
        <f t="shared" si="15"/>
        <v/>
      </c>
      <c r="P147" s="195">
        <f t="shared" si="15"/>
        <v>2.826563355</v>
      </c>
      <c r="Q147" s="195">
        <f t="shared" si="15"/>
        <v>0.8627088871</v>
      </c>
      <c r="R147" s="195">
        <f t="shared" si="15"/>
        <v>0.5806834227</v>
      </c>
      <c r="S147" s="195">
        <f t="shared" si="15"/>
        <v>0.5067930263</v>
      </c>
      <c r="T147" s="195">
        <f t="shared" si="15"/>
        <v>0.6143397829</v>
      </c>
      <c r="U147" s="195">
        <f t="shared" si="15"/>
        <v>0.5472010008</v>
      </c>
      <c r="V147" s="195">
        <f t="shared" si="15"/>
        <v>0.5457620571</v>
      </c>
      <c r="W147" s="195">
        <f t="shared" si="15"/>
        <v>0.4757497398</v>
      </c>
      <c r="X147" s="195">
        <f t="shared" si="15"/>
        <v>0.4147089486</v>
      </c>
      <c r="Y147" s="195">
        <f t="shared" si="15"/>
        <v>0.4546587295</v>
      </c>
      <c r="Z147" s="195">
        <f t="shared" si="15"/>
        <v>0.5505430682</v>
      </c>
      <c r="AA147" s="195"/>
      <c r="AB147" s="195">
        <f>SUM(P147:U147)</f>
        <v>5.938289475</v>
      </c>
      <c r="AC147" s="19"/>
      <c r="AD147" s="19"/>
      <c r="AE147" s="19"/>
      <c r="AF147" s="19"/>
      <c r="AG147" s="19"/>
      <c r="AH147" s="19"/>
    </row>
    <row r="148" ht="12.75" customHeight="1">
      <c r="A148" s="89"/>
      <c r="B148" s="92">
        <v>41365.0</v>
      </c>
      <c r="C148" s="195" t="str">
        <f t="shared" ref="C148:Z148" si="16">IF(C24="","",C24*C56*C87*C118)</f>
        <v/>
      </c>
      <c r="D148" s="195" t="str">
        <f t="shared" si="16"/>
        <v/>
      </c>
      <c r="E148" s="195" t="str">
        <f t="shared" si="16"/>
        <v/>
      </c>
      <c r="F148" s="195" t="str">
        <f t="shared" si="16"/>
        <v/>
      </c>
      <c r="G148" s="195" t="str">
        <f t="shared" si="16"/>
        <v/>
      </c>
      <c r="H148" s="195" t="str">
        <f t="shared" si="16"/>
        <v/>
      </c>
      <c r="I148" s="195" t="str">
        <f t="shared" si="16"/>
        <v/>
      </c>
      <c r="J148" s="195" t="str">
        <f t="shared" si="16"/>
        <v/>
      </c>
      <c r="K148" s="195" t="str">
        <f t="shared" si="16"/>
        <v/>
      </c>
      <c r="L148" s="195" t="str">
        <f t="shared" si="16"/>
        <v/>
      </c>
      <c r="M148" s="195" t="str">
        <f t="shared" si="16"/>
        <v/>
      </c>
      <c r="N148" s="195" t="str">
        <f t="shared" si="16"/>
        <v/>
      </c>
      <c r="O148" s="195" t="str">
        <f t="shared" si="16"/>
        <v/>
      </c>
      <c r="P148" s="195" t="str">
        <f t="shared" si="16"/>
        <v/>
      </c>
      <c r="Q148" s="195">
        <f t="shared" si="16"/>
        <v>2.861715133</v>
      </c>
      <c r="R148" s="195">
        <f t="shared" si="16"/>
        <v>0.975523557</v>
      </c>
      <c r="S148" s="195">
        <f t="shared" si="16"/>
        <v>0.5438033815</v>
      </c>
      <c r="T148" s="195">
        <f t="shared" si="16"/>
        <v>0.5097857971</v>
      </c>
      <c r="U148" s="195">
        <f t="shared" si="16"/>
        <v>0.6347540942</v>
      </c>
      <c r="V148" s="195">
        <f t="shared" si="16"/>
        <v>0.5561325749</v>
      </c>
      <c r="W148" s="195">
        <f t="shared" si="16"/>
        <v>0.5380867466</v>
      </c>
      <c r="X148" s="195">
        <f t="shared" si="16"/>
        <v>0.4996911837</v>
      </c>
      <c r="Y148" s="195">
        <f t="shared" si="16"/>
        <v>0.4414831202</v>
      </c>
      <c r="Z148" s="195">
        <f t="shared" si="16"/>
        <v>0.457007909</v>
      </c>
      <c r="AA148" s="195"/>
      <c r="AB148" s="195">
        <f>SUM(Q148:V148)</f>
        <v>6.081714537</v>
      </c>
      <c r="AC148" s="19"/>
      <c r="AD148" s="19"/>
      <c r="AE148" s="19"/>
      <c r="AF148" s="19"/>
      <c r="AG148" s="19"/>
      <c r="AH148" s="19"/>
    </row>
    <row r="149" ht="12.75" customHeight="1">
      <c r="A149" s="89"/>
      <c r="B149" s="92">
        <v>41395.0</v>
      </c>
      <c r="C149" s="195" t="str">
        <f t="shared" ref="C149:Z149" si="17">IF(C25="","",C25*C57*C88*C119)</f>
        <v/>
      </c>
      <c r="D149" s="195" t="str">
        <f t="shared" si="17"/>
        <v/>
      </c>
      <c r="E149" s="195" t="str">
        <f t="shared" si="17"/>
        <v/>
      </c>
      <c r="F149" s="195" t="str">
        <f t="shared" si="17"/>
        <v/>
      </c>
      <c r="G149" s="195" t="str">
        <f t="shared" si="17"/>
        <v/>
      </c>
      <c r="H149" s="195" t="str">
        <f t="shared" si="17"/>
        <v/>
      </c>
      <c r="I149" s="195" t="str">
        <f t="shared" si="17"/>
        <v/>
      </c>
      <c r="J149" s="195" t="str">
        <f t="shared" si="17"/>
        <v/>
      </c>
      <c r="K149" s="195" t="str">
        <f t="shared" si="17"/>
        <v/>
      </c>
      <c r="L149" s="195" t="str">
        <f t="shared" si="17"/>
        <v/>
      </c>
      <c r="M149" s="195" t="str">
        <f t="shared" si="17"/>
        <v/>
      </c>
      <c r="N149" s="195" t="str">
        <f t="shared" si="17"/>
        <v/>
      </c>
      <c r="O149" s="195" t="str">
        <f t="shared" si="17"/>
        <v/>
      </c>
      <c r="P149" s="195" t="str">
        <f t="shared" si="17"/>
        <v/>
      </c>
      <c r="Q149" s="195" t="str">
        <f t="shared" si="17"/>
        <v/>
      </c>
      <c r="R149" s="195">
        <f t="shared" si="17"/>
        <v>2.891246933</v>
      </c>
      <c r="S149" s="195">
        <f t="shared" si="17"/>
        <v>0.906710335</v>
      </c>
      <c r="T149" s="195">
        <f t="shared" si="17"/>
        <v>0.5800627808</v>
      </c>
      <c r="U149" s="195">
        <f t="shared" si="17"/>
        <v>0.5163065857</v>
      </c>
      <c r="V149" s="195">
        <f t="shared" si="17"/>
        <v>0.5983730753</v>
      </c>
      <c r="W149" s="195">
        <f t="shared" si="17"/>
        <v>0.6031103746</v>
      </c>
      <c r="X149" s="195">
        <f t="shared" si="17"/>
        <v>0.5063875968</v>
      </c>
      <c r="Y149" s="195">
        <f t="shared" si="17"/>
        <v>0.5154180986</v>
      </c>
      <c r="Z149" s="195">
        <f t="shared" si="17"/>
        <v>0.4675184267</v>
      </c>
      <c r="AA149" s="195"/>
      <c r="AB149" s="195">
        <f>SUM(R149:W149)</f>
        <v>6.095810085</v>
      </c>
      <c r="AC149" s="19"/>
      <c r="AD149" s="19"/>
      <c r="AE149" s="19"/>
      <c r="AF149" s="19"/>
      <c r="AG149" s="19"/>
      <c r="AH149" s="19"/>
    </row>
    <row r="150" ht="12.75" customHeight="1">
      <c r="A150" s="89"/>
      <c r="B150" s="92">
        <v>41426.0</v>
      </c>
      <c r="C150" s="195" t="str">
        <f t="shared" ref="C150:Z150" si="18">IF(C26="","",C26*C58*C89*C120)</f>
        <v/>
      </c>
      <c r="D150" s="195" t="str">
        <f t="shared" si="18"/>
        <v/>
      </c>
      <c r="E150" s="195" t="str">
        <f t="shared" si="18"/>
        <v/>
      </c>
      <c r="F150" s="195" t="str">
        <f t="shared" si="18"/>
        <v/>
      </c>
      <c r="G150" s="195" t="str">
        <f t="shared" si="18"/>
        <v/>
      </c>
      <c r="H150" s="195" t="str">
        <f t="shared" si="18"/>
        <v/>
      </c>
      <c r="I150" s="195" t="str">
        <f t="shared" si="18"/>
        <v/>
      </c>
      <c r="J150" s="195" t="str">
        <f t="shared" si="18"/>
        <v/>
      </c>
      <c r="K150" s="195" t="str">
        <f t="shared" si="18"/>
        <v/>
      </c>
      <c r="L150" s="195" t="str">
        <f t="shared" si="18"/>
        <v/>
      </c>
      <c r="M150" s="195" t="str">
        <f t="shared" si="18"/>
        <v/>
      </c>
      <c r="N150" s="195" t="str">
        <f t="shared" si="18"/>
        <v/>
      </c>
      <c r="O150" s="195" t="str">
        <f t="shared" si="18"/>
        <v/>
      </c>
      <c r="P150" s="195" t="str">
        <f t="shared" si="18"/>
        <v/>
      </c>
      <c r="Q150" s="195" t="str">
        <f t="shared" si="18"/>
        <v/>
      </c>
      <c r="R150" s="195" t="str">
        <f t="shared" si="18"/>
        <v/>
      </c>
      <c r="S150" s="195">
        <f t="shared" si="18"/>
        <v>2.892389291</v>
      </c>
      <c r="T150" s="195">
        <f t="shared" si="18"/>
        <v>0.8929127808</v>
      </c>
      <c r="U150" s="195">
        <f t="shared" si="18"/>
        <v>0.5755696061</v>
      </c>
      <c r="V150" s="195">
        <f t="shared" si="18"/>
        <v>0.5191117035</v>
      </c>
      <c r="W150" s="195">
        <f t="shared" si="18"/>
        <v>0.63211988</v>
      </c>
      <c r="X150" s="195">
        <f t="shared" si="18"/>
        <v>0.6624378497</v>
      </c>
      <c r="Y150" s="195">
        <f t="shared" si="18"/>
        <v>0.504522215</v>
      </c>
      <c r="Z150" s="195">
        <f t="shared" si="18"/>
        <v>0.5478887241</v>
      </c>
      <c r="AA150" s="195"/>
      <c r="AB150" s="195">
        <f>SUM(S150:X150)</f>
        <v>6.174541111</v>
      </c>
      <c r="AC150" s="19"/>
      <c r="AD150" s="19"/>
      <c r="AE150" s="19"/>
      <c r="AF150" s="19"/>
      <c r="AG150" s="19"/>
      <c r="AH150" s="19"/>
    </row>
    <row r="151" ht="12.75" customHeight="1">
      <c r="A151" s="89"/>
      <c r="B151" s="92">
        <v>41456.0</v>
      </c>
      <c r="C151" s="195" t="str">
        <f t="shared" ref="C151:Z151" si="19">IF(C27="","",C27*C59*C90*C121)</f>
        <v/>
      </c>
      <c r="D151" s="195" t="str">
        <f t="shared" si="19"/>
        <v/>
      </c>
      <c r="E151" s="195" t="str">
        <f t="shared" si="19"/>
        <v/>
      </c>
      <c r="F151" s="195" t="str">
        <f t="shared" si="19"/>
        <v/>
      </c>
      <c r="G151" s="195" t="str">
        <f t="shared" si="19"/>
        <v/>
      </c>
      <c r="H151" s="195" t="str">
        <f t="shared" si="19"/>
        <v/>
      </c>
      <c r="I151" s="195" t="str">
        <f t="shared" si="19"/>
        <v/>
      </c>
      <c r="J151" s="195" t="str">
        <f t="shared" si="19"/>
        <v/>
      </c>
      <c r="K151" s="195" t="str">
        <f t="shared" si="19"/>
        <v/>
      </c>
      <c r="L151" s="195" t="str">
        <f t="shared" si="19"/>
        <v/>
      </c>
      <c r="M151" s="195" t="str">
        <f t="shared" si="19"/>
        <v/>
      </c>
      <c r="N151" s="195" t="str">
        <f t="shared" si="19"/>
        <v/>
      </c>
      <c r="O151" s="195" t="str">
        <f t="shared" si="19"/>
        <v/>
      </c>
      <c r="P151" s="195" t="str">
        <f t="shared" si="19"/>
        <v/>
      </c>
      <c r="Q151" s="195" t="str">
        <f t="shared" si="19"/>
        <v/>
      </c>
      <c r="R151" s="195" t="str">
        <f t="shared" si="19"/>
        <v/>
      </c>
      <c r="S151" s="195" t="str">
        <f t="shared" si="19"/>
        <v/>
      </c>
      <c r="T151" s="195">
        <f t="shared" si="19"/>
        <v>2.918863361</v>
      </c>
      <c r="U151" s="195">
        <f t="shared" si="19"/>
        <v>0.9794786824</v>
      </c>
      <c r="V151" s="195">
        <f t="shared" si="19"/>
        <v>0.6450353089</v>
      </c>
      <c r="W151" s="195">
        <f t="shared" si="19"/>
        <v>0.5485395199</v>
      </c>
      <c r="X151" s="195">
        <f t="shared" si="19"/>
        <v>0.663505315</v>
      </c>
      <c r="Y151" s="195">
        <f t="shared" si="19"/>
        <v>0.6617299622</v>
      </c>
      <c r="Z151" s="195">
        <f t="shared" si="19"/>
        <v>0.5300331835</v>
      </c>
      <c r="AA151" s="195"/>
      <c r="AB151" s="195">
        <f>SUM(T151:Y151)</f>
        <v>6.417152149</v>
      </c>
      <c r="AC151" s="19"/>
      <c r="AD151" s="19"/>
      <c r="AE151" s="19"/>
      <c r="AF151" s="19"/>
      <c r="AG151" s="19"/>
      <c r="AH151" s="19"/>
    </row>
    <row r="152" ht="12.75" customHeight="1">
      <c r="A152" s="89"/>
      <c r="B152" s="92">
        <v>41487.0</v>
      </c>
      <c r="C152" s="195" t="str">
        <f t="shared" ref="C152:Z152" si="20">IF(C28="","",C28*C60*C91*C122)</f>
        <v/>
      </c>
      <c r="D152" s="195" t="str">
        <f t="shared" si="20"/>
        <v/>
      </c>
      <c r="E152" s="195" t="str">
        <f t="shared" si="20"/>
        <v/>
      </c>
      <c r="F152" s="195" t="str">
        <f t="shared" si="20"/>
        <v/>
      </c>
      <c r="G152" s="195" t="str">
        <f t="shared" si="20"/>
        <v/>
      </c>
      <c r="H152" s="195" t="str">
        <f t="shared" si="20"/>
        <v/>
      </c>
      <c r="I152" s="195" t="str">
        <f t="shared" si="20"/>
        <v/>
      </c>
      <c r="J152" s="195" t="str">
        <f t="shared" si="20"/>
        <v/>
      </c>
      <c r="K152" s="195" t="str">
        <f t="shared" si="20"/>
        <v/>
      </c>
      <c r="L152" s="195" t="str">
        <f t="shared" si="20"/>
        <v/>
      </c>
      <c r="M152" s="195" t="str">
        <f t="shared" si="20"/>
        <v/>
      </c>
      <c r="N152" s="195" t="str">
        <f t="shared" si="20"/>
        <v/>
      </c>
      <c r="O152" s="195" t="str">
        <f t="shared" si="20"/>
        <v/>
      </c>
      <c r="P152" s="195" t="str">
        <f t="shared" si="20"/>
        <v/>
      </c>
      <c r="Q152" s="195" t="str">
        <f t="shared" si="20"/>
        <v/>
      </c>
      <c r="R152" s="195" t="str">
        <f t="shared" si="20"/>
        <v/>
      </c>
      <c r="S152" s="195" t="str">
        <f t="shared" si="20"/>
        <v/>
      </c>
      <c r="T152" s="195" t="str">
        <f t="shared" si="20"/>
        <v/>
      </c>
      <c r="U152" s="195">
        <f t="shared" si="20"/>
        <v>2.917337242</v>
      </c>
      <c r="V152" s="195">
        <f t="shared" si="20"/>
        <v>0.9128725797</v>
      </c>
      <c r="W152" s="195">
        <f t="shared" si="20"/>
        <v>0.6380978717</v>
      </c>
      <c r="X152" s="195">
        <f t="shared" si="20"/>
        <v>0.5915095012</v>
      </c>
      <c r="Y152" s="195">
        <f t="shared" si="20"/>
        <v>0.6160910776</v>
      </c>
      <c r="Z152" s="195">
        <f t="shared" si="20"/>
        <v>0.6982299592</v>
      </c>
      <c r="AA152" s="195"/>
      <c r="AB152" s="195">
        <f>SUM(U152:Z152)</f>
        <v>6.374138231</v>
      </c>
      <c r="AC152" s="19"/>
      <c r="AD152" s="19"/>
      <c r="AE152" s="19"/>
      <c r="AF152" s="19"/>
      <c r="AG152" s="19"/>
      <c r="AH152" s="19"/>
    </row>
    <row r="153" ht="12.75" customHeight="1">
      <c r="A153" s="89"/>
      <c r="B153" s="92">
        <v>41518.0</v>
      </c>
      <c r="C153" s="195" t="str">
        <f t="shared" ref="C153:Z153" si="21">IF(C29="","",C29*C61*C92*C123)</f>
        <v/>
      </c>
      <c r="D153" s="195" t="str">
        <f t="shared" si="21"/>
        <v/>
      </c>
      <c r="E153" s="195" t="str">
        <f t="shared" si="21"/>
        <v/>
      </c>
      <c r="F153" s="195" t="str">
        <f t="shared" si="21"/>
        <v/>
      </c>
      <c r="G153" s="195" t="str">
        <f t="shared" si="21"/>
        <v/>
      </c>
      <c r="H153" s="195" t="str">
        <f t="shared" si="21"/>
        <v/>
      </c>
      <c r="I153" s="195" t="str">
        <f t="shared" si="21"/>
        <v/>
      </c>
      <c r="J153" s="195" t="str">
        <f t="shared" si="21"/>
        <v/>
      </c>
      <c r="K153" s="195" t="str">
        <f t="shared" si="21"/>
        <v/>
      </c>
      <c r="L153" s="195" t="str">
        <f t="shared" si="21"/>
        <v/>
      </c>
      <c r="M153" s="195" t="str">
        <f t="shared" si="21"/>
        <v/>
      </c>
      <c r="N153" s="195" t="str">
        <f t="shared" si="21"/>
        <v/>
      </c>
      <c r="O153" s="195" t="str">
        <f t="shared" si="21"/>
        <v/>
      </c>
      <c r="P153" s="195" t="str">
        <f t="shared" si="21"/>
        <v/>
      </c>
      <c r="Q153" s="195" t="str">
        <f t="shared" si="21"/>
        <v/>
      </c>
      <c r="R153" s="195" t="str">
        <f t="shared" si="21"/>
        <v/>
      </c>
      <c r="S153" s="195" t="str">
        <f t="shared" si="21"/>
        <v/>
      </c>
      <c r="T153" s="195" t="str">
        <f t="shared" si="21"/>
        <v/>
      </c>
      <c r="U153" s="195" t="str">
        <f t="shared" si="21"/>
        <v/>
      </c>
      <c r="V153" s="195">
        <f t="shared" si="21"/>
        <v>2.891901255</v>
      </c>
      <c r="W153" s="195">
        <f t="shared" si="21"/>
        <v>0.897423966</v>
      </c>
      <c r="X153" s="195">
        <f t="shared" si="21"/>
        <v>0.6728902365</v>
      </c>
      <c r="Y153" s="195">
        <f t="shared" si="21"/>
        <v>0.5761387089</v>
      </c>
      <c r="Z153" s="195">
        <f t="shared" si="21"/>
        <v>0.5996570409</v>
      </c>
      <c r="AA153" s="195"/>
      <c r="AB153" s="195"/>
      <c r="AC153" s="19"/>
      <c r="AD153" s="19"/>
      <c r="AE153" s="19"/>
      <c r="AF153" s="19"/>
      <c r="AG153" s="19"/>
      <c r="AH153" s="19"/>
    </row>
    <row r="154" ht="12.75" customHeight="1">
      <c r="A154" s="89"/>
      <c r="B154" s="92">
        <v>41548.0</v>
      </c>
      <c r="C154" s="195" t="str">
        <f t="shared" ref="C154:Z154" si="22">IF(C30="","",C30*C62*C93*C124)</f>
        <v/>
      </c>
      <c r="D154" s="195" t="str">
        <f t="shared" si="22"/>
        <v/>
      </c>
      <c r="E154" s="195" t="str">
        <f t="shared" si="22"/>
        <v/>
      </c>
      <c r="F154" s="195" t="str">
        <f t="shared" si="22"/>
        <v/>
      </c>
      <c r="G154" s="195" t="str">
        <f t="shared" si="22"/>
        <v/>
      </c>
      <c r="H154" s="195" t="str">
        <f t="shared" si="22"/>
        <v/>
      </c>
      <c r="I154" s="195" t="str">
        <f t="shared" si="22"/>
        <v/>
      </c>
      <c r="J154" s="195" t="str">
        <f t="shared" si="22"/>
        <v/>
      </c>
      <c r="K154" s="195" t="str">
        <f t="shared" si="22"/>
        <v/>
      </c>
      <c r="L154" s="195" t="str">
        <f t="shared" si="22"/>
        <v/>
      </c>
      <c r="M154" s="195" t="str">
        <f t="shared" si="22"/>
        <v/>
      </c>
      <c r="N154" s="195" t="str">
        <f t="shared" si="22"/>
        <v/>
      </c>
      <c r="O154" s="195" t="str">
        <f t="shared" si="22"/>
        <v/>
      </c>
      <c r="P154" s="195" t="str">
        <f t="shared" si="22"/>
        <v/>
      </c>
      <c r="Q154" s="195" t="str">
        <f t="shared" si="22"/>
        <v/>
      </c>
      <c r="R154" s="195" t="str">
        <f t="shared" si="22"/>
        <v/>
      </c>
      <c r="S154" s="195" t="str">
        <f t="shared" si="22"/>
        <v/>
      </c>
      <c r="T154" s="195" t="str">
        <f t="shared" si="22"/>
        <v/>
      </c>
      <c r="U154" s="195" t="str">
        <f t="shared" si="22"/>
        <v/>
      </c>
      <c r="V154" s="195" t="str">
        <f t="shared" si="22"/>
        <v/>
      </c>
      <c r="W154" s="195">
        <f t="shared" si="22"/>
        <v>2.985843121</v>
      </c>
      <c r="X154" s="195">
        <f t="shared" si="22"/>
        <v>0.8524771908</v>
      </c>
      <c r="Y154" s="195">
        <f t="shared" si="22"/>
        <v>0.7324823808</v>
      </c>
      <c r="Z154" s="195">
        <f t="shared" si="22"/>
        <v>0.5760442695</v>
      </c>
      <c r="AA154" s="195"/>
      <c r="AB154" s="195"/>
      <c r="AC154" s="19"/>
      <c r="AD154" s="19"/>
      <c r="AE154" s="19"/>
      <c r="AF154" s="19"/>
      <c r="AG154" s="19"/>
      <c r="AH154" s="19"/>
    </row>
    <row r="155" ht="12.75" customHeight="1">
      <c r="A155" s="89"/>
      <c r="B155" s="92">
        <v>41579.0</v>
      </c>
      <c r="C155" s="195" t="str">
        <f t="shared" ref="C155:Z155" si="23">IF(C31="","",C31*C63*C94*C125)</f>
        <v/>
      </c>
      <c r="D155" s="195" t="str">
        <f t="shared" si="23"/>
        <v/>
      </c>
      <c r="E155" s="195" t="str">
        <f t="shared" si="23"/>
        <v/>
      </c>
      <c r="F155" s="195" t="str">
        <f t="shared" si="23"/>
        <v/>
      </c>
      <c r="G155" s="195" t="str">
        <f t="shared" si="23"/>
        <v/>
      </c>
      <c r="H155" s="195" t="str">
        <f t="shared" si="23"/>
        <v/>
      </c>
      <c r="I155" s="195" t="str">
        <f t="shared" si="23"/>
        <v/>
      </c>
      <c r="J155" s="195" t="str">
        <f t="shared" si="23"/>
        <v/>
      </c>
      <c r="K155" s="195" t="str">
        <f t="shared" si="23"/>
        <v/>
      </c>
      <c r="L155" s="195" t="str">
        <f t="shared" si="23"/>
        <v/>
      </c>
      <c r="M155" s="195" t="str">
        <f t="shared" si="23"/>
        <v/>
      </c>
      <c r="N155" s="195" t="str">
        <f t="shared" si="23"/>
        <v/>
      </c>
      <c r="O155" s="195" t="str">
        <f t="shared" si="23"/>
        <v/>
      </c>
      <c r="P155" s="195" t="str">
        <f t="shared" si="23"/>
        <v/>
      </c>
      <c r="Q155" s="195" t="str">
        <f t="shared" si="23"/>
        <v/>
      </c>
      <c r="R155" s="195" t="str">
        <f t="shared" si="23"/>
        <v/>
      </c>
      <c r="S155" s="195" t="str">
        <f t="shared" si="23"/>
        <v/>
      </c>
      <c r="T155" s="195" t="str">
        <f t="shared" si="23"/>
        <v/>
      </c>
      <c r="U155" s="195" t="str">
        <f t="shared" si="23"/>
        <v/>
      </c>
      <c r="V155" s="195" t="str">
        <f t="shared" si="23"/>
        <v/>
      </c>
      <c r="W155" s="195" t="str">
        <f t="shared" si="23"/>
        <v/>
      </c>
      <c r="X155" s="195">
        <f t="shared" si="23"/>
        <v>2.927308122</v>
      </c>
      <c r="Y155" s="195">
        <f t="shared" si="23"/>
        <v>0.8503677594</v>
      </c>
      <c r="Z155" s="195">
        <f t="shared" si="23"/>
        <v>0.7280429055</v>
      </c>
      <c r="AA155" s="195"/>
      <c r="AB155" s="195"/>
      <c r="AC155" s="19"/>
      <c r="AD155" s="19"/>
      <c r="AE155" s="19"/>
      <c r="AF155" s="19"/>
      <c r="AG155" s="19"/>
      <c r="AH155" s="19"/>
    </row>
    <row r="156" ht="12.75" customHeight="1">
      <c r="A156" s="89"/>
      <c r="B156" s="92">
        <v>41609.0</v>
      </c>
      <c r="C156" s="195" t="str">
        <f t="shared" ref="C156:Z156" si="24">IF(C32="","",C32*C64*C95*C126)</f>
        <v/>
      </c>
      <c r="D156" s="195" t="str">
        <f t="shared" si="24"/>
        <v/>
      </c>
      <c r="E156" s="195" t="str">
        <f t="shared" si="24"/>
        <v/>
      </c>
      <c r="F156" s="195" t="str">
        <f t="shared" si="24"/>
        <v/>
      </c>
      <c r="G156" s="195" t="str">
        <f t="shared" si="24"/>
        <v/>
      </c>
      <c r="H156" s="195" t="str">
        <f t="shared" si="24"/>
        <v/>
      </c>
      <c r="I156" s="195" t="str">
        <f t="shared" si="24"/>
        <v/>
      </c>
      <c r="J156" s="195" t="str">
        <f t="shared" si="24"/>
        <v/>
      </c>
      <c r="K156" s="195" t="str">
        <f t="shared" si="24"/>
        <v/>
      </c>
      <c r="L156" s="195" t="str">
        <f t="shared" si="24"/>
        <v/>
      </c>
      <c r="M156" s="195" t="str">
        <f t="shared" si="24"/>
        <v/>
      </c>
      <c r="N156" s="195" t="str">
        <f t="shared" si="24"/>
        <v/>
      </c>
      <c r="O156" s="195" t="str">
        <f t="shared" si="24"/>
        <v/>
      </c>
      <c r="P156" s="195" t="str">
        <f t="shared" si="24"/>
        <v/>
      </c>
      <c r="Q156" s="195" t="str">
        <f t="shared" si="24"/>
        <v/>
      </c>
      <c r="R156" s="195" t="str">
        <f t="shared" si="24"/>
        <v/>
      </c>
      <c r="S156" s="195" t="str">
        <f t="shared" si="24"/>
        <v/>
      </c>
      <c r="T156" s="195" t="str">
        <f t="shared" si="24"/>
        <v/>
      </c>
      <c r="U156" s="195" t="str">
        <f t="shared" si="24"/>
        <v/>
      </c>
      <c r="V156" s="195" t="str">
        <f t="shared" si="24"/>
        <v/>
      </c>
      <c r="W156" s="195" t="str">
        <f t="shared" si="24"/>
        <v/>
      </c>
      <c r="X156" s="195" t="str">
        <f t="shared" si="24"/>
        <v/>
      </c>
      <c r="Y156" s="195">
        <f t="shared" si="24"/>
        <v>3.02247421</v>
      </c>
      <c r="Z156" s="195">
        <f t="shared" si="24"/>
        <v>0.8847852426</v>
      </c>
      <c r="AA156" s="195"/>
      <c r="AB156" s="195"/>
      <c r="AC156" s="19"/>
      <c r="AD156" s="19"/>
      <c r="AE156" s="19"/>
      <c r="AF156" s="19"/>
      <c r="AG156" s="19"/>
      <c r="AH156" s="19"/>
    </row>
    <row r="157" ht="12.75" customHeight="1">
      <c r="A157" s="89"/>
      <c r="B157" s="92">
        <v>41640.0</v>
      </c>
      <c r="C157" s="195" t="str">
        <f t="shared" ref="C157:Z157" si="25">IF(C33="","",C33*C65*C96*C127)</f>
        <v/>
      </c>
      <c r="D157" s="195" t="str">
        <f t="shared" si="25"/>
        <v/>
      </c>
      <c r="E157" s="195" t="str">
        <f t="shared" si="25"/>
        <v/>
      </c>
      <c r="F157" s="195" t="str">
        <f t="shared" si="25"/>
        <v/>
      </c>
      <c r="G157" s="195" t="str">
        <f t="shared" si="25"/>
        <v/>
      </c>
      <c r="H157" s="195" t="str">
        <f t="shared" si="25"/>
        <v/>
      </c>
      <c r="I157" s="195" t="str">
        <f t="shared" si="25"/>
        <v/>
      </c>
      <c r="J157" s="195" t="str">
        <f t="shared" si="25"/>
        <v/>
      </c>
      <c r="K157" s="195" t="str">
        <f t="shared" si="25"/>
        <v/>
      </c>
      <c r="L157" s="195" t="str">
        <f t="shared" si="25"/>
        <v/>
      </c>
      <c r="M157" s="195" t="str">
        <f t="shared" si="25"/>
        <v/>
      </c>
      <c r="N157" s="195" t="str">
        <f t="shared" si="25"/>
        <v/>
      </c>
      <c r="O157" s="195" t="str">
        <f t="shared" si="25"/>
        <v/>
      </c>
      <c r="P157" s="195" t="str">
        <f t="shared" si="25"/>
        <v/>
      </c>
      <c r="Q157" s="195" t="str">
        <f t="shared" si="25"/>
        <v/>
      </c>
      <c r="R157" s="195" t="str">
        <f t="shared" si="25"/>
        <v/>
      </c>
      <c r="S157" s="195" t="str">
        <f t="shared" si="25"/>
        <v/>
      </c>
      <c r="T157" s="195" t="str">
        <f t="shared" si="25"/>
        <v/>
      </c>
      <c r="U157" s="195" t="str">
        <f t="shared" si="25"/>
        <v/>
      </c>
      <c r="V157" s="195" t="str">
        <f t="shared" si="25"/>
        <v/>
      </c>
      <c r="W157" s="195" t="str">
        <f t="shared" si="25"/>
        <v/>
      </c>
      <c r="X157" s="195" t="str">
        <f t="shared" si="25"/>
        <v/>
      </c>
      <c r="Y157" s="195" t="str">
        <f t="shared" si="25"/>
        <v/>
      </c>
      <c r="Z157" s="195">
        <f t="shared" si="25"/>
        <v>2.968786919</v>
      </c>
      <c r="AA157" s="195"/>
      <c r="AB157" s="195"/>
      <c r="AC157" s="19"/>
      <c r="AD157" s="19"/>
      <c r="AE157" s="19"/>
      <c r="AF157" s="19"/>
      <c r="AG157" s="19"/>
      <c r="AH157" s="19"/>
    </row>
    <row r="158" ht="12.75" customHeight="1">
      <c r="A158" s="89"/>
      <c r="B158" s="196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8"/>
      <c r="AA158" s="89"/>
      <c r="AB158" s="89"/>
      <c r="AC158" s="19"/>
      <c r="AD158" s="19"/>
      <c r="AE158" s="19"/>
      <c r="AF158" s="19"/>
      <c r="AG158" s="19"/>
      <c r="AH158" s="19"/>
    </row>
    <row r="159" ht="12.75" customHeight="1">
      <c r="A159" s="89"/>
      <c r="B159" s="196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8"/>
      <c r="AA159" s="89"/>
      <c r="AB159" s="89"/>
      <c r="AC159" s="19"/>
      <c r="AD159" s="19"/>
      <c r="AE159" s="19"/>
      <c r="AF159" s="19"/>
      <c r="AG159" s="19"/>
      <c r="AH159" s="19"/>
    </row>
    <row r="160" ht="12.75" customHeight="1">
      <c r="A160" s="90"/>
      <c r="B160" s="91"/>
      <c r="C160" s="90" t="s">
        <v>110</v>
      </c>
      <c r="D160" s="90"/>
      <c r="E160" s="90"/>
      <c r="F160" s="90"/>
      <c r="G160" s="90"/>
      <c r="H160" s="90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19"/>
      <c r="AD160" s="19"/>
      <c r="AE160" s="19"/>
      <c r="AF160" s="19"/>
      <c r="AG160" s="19"/>
      <c r="AH160" s="19"/>
    </row>
    <row r="161" ht="12.75" customHeight="1">
      <c r="A161" s="89"/>
      <c r="B161" s="89"/>
      <c r="C161" s="92">
        <v>40940.0</v>
      </c>
      <c r="D161" s="92">
        <v>40969.0</v>
      </c>
      <c r="E161" s="92">
        <v>41000.0</v>
      </c>
      <c r="F161" s="92">
        <v>41030.0</v>
      </c>
      <c r="G161" s="92">
        <v>41061.0</v>
      </c>
      <c r="H161" s="92">
        <v>41091.0</v>
      </c>
      <c r="I161" s="92">
        <v>41122.0</v>
      </c>
      <c r="J161" s="92">
        <v>41153.0</v>
      </c>
      <c r="K161" s="92">
        <v>41183.0</v>
      </c>
      <c r="L161" s="92">
        <v>41214.0</v>
      </c>
      <c r="M161" s="92">
        <v>41244.0</v>
      </c>
      <c r="N161" s="92">
        <v>41275.0</v>
      </c>
      <c r="O161" s="92">
        <v>41306.0</v>
      </c>
      <c r="P161" s="92">
        <v>41334.0</v>
      </c>
      <c r="Q161" s="92">
        <v>41365.0</v>
      </c>
      <c r="R161" s="92">
        <v>41395.0</v>
      </c>
      <c r="S161" s="92">
        <v>41426.0</v>
      </c>
      <c r="T161" s="92">
        <v>41456.0</v>
      </c>
      <c r="U161" s="92">
        <v>41487.0</v>
      </c>
      <c r="V161" s="92">
        <v>41518.0</v>
      </c>
      <c r="W161" s="92">
        <v>41548.0</v>
      </c>
      <c r="X161" s="92">
        <v>41579.0</v>
      </c>
      <c r="Y161" s="92">
        <v>41609.0</v>
      </c>
      <c r="Z161" s="92">
        <v>41640.0</v>
      </c>
      <c r="AA161" s="89"/>
      <c r="AB161" s="89"/>
      <c r="AC161" s="19"/>
      <c r="AD161" s="19"/>
      <c r="AE161" s="19"/>
      <c r="AF161" s="19"/>
      <c r="AG161" s="19"/>
      <c r="AH161" s="19"/>
    </row>
    <row r="162" ht="12.75" customHeight="1">
      <c r="A162" s="89" t="s">
        <v>95</v>
      </c>
      <c r="B162" s="92">
        <v>40940.0</v>
      </c>
      <c r="C162" s="199">
        <f t="shared" ref="C162:Z162" si="26">C134*C$5</f>
        <v>3941.4375</v>
      </c>
      <c r="D162" s="199">
        <f t="shared" si="26"/>
        <v>937.0116372</v>
      </c>
      <c r="E162" s="199">
        <f t="shared" si="26"/>
        <v>781.7076466</v>
      </c>
      <c r="F162" s="199">
        <f t="shared" si="26"/>
        <v>722.3531698</v>
      </c>
      <c r="G162" s="199">
        <f t="shared" si="26"/>
        <v>697.5691824</v>
      </c>
      <c r="H162" s="199">
        <f t="shared" si="26"/>
        <v>681.9126827</v>
      </c>
      <c r="I162" s="199">
        <f t="shared" si="26"/>
        <v>685.6410311</v>
      </c>
      <c r="J162" s="199">
        <f t="shared" si="26"/>
        <v>663.5072768</v>
      </c>
      <c r="K162" s="199">
        <f t="shared" si="26"/>
        <v>695.4380198</v>
      </c>
      <c r="L162" s="199">
        <f t="shared" si="26"/>
        <v>653.1885509</v>
      </c>
      <c r="M162" s="199">
        <f t="shared" si="26"/>
        <v>638.1588067</v>
      </c>
      <c r="N162" s="199">
        <f t="shared" si="26"/>
        <v>640.7356548</v>
      </c>
      <c r="O162" s="199">
        <f t="shared" si="26"/>
        <v>622.0150512</v>
      </c>
      <c r="P162" s="199">
        <f t="shared" si="26"/>
        <v>641.7244851</v>
      </c>
      <c r="Q162" s="199">
        <f t="shared" si="26"/>
        <v>631.9752907</v>
      </c>
      <c r="R162" s="199">
        <f t="shared" si="26"/>
        <v>686.0011679</v>
      </c>
      <c r="S162" s="199">
        <f t="shared" si="26"/>
        <v>716.8828734</v>
      </c>
      <c r="T162" s="199">
        <f t="shared" si="26"/>
        <v>676.3020748</v>
      </c>
      <c r="U162" s="199">
        <f t="shared" si="26"/>
        <v>659.4118596</v>
      </c>
      <c r="V162" s="199">
        <f t="shared" si="26"/>
        <v>624.8993595</v>
      </c>
      <c r="W162" s="199">
        <f t="shared" si="26"/>
        <v>625.3584471</v>
      </c>
      <c r="X162" s="199">
        <f t="shared" si="26"/>
        <v>556.479918</v>
      </c>
      <c r="Y162" s="199">
        <f t="shared" si="26"/>
        <v>587.540393</v>
      </c>
      <c r="Z162" s="199">
        <f t="shared" si="26"/>
        <v>600.8610661</v>
      </c>
      <c r="AA162" s="89"/>
      <c r="AB162" s="89"/>
      <c r="AC162" s="19"/>
      <c r="AD162" s="19"/>
      <c r="AE162" s="19"/>
      <c r="AF162" s="19"/>
      <c r="AG162" s="19"/>
      <c r="AH162" s="19"/>
    </row>
    <row r="163" ht="12.75" customHeight="1">
      <c r="A163" s="89"/>
      <c r="B163" s="92">
        <v>40969.0</v>
      </c>
      <c r="C163" s="199"/>
      <c r="D163" s="199">
        <f t="shared" ref="D163:Z163" si="27">D135*D$5</f>
        <v>4076.920797</v>
      </c>
      <c r="E163" s="199">
        <f t="shared" si="27"/>
        <v>916.0907973</v>
      </c>
      <c r="F163" s="199">
        <f t="shared" si="27"/>
        <v>858.4828854</v>
      </c>
      <c r="G163" s="199">
        <f t="shared" si="27"/>
        <v>775.8492391</v>
      </c>
      <c r="H163" s="199">
        <f t="shared" si="27"/>
        <v>716.5341995</v>
      </c>
      <c r="I163" s="199">
        <f t="shared" si="27"/>
        <v>749.714371</v>
      </c>
      <c r="J163" s="199">
        <f t="shared" si="27"/>
        <v>709.7994666</v>
      </c>
      <c r="K163" s="199">
        <f t="shared" si="27"/>
        <v>748.7619347</v>
      </c>
      <c r="L163" s="199">
        <f t="shared" si="27"/>
        <v>690.9422908</v>
      </c>
      <c r="M163" s="199">
        <f t="shared" si="27"/>
        <v>690.4199618</v>
      </c>
      <c r="N163" s="199">
        <f t="shared" si="27"/>
        <v>708.0793773</v>
      </c>
      <c r="O163" s="199">
        <f t="shared" si="27"/>
        <v>646.0200122</v>
      </c>
      <c r="P163" s="199">
        <f t="shared" si="27"/>
        <v>691.5730662</v>
      </c>
      <c r="Q163" s="199">
        <f t="shared" si="27"/>
        <v>663.8756545</v>
      </c>
      <c r="R163" s="199">
        <f t="shared" si="27"/>
        <v>695.0604999</v>
      </c>
      <c r="S163" s="199">
        <f t="shared" si="27"/>
        <v>658.1230062</v>
      </c>
      <c r="T163" s="199">
        <f t="shared" si="27"/>
        <v>688.4329227</v>
      </c>
      <c r="U163" s="199">
        <f t="shared" si="27"/>
        <v>673.377954</v>
      </c>
      <c r="V163" s="199">
        <f t="shared" si="27"/>
        <v>638.9251896</v>
      </c>
      <c r="W163" s="199">
        <f t="shared" si="27"/>
        <v>654.2904828</v>
      </c>
      <c r="X163" s="199">
        <f t="shared" si="27"/>
        <v>526.2291063</v>
      </c>
      <c r="Y163" s="199">
        <f t="shared" si="27"/>
        <v>685.6419823</v>
      </c>
      <c r="Z163" s="199">
        <f t="shared" si="27"/>
        <v>628.2714635</v>
      </c>
      <c r="AA163" s="89"/>
      <c r="AB163" s="89"/>
      <c r="AC163" s="19"/>
      <c r="AD163" s="19"/>
      <c r="AE163" s="19"/>
      <c r="AF163" s="19"/>
      <c r="AG163" s="19"/>
      <c r="AH163" s="19"/>
    </row>
    <row r="164" ht="12.75" customHeight="1">
      <c r="A164" s="89"/>
      <c r="B164" s="92">
        <v>41000.0</v>
      </c>
      <c r="C164" s="199"/>
      <c r="D164" s="199"/>
      <c r="E164" s="199">
        <f t="shared" ref="E164:Z164" si="28">E136*E$5</f>
        <v>4262.979051</v>
      </c>
      <c r="F164" s="199">
        <f t="shared" si="28"/>
        <v>1004.90956</v>
      </c>
      <c r="G164" s="199">
        <f t="shared" si="28"/>
        <v>893.7868729</v>
      </c>
      <c r="H164" s="199">
        <f t="shared" si="28"/>
        <v>733.4683976</v>
      </c>
      <c r="I164" s="199">
        <f t="shared" si="28"/>
        <v>804.4106082</v>
      </c>
      <c r="J164" s="199">
        <f t="shared" si="28"/>
        <v>834.0354259</v>
      </c>
      <c r="K164" s="199">
        <f t="shared" si="28"/>
        <v>764.5788488</v>
      </c>
      <c r="L164" s="199">
        <f t="shared" si="28"/>
        <v>728.9636685</v>
      </c>
      <c r="M164" s="199">
        <f t="shared" si="28"/>
        <v>718.0561053</v>
      </c>
      <c r="N164" s="199">
        <f t="shared" si="28"/>
        <v>735.0327624</v>
      </c>
      <c r="O164" s="199">
        <f t="shared" si="28"/>
        <v>785.5406673</v>
      </c>
      <c r="P164" s="199">
        <f t="shared" si="28"/>
        <v>735.1040823</v>
      </c>
      <c r="Q164" s="199">
        <f t="shared" si="28"/>
        <v>717.9990091</v>
      </c>
      <c r="R164" s="199">
        <f t="shared" si="28"/>
        <v>712.4646432</v>
      </c>
      <c r="S164" s="199">
        <f t="shared" si="28"/>
        <v>766.0600941</v>
      </c>
      <c r="T164" s="199">
        <f t="shared" si="28"/>
        <v>691.518695</v>
      </c>
      <c r="U164" s="199">
        <f t="shared" si="28"/>
        <v>712.8106305</v>
      </c>
      <c r="V164" s="199">
        <f t="shared" si="28"/>
        <v>690.1485995</v>
      </c>
      <c r="W164" s="199">
        <f t="shared" si="28"/>
        <v>655.8086976</v>
      </c>
      <c r="X164" s="199">
        <f t="shared" si="28"/>
        <v>581.968544</v>
      </c>
      <c r="Y164" s="199">
        <f t="shared" si="28"/>
        <v>568.2357061</v>
      </c>
      <c r="Z164" s="199">
        <f t="shared" si="28"/>
        <v>654.0762737</v>
      </c>
      <c r="AA164" s="89"/>
      <c r="AB164" s="89"/>
      <c r="AC164" s="19"/>
      <c r="AD164" s="19"/>
      <c r="AE164" s="19"/>
      <c r="AF164" s="19"/>
      <c r="AG164" s="19"/>
      <c r="AH164" s="19"/>
    </row>
    <row r="165" ht="12.75" customHeight="1">
      <c r="A165" s="89"/>
      <c r="B165" s="92">
        <v>41030.0</v>
      </c>
      <c r="C165" s="199"/>
      <c r="D165" s="199"/>
      <c r="E165" s="199"/>
      <c r="F165" s="199">
        <f t="shared" ref="F165:Z165" si="29">F137*F$5</f>
        <v>4243.470686</v>
      </c>
      <c r="G165" s="199">
        <f t="shared" si="29"/>
        <v>983.6577018</v>
      </c>
      <c r="H165" s="199">
        <f t="shared" si="29"/>
        <v>969.4398881</v>
      </c>
      <c r="I165" s="199">
        <f t="shared" si="29"/>
        <v>788.2549852</v>
      </c>
      <c r="J165" s="199">
        <f t="shared" si="29"/>
        <v>838.0945129</v>
      </c>
      <c r="K165" s="199">
        <f t="shared" si="29"/>
        <v>908.9925131</v>
      </c>
      <c r="L165" s="199">
        <f t="shared" si="29"/>
        <v>776.3723108</v>
      </c>
      <c r="M165" s="199">
        <f t="shared" si="29"/>
        <v>735.4705301</v>
      </c>
      <c r="N165" s="199">
        <f t="shared" si="29"/>
        <v>720.7359323</v>
      </c>
      <c r="O165" s="199">
        <f t="shared" si="29"/>
        <v>723.0217763</v>
      </c>
      <c r="P165" s="199">
        <f t="shared" si="29"/>
        <v>808.8967099</v>
      </c>
      <c r="Q165" s="199">
        <f t="shared" si="29"/>
        <v>727.7732436</v>
      </c>
      <c r="R165" s="199">
        <f t="shared" si="29"/>
        <v>715.6362987</v>
      </c>
      <c r="S165" s="199">
        <f t="shared" si="29"/>
        <v>701.269857</v>
      </c>
      <c r="T165" s="199">
        <f t="shared" si="29"/>
        <v>843.1694939</v>
      </c>
      <c r="U165" s="199">
        <f t="shared" si="29"/>
        <v>755.6701264</v>
      </c>
      <c r="V165" s="199">
        <f t="shared" si="29"/>
        <v>709.4633049</v>
      </c>
      <c r="W165" s="199">
        <f t="shared" si="29"/>
        <v>701.389814</v>
      </c>
      <c r="X165" s="199">
        <f t="shared" si="29"/>
        <v>635.9834482</v>
      </c>
      <c r="Y165" s="199">
        <f t="shared" si="29"/>
        <v>618.7207915</v>
      </c>
      <c r="Z165" s="199">
        <f t="shared" si="29"/>
        <v>596.1009047</v>
      </c>
      <c r="AA165" s="89"/>
      <c r="AB165" s="89"/>
      <c r="AC165" s="19"/>
      <c r="AD165" s="19"/>
      <c r="AE165" s="19"/>
      <c r="AF165" s="19"/>
      <c r="AG165" s="19"/>
      <c r="AH165" s="19"/>
    </row>
    <row r="166" ht="12.75" customHeight="1">
      <c r="A166" s="89"/>
      <c r="B166" s="92">
        <v>41061.0</v>
      </c>
      <c r="C166" s="199"/>
      <c r="D166" s="199"/>
      <c r="E166" s="199"/>
      <c r="F166" s="199"/>
      <c r="G166" s="199">
        <f t="shared" ref="G166:Z166" si="30">G138*G$5</f>
        <v>4419.405529</v>
      </c>
      <c r="H166" s="199">
        <f t="shared" si="30"/>
        <v>1039.53688</v>
      </c>
      <c r="I166" s="199">
        <f t="shared" si="30"/>
        <v>996.1332438</v>
      </c>
      <c r="J166" s="199">
        <f t="shared" si="30"/>
        <v>795.9907708</v>
      </c>
      <c r="K166" s="199">
        <f t="shared" si="30"/>
        <v>835.4978802</v>
      </c>
      <c r="L166" s="199">
        <f t="shared" si="30"/>
        <v>918.9184655</v>
      </c>
      <c r="M166" s="199">
        <f t="shared" si="30"/>
        <v>827.2146753</v>
      </c>
      <c r="N166" s="199">
        <f t="shared" si="30"/>
        <v>750.3389607</v>
      </c>
      <c r="O166" s="199">
        <f t="shared" si="30"/>
        <v>724.1002814</v>
      </c>
      <c r="P166" s="199">
        <f t="shared" si="30"/>
        <v>777.1617014</v>
      </c>
      <c r="Q166" s="199">
        <f t="shared" si="30"/>
        <v>910.914969</v>
      </c>
      <c r="R166" s="199">
        <f t="shared" si="30"/>
        <v>812.5181664</v>
      </c>
      <c r="S166" s="199">
        <f t="shared" si="30"/>
        <v>799.08514</v>
      </c>
      <c r="T166" s="199">
        <f t="shared" si="30"/>
        <v>711.9487312</v>
      </c>
      <c r="U166" s="199">
        <f t="shared" si="30"/>
        <v>829.0009333</v>
      </c>
      <c r="V166" s="199">
        <f t="shared" si="30"/>
        <v>718.4018468</v>
      </c>
      <c r="W166" s="199">
        <f t="shared" si="30"/>
        <v>758.6009469</v>
      </c>
      <c r="X166" s="199">
        <f t="shared" si="30"/>
        <v>622.0366166</v>
      </c>
      <c r="Y166" s="199">
        <f t="shared" si="30"/>
        <v>725.5844247</v>
      </c>
      <c r="Z166" s="199">
        <f t="shared" si="30"/>
        <v>628.624561</v>
      </c>
      <c r="AA166" s="89"/>
      <c r="AB166" s="89"/>
      <c r="AC166" s="19"/>
      <c r="AD166" s="19"/>
      <c r="AE166" s="19"/>
      <c r="AF166" s="19"/>
      <c r="AG166" s="19"/>
      <c r="AH166" s="19"/>
    </row>
    <row r="167" ht="12.75" customHeight="1">
      <c r="A167" s="89"/>
      <c r="B167" s="92">
        <v>41091.0</v>
      </c>
      <c r="C167" s="199"/>
      <c r="D167" s="199"/>
      <c r="E167" s="199"/>
      <c r="F167" s="199"/>
      <c r="G167" s="199"/>
      <c r="H167" s="199">
        <f t="shared" ref="H167:Z167" si="31">H139*H$5</f>
        <v>4439.774311</v>
      </c>
      <c r="I167" s="199">
        <f t="shared" si="31"/>
        <v>1216.662362</v>
      </c>
      <c r="J167" s="199">
        <f t="shared" si="31"/>
        <v>1033.586096</v>
      </c>
      <c r="K167" s="199">
        <f t="shared" si="31"/>
        <v>848.5261922</v>
      </c>
      <c r="L167" s="199">
        <f t="shared" si="31"/>
        <v>943.1049339</v>
      </c>
      <c r="M167" s="199">
        <f t="shared" si="31"/>
        <v>984.5690379</v>
      </c>
      <c r="N167" s="199">
        <f t="shared" si="31"/>
        <v>847.6749468</v>
      </c>
      <c r="O167" s="199">
        <f t="shared" si="31"/>
        <v>732.5422029</v>
      </c>
      <c r="P167" s="199">
        <f t="shared" si="31"/>
        <v>794.0170769</v>
      </c>
      <c r="Q167" s="199">
        <f t="shared" si="31"/>
        <v>858.7464916</v>
      </c>
      <c r="R167" s="199">
        <f t="shared" si="31"/>
        <v>958.6120643</v>
      </c>
      <c r="S167" s="199">
        <f t="shared" si="31"/>
        <v>827.6011258</v>
      </c>
      <c r="T167" s="199">
        <f t="shared" si="31"/>
        <v>834.4249857</v>
      </c>
      <c r="U167" s="199">
        <f t="shared" si="31"/>
        <v>787.2552109</v>
      </c>
      <c r="V167" s="199">
        <f t="shared" si="31"/>
        <v>809.603783</v>
      </c>
      <c r="W167" s="199">
        <f t="shared" si="31"/>
        <v>699.2551677</v>
      </c>
      <c r="X167" s="199">
        <f t="shared" si="31"/>
        <v>691.0431529</v>
      </c>
      <c r="Y167" s="199">
        <f t="shared" si="31"/>
        <v>743.8097207</v>
      </c>
      <c r="Z167" s="199">
        <f t="shared" si="31"/>
        <v>766.9486793</v>
      </c>
      <c r="AA167" s="89"/>
      <c r="AB167" s="89"/>
      <c r="AC167" s="19"/>
      <c r="AD167" s="19"/>
      <c r="AE167" s="19"/>
      <c r="AF167" s="19"/>
      <c r="AG167" s="19"/>
      <c r="AH167" s="19"/>
    </row>
    <row r="168" ht="12.75" customHeight="1">
      <c r="A168" s="89"/>
      <c r="B168" s="92">
        <v>41122.0</v>
      </c>
      <c r="C168" s="199"/>
      <c r="D168" s="199"/>
      <c r="E168" s="199"/>
      <c r="F168" s="199"/>
      <c r="G168" s="199"/>
      <c r="H168" s="199"/>
      <c r="I168" s="199">
        <f t="shared" ref="I168:Z168" si="32">I140*I$5</f>
        <v>4660.44866</v>
      </c>
      <c r="J168" s="199">
        <f t="shared" si="32"/>
        <v>1297.272943</v>
      </c>
      <c r="K168" s="199">
        <f t="shared" si="32"/>
        <v>1181.864658</v>
      </c>
      <c r="L168" s="199">
        <f t="shared" si="32"/>
        <v>825.8782221</v>
      </c>
      <c r="M168" s="199">
        <f t="shared" si="32"/>
        <v>972.1245784</v>
      </c>
      <c r="N168" s="199">
        <f t="shared" si="32"/>
        <v>1027.469863</v>
      </c>
      <c r="O168" s="199">
        <f t="shared" si="32"/>
        <v>852.0130956</v>
      </c>
      <c r="P168" s="199">
        <f t="shared" si="32"/>
        <v>825.8309164</v>
      </c>
      <c r="Q168" s="199">
        <f t="shared" si="32"/>
        <v>875.7688798</v>
      </c>
      <c r="R168" s="199">
        <f t="shared" si="32"/>
        <v>932.6850849</v>
      </c>
      <c r="S168" s="199">
        <f t="shared" si="32"/>
        <v>1016.481369</v>
      </c>
      <c r="T168" s="199">
        <f t="shared" si="32"/>
        <v>797.4448802</v>
      </c>
      <c r="U168" s="199">
        <f t="shared" si="32"/>
        <v>941.441893</v>
      </c>
      <c r="V168" s="199">
        <f t="shared" si="32"/>
        <v>831.943999</v>
      </c>
      <c r="W168" s="199">
        <f t="shared" si="32"/>
        <v>830.012986</v>
      </c>
      <c r="X168" s="199">
        <f t="shared" si="32"/>
        <v>645.3094369</v>
      </c>
      <c r="Y168" s="199">
        <f t="shared" si="32"/>
        <v>827.8905092</v>
      </c>
      <c r="Z168" s="199">
        <f t="shared" si="32"/>
        <v>712.6017654</v>
      </c>
      <c r="AA168" s="89"/>
      <c r="AB168" s="89"/>
      <c r="AC168" s="19"/>
      <c r="AD168" s="19"/>
      <c r="AE168" s="19"/>
      <c r="AF168" s="19"/>
      <c r="AG168" s="19"/>
      <c r="AH168" s="19"/>
    </row>
    <row r="169" ht="12.75" customHeight="1">
      <c r="A169" s="89"/>
      <c r="B169" s="92">
        <v>41153.0</v>
      </c>
      <c r="C169" s="199"/>
      <c r="D169" s="199"/>
      <c r="E169" s="199"/>
      <c r="F169" s="199"/>
      <c r="G169" s="199"/>
      <c r="H169" s="199"/>
      <c r="I169" s="199"/>
      <c r="J169" s="199">
        <f t="shared" ref="J169:Z169" si="33">J141*J$5</f>
        <v>5087.84362</v>
      </c>
      <c r="K169" s="199">
        <f t="shared" si="33"/>
        <v>1368.242979</v>
      </c>
      <c r="L169" s="199">
        <f t="shared" si="33"/>
        <v>1242.017614</v>
      </c>
      <c r="M169" s="199">
        <f t="shared" si="33"/>
        <v>908.4018841</v>
      </c>
      <c r="N169" s="199">
        <f t="shared" si="33"/>
        <v>983.8096221</v>
      </c>
      <c r="O169" s="199">
        <f t="shared" si="33"/>
        <v>1053.862327</v>
      </c>
      <c r="P169" s="199">
        <f t="shared" si="33"/>
        <v>889.3630385</v>
      </c>
      <c r="Q169" s="199">
        <f t="shared" si="33"/>
        <v>855.9372602</v>
      </c>
      <c r="R169" s="199">
        <f t="shared" si="33"/>
        <v>1013.584649</v>
      </c>
      <c r="S169" s="199">
        <f t="shared" si="33"/>
        <v>1001.230188</v>
      </c>
      <c r="T169" s="199">
        <f t="shared" si="33"/>
        <v>1096.67248</v>
      </c>
      <c r="U169" s="199">
        <f t="shared" si="33"/>
        <v>886.3854224</v>
      </c>
      <c r="V169" s="199">
        <f t="shared" si="33"/>
        <v>960.4831571</v>
      </c>
      <c r="W169" s="199">
        <f t="shared" si="33"/>
        <v>885.2519993</v>
      </c>
      <c r="X169" s="199">
        <f t="shared" si="33"/>
        <v>741.4607893</v>
      </c>
      <c r="Y169" s="199">
        <f t="shared" si="33"/>
        <v>836.1050017</v>
      </c>
      <c r="Z169" s="199">
        <f t="shared" si="33"/>
        <v>836.1057962</v>
      </c>
      <c r="AA169" s="89"/>
      <c r="AB169" s="89"/>
      <c r="AC169" s="19"/>
      <c r="AD169" s="19"/>
      <c r="AE169" s="19"/>
      <c r="AF169" s="19"/>
      <c r="AG169" s="19"/>
      <c r="AH169" s="19"/>
    </row>
    <row r="170" ht="12.75" customHeight="1">
      <c r="A170" s="89"/>
      <c r="B170" s="92">
        <v>41183.0</v>
      </c>
      <c r="C170" s="199"/>
      <c r="D170" s="199"/>
      <c r="E170" s="199"/>
      <c r="F170" s="199"/>
      <c r="G170" s="199"/>
      <c r="H170" s="199"/>
      <c r="I170" s="199"/>
      <c r="J170" s="199"/>
      <c r="K170" s="199">
        <f t="shared" ref="K170:Z170" si="34">K142*K$5</f>
        <v>5480.967017</v>
      </c>
      <c r="L170" s="199">
        <f t="shared" si="34"/>
        <v>1479.136249</v>
      </c>
      <c r="M170" s="199">
        <f t="shared" si="34"/>
        <v>1166.415146</v>
      </c>
      <c r="N170" s="199">
        <f t="shared" si="34"/>
        <v>950.8529702</v>
      </c>
      <c r="O170" s="199">
        <f t="shared" si="34"/>
        <v>990.3492831</v>
      </c>
      <c r="P170" s="199">
        <f t="shared" si="34"/>
        <v>1099.769288</v>
      </c>
      <c r="Q170" s="199">
        <f t="shared" si="34"/>
        <v>898.0485076</v>
      </c>
      <c r="R170" s="199">
        <f t="shared" si="34"/>
        <v>1028.425907</v>
      </c>
      <c r="S170" s="199">
        <f t="shared" si="34"/>
        <v>994.6243386</v>
      </c>
      <c r="T170" s="199">
        <f t="shared" si="34"/>
        <v>956.2048212</v>
      </c>
      <c r="U170" s="199">
        <f t="shared" si="34"/>
        <v>1135.483437</v>
      </c>
      <c r="V170" s="199">
        <f t="shared" si="34"/>
        <v>928.5144085</v>
      </c>
      <c r="W170" s="199">
        <f t="shared" si="34"/>
        <v>941.4689339</v>
      </c>
      <c r="X170" s="199">
        <f t="shared" si="34"/>
        <v>764.3303483</v>
      </c>
      <c r="Y170" s="199">
        <f t="shared" si="34"/>
        <v>900.0610667</v>
      </c>
      <c r="Z170" s="199">
        <f t="shared" si="34"/>
        <v>770.6298375</v>
      </c>
      <c r="AA170" s="89"/>
      <c r="AB170" s="89"/>
      <c r="AC170" s="19"/>
      <c r="AD170" s="19"/>
      <c r="AE170" s="19"/>
      <c r="AF170" s="19"/>
      <c r="AG170" s="19"/>
      <c r="AH170" s="19"/>
    </row>
    <row r="171" ht="12.75" customHeight="1">
      <c r="A171" s="89"/>
      <c r="B171" s="92">
        <v>41214.0</v>
      </c>
      <c r="C171" s="199"/>
      <c r="D171" s="199"/>
      <c r="E171" s="199"/>
      <c r="F171" s="199"/>
      <c r="G171" s="199"/>
      <c r="H171" s="199"/>
      <c r="I171" s="199"/>
      <c r="J171" s="199"/>
      <c r="K171" s="199"/>
      <c r="L171" s="199">
        <f t="shared" ref="L171:Z171" si="35">L143*L$5</f>
        <v>5454.147253</v>
      </c>
      <c r="M171" s="199">
        <f t="shared" si="35"/>
        <v>1665.653573</v>
      </c>
      <c r="N171" s="199">
        <f t="shared" si="35"/>
        <v>1232.266051</v>
      </c>
      <c r="O171" s="199">
        <f t="shared" si="35"/>
        <v>954.7702551</v>
      </c>
      <c r="P171" s="199">
        <f t="shared" si="35"/>
        <v>1071.97864</v>
      </c>
      <c r="Q171" s="199">
        <f t="shared" si="35"/>
        <v>1148.852897</v>
      </c>
      <c r="R171" s="199">
        <f t="shared" si="35"/>
        <v>1021.954201</v>
      </c>
      <c r="S171" s="199">
        <f t="shared" si="35"/>
        <v>1087.037722</v>
      </c>
      <c r="T171" s="199">
        <f t="shared" si="35"/>
        <v>994.3295786</v>
      </c>
      <c r="U171" s="199">
        <f t="shared" si="35"/>
        <v>980.4655221</v>
      </c>
      <c r="V171" s="199">
        <f t="shared" si="35"/>
        <v>1166.253077</v>
      </c>
      <c r="W171" s="199">
        <f t="shared" si="35"/>
        <v>928.8021448</v>
      </c>
      <c r="X171" s="199">
        <f t="shared" si="35"/>
        <v>904.2443836</v>
      </c>
      <c r="Y171" s="199">
        <f t="shared" si="35"/>
        <v>907.7167557</v>
      </c>
      <c r="Z171" s="199">
        <f t="shared" si="35"/>
        <v>844.8622516</v>
      </c>
      <c r="AA171" s="89"/>
      <c r="AB171" s="89"/>
      <c r="AC171" s="19"/>
      <c r="AD171" s="19"/>
      <c r="AE171" s="19"/>
      <c r="AF171" s="19"/>
      <c r="AG171" s="19"/>
      <c r="AH171" s="19"/>
    </row>
    <row r="172" ht="12.75" customHeight="1">
      <c r="A172" s="89"/>
      <c r="B172" s="92">
        <v>41244.0</v>
      </c>
      <c r="C172" s="199"/>
      <c r="D172" s="199"/>
      <c r="E172" s="199"/>
      <c r="F172" s="199"/>
      <c r="G172" s="199"/>
      <c r="H172" s="199"/>
      <c r="I172" s="199"/>
      <c r="J172" s="199"/>
      <c r="K172" s="199"/>
      <c r="L172" s="199"/>
      <c r="M172" s="199">
        <f t="shared" ref="M172:Z172" si="36">M144*M$5</f>
        <v>5601.655738</v>
      </c>
      <c r="N172" s="199">
        <f t="shared" si="36"/>
        <v>1591.973217</v>
      </c>
      <c r="O172" s="199">
        <f t="shared" si="36"/>
        <v>1203.467202</v>
      </c>
      <c r="P172" s="199">
        <f t="shared" si="36"/>
        <v>1081.776832</v>
      </c>
      <c r="Q172" s="199">
        <f t="shared" si="36"/>
        <v>1108.172144</v>
      </c>
      <c r="R172" s="199">
        <f t="shared" si="36"/>
        <v>1267.21853</v>
      </c>
      <c r="S172" s="199">
        <f t="shared" si="36"/>
        <v>1085.072489</v>
      </c>
      <c r="T172" s="199">
        <f t="shared" si="36"/>
        <v>1076.69583</v>
      </c>
      <c r="U172" s="199">
        <f t="shared" si="36"/>
        <v>990.3411225</v>
      </c>
      <c r="V172" s="199">
        <f t="shared" si="36"/>
        <v>1027.044676</v>
      </c>
      <c r="W172" s="199">
        <f t="shared" si="36"/>
        <v>1166.391344</v>
      </c>
      <c r="X172" s="199">
        <f t="shared" si="36"/>
        <v>784.1516708</v>
      </c>
      <c r="Y172" s="199">
        <f t="shared" si="36"/>
        <v>995.1141253</v>
      </c>
      <c r="Z172" s="199">
        <f t="shared" si="36"/>
        <v>856.2388107</v>
      </c>
      <c r="AA172" s="89"/>
      <c r="AB172" s="89"/>
      <c r="AC172" s="19"/>
      <c r="AD172" s="19"/>
      <c r="AE172" s="19"/>
      <c r="AF172" s="19"/>
      <c r="AG172" s="19"/>
      <c r="AH172" s="19"/>
    </row>
    <row r="173" ht="12.75" customHeight="1">
      <c r="A173" s="89"/>
      <c r="B173" s="92">
        <v>41275.0</v>
      </c>
      <c r="C173" s="199"/>
      <c r="D173" s="199"/>
      <c r="E173" s="199"/>
      <c r="F173" s="199"/>
      <c r="G173" s="199"/>
      <c r="H173" s="199"/>
      <c r="I173" s="199"/>
      <c r="J173" s="199"/>
      <c r="K173" s="199"/>
      <c r="L173" s="199"/>
      <c r="M173" s="199"/>
      <c r="N173" s="199">
        <f t="shared" ref="N173:Z173" si="37">N145*N$5</f>
        <v>5740.05142</v>
      </c>
      <c r="O173" s="199">
        <f t="shared" si="37"/>
        <v>1647.48608</v>
      </c>
      <c r="P173" s="199">
        <f t="shared" si="37"/>
        <v>1239.360431</v>
      </c>
      <c r="Q173" s="199">
        <f t="shared" si="37"/>
        <v>1144.474968</v>
      </c>
      <c r="R173" s="199">
        <f t="shared" si="37"/>
        <v>1238.611245</v>
      </c>
      <c r="S173" s="199">
        <f t="shared" si="37"/>
        <v>1262.150588</v>
      </c>
      <c r="T173" s="199">
        <f t="shared" si="37"/>
        <v>1175.994581</v>
      </c>
      <c r="U173" s="199">
        <f t="shared" si="37"/>
        <v>1257.591159</v>
      </c>
      <c r="V173" s="199">
        <f t="shared" si="37"/>
        <v>967.9427626</v>
      </c>
      <c r="W173" s="199">
        <f t="shared" si="37"/>
        <v>1025.255953</v>
      </c>
      <c r="X173" s="199">
        <f t="shared" si="37"/>
        <v>1070.20609</v>
      </c>
      <c r="Y173" s="199">
        <f t="shared" si="37"/>
        <v>953.4328816</v>
      </c>
      <c r="Z173" s="199">
        <f t="shared" si="37"/>
        <v>1037.039659</v>
      </c>
      <c r="AA173" s="89"/>
      <c r="AB173" s="89"/>
      <c r="AC173" s="19"/>
      <c r="AD173" s="19"/>
      <c r="AE173" s="19"/>
      <c r="AF173" s="19"/>
      <c r="AG173" s="19"/>
      <c r="AH173" s="19"/>
    </row>
    <row r="174" ht="12.75" customHeight="1">
      <c r="A174" s="89"/>
      <c r="B174" s="92">
        <v>41306.0</v>
      </c>
      <c r="C174" s="199"/>
      <c r="D174" s="199"/>
      <c r="E174" s="199"/>
      <c r="F174" s="199"/>
      <c r="G174" s="199"/>
      <c r="H174" s="199"/>
      <c r="I174" s="199"/>
      <c r="J174" s="199"/>
      <c r="K174" s="199"/>
      <c r="L174" s="199"/>
      <c r="M174" s="199"/>
      <c r="N174" s="199"/>
      <c r="O174" s="199">
        <f t="shared" ref="O174:Z174" si="38">O146*O$5</f>
        <v>5611.50513</v>
      </c>
      <c r="P174" s="199">
        <f t="shared" si="38"/>
        <v>1985.491198</v>
      </c>
      <c r="Q174" s="199">
        <f t="shared" si="38"/>
        <v>1325.74837</v>
      </c>
      <c r="R174" s="199">
        <f t="shared" si="38"/>
        <v>1170.371811</v>
      </c>
      <c r="S174" s="199">
        <f t="shared" si="38"/>
        <v>1385.082434</v>
      </c>
      <c r="T174" s="199">
        <f t="shared" si="38"/>
        <v>1260.989795</v>
      </c>
      <c r="U174" s="199">
        <f t="shared" si="38"/>
        <v>1334.242227</v>
      </c>
      <c r="V174" s="199">
        <f t="shared" si="38"/>
        <v>1159.652576</v>
      </c>
      <c r="W174" s="199">
        <f t="shared" si="38"/>
        <v>887.2147235</v>
      </c>
      <c r="X174" s="199">
        <f t="shared" si="38"/>
        <v>925.5501714</v>
      </c>
      <c r="Y174" s="199">
        <f t="shared" si="38"/>
        <v>1306.084534</v>
      </c>
      <c r="Z174" s="199">
        <f t="shared" si="38"/>
        <v>911.0958832</v>
      </c>
      <c r="AA174" s="89"/>
      <c r="AB174" s="89"/>
      <c r="AC174" s="19"/>
      <c r="AD174" s="19"/>
      <c r="AE174" s="19"/>
      <c r="AF174" s="19"/>
      <c r="AG174" s="19"/>
      <c r="AH174" s="19"/>
    </row>
    <row r="175" ht="12.75" customHeight="1">
      <c r="A175" s="89"/>
      <c r="B175" s="92">
        <v>41334.0</v>
      </c>
      <c r="C175" s="199"/>
      <c r="D175" s="199"/>
      <c r="E175" s="199"/>
      <c r="F175" s="199"/>
      <c r="G175" s="199"/>
      <c r="H175" s="199"/>
      <c r="I175" s="199"/>
      <c r="J175" s="199"/>
      <c r="K175" s="199"/>
      <c r="L175" s="199"/>
      <c r="M175" s="199"/>
      <c r="N175" s="199"/>
      <c r="O175" s="199"/>
      <c r="P175" s="199">
        <f t="shared" ref="P175:Z175" si="39">P147*P$5</f>
        <v>6139.295608</v>
      </c>
      <c r="Q175" s="199">
        <f t="shared" si="39"/>
        <v>1949.722085</v>
      </c>
      <c r="R175" s="199">
        <f t="shared" si="39"/>
        <v>1370.412878</v>
      </c>
      <c r="S175" s="199">
        <f t="shared" si="39"/>
        <v>1217.316849</v>
      </c>
      <c r="T175" s="199">
        <f t="shared" si="39"/>
        <v>1476.258498</v>
      </c>
      <c r="U175" s="199">
        <f t="shared" si="39"/>
        <v>1344.472859</v>
      </c>
      <c r="V175" s="199">
        <f t="shared" si="39"/>
        <v>1309.828937</v>
      </c>
      <c r="W175" s="199">
        <f t="shared" si="39"/>
        <v>1114.68164</v>
      </c>
      <c r="X175" s="199">
        <f t="shared" si="39"/>
        <v>861.3504863</v>
      </c>
      <c r="Y175" s="199">
        <f t="shared" si="39"/>
        <v>1066.629379</v>
      </c>
      <c r="Z175" s="199">
        <f t="shared" si="39"/>
        <v>1287.720237</v>
      </c>
      <c r="AA175" s="89"/>
      <c r="AB175" s="89"/>
      <c r="AC175" s="19"/>
      <c r="AD175" s="19"/>
      <c r="AE175" s="19"/>
      <c r="AF175" s="19"/>
      <c r="AG175" s="19"/>
      <c r="AH175" s="19"/>
    </row>
    <row r="176" ht="12.75" customHeight="1">
      <c r="A176" s="89"/>
      <c r="B176" s="92">
        <v>41365.0</v>
      </c>
      <c r="C176" s="199"/>
      <c r="D176" s="199"/>
      <c r="E176" s="199"/>
      <c r="F176" s="199"/>
      <c r="G176" s="199"/>
      <c r="H176" s="199"/>
      <c r="I176" s="199"/>
      <c r="J176" s="199"/>
      <c r="K176" s="199"/>
      <c r="L176" s="199"/>
      <c r="M176" s="199"/>
      <c r="N176" s="199"/>
      <c r="O176" s="199"/>
      <c r="P176" s="199"/>
      <c r="Q176" s="199">
        <f t="shared" ref="Q176:Z176" si="40">Q148*Q$5</f>
        <v>6467.4762</v>
      </c>
      <c r="R176" s="199">
        <f t="shared" si="40"/>
        <v>2302.235595</v>
      </c>
      <c r="S176" s="199">
        <f t="shared" si="40"/>
        <v>1306.215722</v>
      </c>
      <c r="T176" s="199">
        <f t="shared" si="40"/>
        <v>1225.01527</v>
      </c>
      <c r="U176" s="199">
        <f t="shared" si="40"/>
        <v>1559.59081</v>
      </c>
      <c r="V176" s="199">
        <f t="shared" si="40"/>
        <v>1334.71818</v>
      </c>
      <c r="W176" s="199">
        <f t="shared" si="40"/>
        <v>1260.737247</v>
      </c>
      <c r="X176" s="199">
        <f t="shared" si="40"/>
        <v>1037.858589</v>
      </c>
      <c r="Y176" s="199">
        <f t="shared" si="40"/>
        <v>1035.7194</v>
      </c>
      <c r="Z176" s="199">
        <f t="shared" si="40"/>
        <v>1068.941499</v>
      </c>
      <c r="AA176" s="89"/>
      <c r="AB176" s="89"/>
      <c r="AC176" s="19"/>
      <c r="AD176" s="19"/>
      <c r="AE176" s="19"/>
      <c r="AF176" s="19"/>
      <c r="AG176" s="19"/>
      <c r="AH176" s="19"/>
    </row>
    <row r="177" ht="12.75" customHeight="1">
      <c r="A177" s="89"/>
      <c r="B177" s="92">
        <v>41395.0</v>
      </c>
      <c r="C177" s="199"/>
      <c r="D177" s="199"/>
      <c r="E177" s="199"/>
      <c r="F177" s="199"/>
      <c r="G177" s="199"/>
      <c r="H177" s="199"/>
      <c r="I177" s="199"/>
      <c r="J177" s="199"/>
      <c r="K177" s="199"/>
      <c r="L177" s="199"/>
      <c r="M177" s="199"/>
      <c r="N177" s="199"/>
      <c r="O177" s="199"/>
      <c r="P177" s="199"/>
      <c r="Q177" s="199"/>
      <c r="R177" s="199">
        <f t="shared" ref="R177:Z177" si="41">R149*R$5</f>
        <v>6823.342763</v>
      </c>
      <c r="S177" s="199">
        <f t="shared" si="41"/>
        <v>2177.918225</v>
      </c>
      <c r="T177" s="199">
        <f t="shared" si="41"/>
        <v>1393.890862</v>
      </c>
      <c r="U177" s="199">
        <f t="shared" si="41"/>
        <v>1268.565281</v>
      </c>
      <c r="V177" s="199">
        <f t="shared" si="41"/>
        <v>1436.095381</v>
      </c>
      <c r="W177" s="199">
        <f t="shared" si="41"/>
        <v>1413.087608</v>
      </c>
      <c r="X177" s="199">
        <f t="shared" si="41"/>
        <v>1051.767039</v>
      </c>
      <c r="Y177" s="199">
        <f t="shared" si="41"/>
        <v>1209.170859</v>
      </c>
      <c r="Z177" s="199">
        <f t="shared" si="41"/>
        <v>1093.5256</v>
      </c>
      <c r="AA177" s="89"/>
      <c r="AB177" s="89"/>
      <c r="AC177" s="19"/>
      <c r="AD177" s="19"/>
      <c r="AE177" s="19"/>
      <c r="AF177" s="19"/>
      <c r="AG177" s="19"/>
      <c r="AH177" s="19"/>
    </row>
    <row r="178" ht="12.75" customHeight="1">
      <c r="A178" s="89"/>
      <c r="B178" s="92">
        <v>41426.0</v>
      </c>
      <c r="C178" s="199"/>
      <c r="D178" s="199"/>
      <c r="E178" s="199"/>
      <c r="F178" s="199"/>
      <c r="G178" s="199"/>
      <c r="H178" s="199"/>
      <c r="I178" s="199"/>
      <c r="J178" s="199"/>
      <c r="K178" s="199"/>
      <c r="L178" s="199"/>
      <c r="M178" s="199"/>
      <c r="N178" s="199"/>
      <c r="O178" s="199"/>
      <c r="P178" s="199"/>
      <c r="Q178" s="199"/>
      <c r="R178" s="199"/>
      <c r="S178" s="199">
        <f t="shared" ref="S178:Z178" si="42">S150*S$5</f>
        <v>6947.519077</v>
      </c>
      <c r="T178" s="199">
        <f t="shared" si="42"/>
        <v>2145.669412</v>
      </c>
      <c r="U178" s="199">
        <f t="shared" si="42"/>
        <v>1414.174522</v>
      </c>
      <c r="V178" s="199">
        <f t="shared" si="42"/>
        <v>1245.868088</v>
      </c>
      <c r="W178" s="199">
        <f t="shared" si="42"/>
        <v>1481.056879</v>
      </c>
      <c r="X178" s="199">
        <f t="shared" si="42"/>
        <v>1375.883414</v>
      </c>
      <c r="Y178" s="199">
        <f t="shared" si="42"/>
        <v>1183.609116</v>
      </c>
      <c r="Z178" s="199">
        <f t="shared" si="42"/>
        <v>1281.511726</v>
      </c>
      <c r="AA178" s="89"/>
      <c r="AB178" s="89"/>
      <c r="AC178" s="19"/>
      <c r="AD178" s="19"/>
      <c r="AE178" s="19"/>
      <c r="AF178" s="19"/>
      <c r="AG178" s="19"/>
      <c r="AH178" s="19"/>
    </row>
    <row r="179" ht="12.75" customHeight="1">
      <c r="A179" s="89"/>
      <c r="B179" s="92">
        <v>41456.0</v>
      </c>
      <c r="C179" s="199"/>
      <c r="D179" s="199"/>
      <c r="E179" s="199"/>
      <c r="F179" s="199"/>
      <c r="G179" s="199"/>
      <c r="H179" s="199"/>
      <c r="I179" s="199"/>
      <c r="J179" s="199"/>
      <c r="K179" s="199"/>
      <c r="L179" s="199"/>
      <c r="M179" s="199"/>
      <c r="N179" s="199"/>
      <c r="O179" s="199"/>
      <c r="P179" s="199"/>
      <c r="Q179" s="199"/>
      <c r="R179" s="199"/>
      <c r="S179" s="199"/>
      <c r="T179" s="199">
        <f t="shared" ref="T179:Z179" si="43">T151*T$5</f>
        <v>7014.028657</v>
      </c>
      <c r="U179" s="199">
        <f t="shared" si="43"/>
        <v>2406.579123</v>
      </c>
      <c r="V179" s="199">
        <f t="shared" si="43"/>
        <v>1548.084741</v>
      </c>
      <c r="W179" s="199">
        <f t="shared" si="43"/>
        <v>1285.228095</v>
      </c>
      <c r="X179" s="199">
        <f t="shared" si="43"/>
        <v>1378.100539</v>
      </c>
      <c r="Y179" s="199">
        <f t="shared" si="43"/>
        <v>1552.418491</v>
      </c>
      <c r="Z179" s="199">
        <f t="shared" si="43"/>
        <v>1239.747616</v>
      </c>
      <c r="AA179" s="89"/>
      <c r="AB179" s="89"/>
      <c r="AC179" s="19"/>
      <c r="AD179" s="19"/>
      <c r="AE179" s="19"/>
      <c r="AF179" s="19"/>
      <c r="AG179" s="19"/>
      <c r="AH179" s="19"/>
    </row>
    <row r="180" ht="12.75" customHeight="1">
      <c r="A180" s="89"/>
      <c r="B180" s="92">
        <v>41487.0</v>
      </c>
      <c r="C180" s="199"/>
      <c r="D180" s="199"/>
      <c r="E180" s="199"/>
      <c r="F180" s="199"/>
      <c r="G180" s="199"/>
      <c r="H180" s="199"/>
      <c r="I180" s="199"/>
      <c r="J180" s="199"/>
      <c r="K180" s="199"/>
      <c r="L180" s="199"/>
      <c r="M180" s="199"/>
      <c r="N180" s="199"/>
      <c r="O180" s="199"/>
      <c r="P180" s="199"/>
      <c r="Q180" s="199"/>
      <c r="R180" s="199"/>
      <c r="S180" s="199"/>
      <c r="T180" s="199"/>
      <c r="U180" s="199">
        <f t="shared" ref="U180:Z180" si="44">U152*U$5</f>
        <v>7167.897604</v>
      </c>
      <c r="V180" s="199">
        <f t="shared" si="44"/>
        <v>2190.894191</v>
      </c>
      <c r="W180" s="199">
        <f t="shared" si="44"/>
        <v>1495.063313</v>
      </c>
      <c r="X180" s="199">
        <f t="shared" si="44"/>
        <v>1228.565234</v>
      </c>
      <c r="Y180" s="199">
        <f t="shared" si="44"/>
        <v>1445.349668</v>
      </c>
      <c r="Z180" s="199">
        <f t="shared" si="44"/>
        <v>1633.159875</v>
      </c>
      <c r="AA180" s="89"/>
      <c r="AB180" s="89"/>
      <c r="AC180" s="19"/>
      <c r="AD180" s="19"/>
      <c r="AE180" s="19"/>
      <c r="AF180" s="19"/>
      <c r="AG180" s="19"/>
      <c r="AH180" s="19"/>
    </row>
    <row r="181" ht="12.75" customHeight="1">
      <c r="A181" s="89"/>
      <c r="B181" s="92">
        <v>41518.0</v>
      </c>
      <c r="C181" s="199"/>
      <c r="D181" s="199"/>
      <c r="E181" s="199"/>
      <c r="F181" s="199"/>
      <c r="G181" s="199"/>
      <c r="H181" s="199"/>
      <c r="I181" s="199"/>
      <c r="J181" s="199"/>
      <c r="K181" s="199"/>
      <c r="L181" s="199"/>
      <c r="M181" s="199"/>
      <c r="N181" s="199"/>
      <c r="O181" s="199"/>
      <c r="P181" s="199"/>
      <c r="Q181" s="199"/>
      <c r="R181" s="199"/>
      <c r="S181" s="199"/>
      <c r="T181" s="199"/>
      <c r="U181" s="199"/>
      <c r="V181" s="199">
        <f t="shared" ref="V181:Z181" si="45">V153*V$5</f>
        <v>6940.563012</v>
      </c>
      <c r="W181" s="199">
        <f t="shared" si="45"/>
        <v>2102.664352</v>
      </c>
      <c r="X181" s="199">
        <f t="shared" si="45"/>
        <v>1397.593021</v>
      </c>
      <c r="Y181" s="199">
        <f t="shared" si="45"/>
        <v>1351.621411</v>
      </c>
      <c r="Z181" s="199">
        <f t="shared" si="45"/>
        <v>1402.597819</v>
      </c>
      <c r="AA181" s="89"/>
      <c r="AB181" s="89"/>
      <c r="AC181" s="19"/>
      <c r="AD181" s="19"/>
      <c r="AE181" s="19"/>
      <c r="AF181" s="19"/>
      <c r="AG181" s="19"/>
      <c r="AH181" s="19"/>
    </row>
    <row r="182" ht="12.75" customHeight="1">
      <c r="A182" s="89"/>
      <c r="B182" s="92">
        <v>41548.0</v>
      </c>
      <c r="C182" s="199"/>
      <c r="D182" s="199"/>
      <c r="E182" s="199"/>
      <c r="F182" s="199"/>
      <c r="G182" s="199"/>
      <c r="H182" s="199"/>
      <c r="I182" s="199"/>
      <c r="J182" s="199"/>
      <c r="K182" s="199"/>
      <c r="L182" s="199"/>
      <c r="M182" s="199"/>
      <c r="N182" s="199"/>
      <c r="O182" s="199"/>
      <c r="P182" s="199"/>
      <c r="Q182" s="199"/>
      <c r="R182" s="199"/>
      <c r="S182" s="199"/>
      <c r="T182" s="199"/>
      <c r="U182" s="199"/>
      <c r="V182" s="199"/>
      <c r="W182" s="199">
        <f t="shared" ref="W182:Z182" si="46">W154*W$5</f>
        <v>6995.830432</v>
      </c>
      <c r="X182" s="199">
        <f t="shared" si="46"/>
        <v>1770.595125</v>
      </c>
      <c r="Y182" s="199">
        <f t="shared" si="46"/>
        <v>1718.403665</v>
      </c>
      <c r="Z182" s="199">
        <f t="shared" si="46"/>
        <v>1347.367546</v>
      </c>
      <c r="AA182" s="89"/>
      <c r="AB182" s="89"/>
      <c r="AC182" s="19"/>
      <c r="AD182" s="19"/>
      <c r="AE182" s="19"/>
      <c r="AF182" s="19"/>
      <c r="AG182" s="19"/>
      <c r="AH182" s="19"/>
    </row>
    <row r="183" ht="12.75" customHeight="1">
      <c r="A183" s="89"/>
      <c r="B183" s="92">
        <v>41579.0</v>
      </c>
      <c r="C183" s="199"/>
      <c r="D183" s="199"/>
      <c r="E183" s="199"/>
      <c r="F183" s="199"/>
      <c r="G183" s="199"/>
      <c r="H183" s="199"/>
      <c r="I183" s="199"/>
      <c r="J183" s="199"/>
      <c r="K183" s="199"/>
      <c r="L183" s="199"/>
      <c r="M183" s="199"/>
      <c r="N183" s="199"/>
      <c r="O183" s="199"/>
      <c r="P183" s="199"/>
      <c r="Q183" s="199"/>
      <c r="R183" s="199"/>
      <c r="S183" s="199"/>
      <c r="T183" s="199"/>
      <c r="U183" s="199"/>
      <c r="V183" s="199"/>
      <c r="W183" s="199"/>
      <c r="X183" s="199">
        <f t="shared" ref="X183:Z183" si="47">X155*X$5</f>
        <v>6080.018969</v>
      </c>
      <c r="Y183" s="199">
        <f t="shared" si="47"/>
        <v>1994.962763</v>
      </c>
      <c r="Z183" s="199">
        <f t="shared" si="47"/>
        <v>1702.892356</v>
      </c>
      <c r="AA183" s="89"/>
      <c r="AB183" s="89"/>
      <c r="AC183" s="19"/>
      <c r="AD183" s="19"/>
      <c r="AE183" s="19"/>
      <c r="AF183" s="19"/>
      <c r="AG183" s="19"/>
      <c r="AH183" s="19"/>
    </row>
    <row r="184" ht="12.75" customHeight="1">
      <c r="A184" s="89"/>
      <c r="B184" s="92">
        <v>41609.0</v>
      </c>
      <c r="C184" s="199"/>
      <c r="D184" s="199"/>
      <c r="E184" s="199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99"/>
      <c r="T184" s="199"/>
      <c r="U184" s="199"/>
      <c r="V184" s="199"/>
      <c r="W184" s="199"/>
      <c r="X184" s="199"/>
      <c r="Y184" s="199">
        <f t="shared" ref="Y184:Z184" si="48">Y156*Y$5</f>
        <v>7090.724496</v>
      </c>
      <c r="Z184" s="199">
        <f t="shared" si="48"/>
        <v>2069.512682</v>
      </c>
      <c r="AA184" s="89"/>
      <c r="AB184" s="89"/>
      <c r="AC184" s="19"/>
      <c r="AD184" s="19"/>
      <c r="AE184" s="19"/>
      <c r="AF184" s="19"/>
      <c r="AG184" s="19"/>
      <c r="AH184" s="19"/>
    </row>
    <row r="185" ht="12.75" customHeight="1">
      <c r="A185" s="89"/>
      <c r="B185" s="92">
        <v>41640.0</v>
      </c>
      <c r="C185" s="199"/>
      <c r="D185" s="199"/>
      <c r="E185" s="199"/>
      <c r="F185" s="199"/>
      <c r="G185" s="199"/>
      <c r="H185" s="199"/>
      <c r="I185" s="199"/>
      <c r="J185" s="199"/>
      <c r="K185" s="199"/>
      <c r="L185" s="199"/>
      <c r="M185" s="199"/>
      <c r="N185" s="199"/>
      <c r="O185" s="199"/>
      <c r="P185" s="199"/>
      <c r="Q185" s="199"/>
      <c r="R185" s="199"/>
      <c r="S185" s="199"/>
      <c r="T185" s="199"/>
      <c r="U185" s="199"/>
      <c r="V185" s="199"/>
      <c r="W185" s="199"/>
      <c r="X185" s="199"/>
      <c r="Y185" s="199"/>
      <c r="Z185" s="199">
        <f>Z157*Z$5</f>
        <v>6943.992603</v>
      </c>
      <c r="AA185" s="89"/>
      <c r="AB185" s="89"/>
      <c r="AC185" s="19"/>
      <c r="AD185" s="19"/>
      <c r="AE185" s="19"/>
      <c r="AF185" s="19"/>
      <c r="AG185" s="19"/>
      <c r="AH185" s="19"/>
    </row>
    <row r="186" ht="12.75" customHeight="1">
      <c r="A186" s="89"/>
      <c r="B186" s="200"/>
      <c r="C186" s="199"/>
      <c r="D186" s="199"/>
      <c r="E186" s="199"/>
      <c r="F186" s="199"/>
      <c r="G186" s="199"/>
      <c r="H186" s="199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89"/>
      <c r="AB186" s="89"/>
      <c r="AC186" s="19"/>
      <c r="AD186" s="19"/>
      <c r="AE186" s="19"/>
      <c r="AF186" s="19"/>
      <c r="AG186" s="19"/>
      <c r="AH186" s="19"/>
    </row>
    <row r="187" ht="12.75" customHeight="1">
      <c r="A187" s="90" t="s">
        <v>111</v>
      </c>
      <c r="B187" s="200"/>
      <c r="C187" s="199">
        <f t="shared" ref="C187:Z187" si="49">SUM(C162:C185)</f>
        <v>3941.4375</v>
      </c>
      <c r="D187" s="199">
        <f t="shared" si="49"/>
        <v>5013.932435</v>
      </c>
      <c r="E187" s="199">
        <f t="shared" si="49"/>
        <v>5960.777494</v>
      </c>
      <c r="F187" s="199">
        <f t="shared" si="49"/>
        <v>6829.216302</v>
      </c>
      <c r="G187" s="199">
        <f t="shared" si="49"/>
        <v>7770.268525</v>
      </c>
      <c r="H187" s="199">
        <f t="shared" si="49"/>
        <v>8580.66636</v>
      </c>
      <c r="I187" s="199">
        <f t="shared" si="49"/>
        <v>9901.265261</v>
      </c>
      <c r="J187" s="199">
        <f t="shared" si="49"/>
        <v>11260.13011</v>
      </c>
      <c r="K187" s="199">
        <f t="shared" si="49"/>
        <v>12832.87004</v>
      </c>
      <c r="L187" s="199">
        <f t="shared" si="49"/>
        <v>13712.66956</v>
      </c>
      <c r="M187" s="199">
        <f t="shared" si="49"/>
        <v>14908.14004</v>
      </c>
      <c r="N187" s="199">
        <f t="shared" si="49"/>
        <v>15929.02078</v>
      </c>
      <c r="O187" s="199">
        <f t="shared" si="49"/>
        <v>16546.69336</v>
      </c>
      <c r="P187" s="199">
        <f t="shared" si="49"/>
        <v>18781.34307</v>
      </c>
      <c r="Q187" s="199">
        <f t="shared" si="49"/>
        <v>20285.48597</v>
      </c>
      <c r="R187" s="199">
        <f t="shared" si="49"/>
        <v>22749.1355</v>
      </c>
      <c r="S187" s="199">
        <f t="shared" si="49"/>
        <v>23949.6711</v>
      </c>
      <c r="T187" s="199">
        <f t="shared" si="49"/>
        <v>25058.99157</v>
      </c>
      <c r="U187" s="199">
        <f t="shared" si="49"/>
        <v>27104.7577</v>
      </c>
      <c r="V187" s="199">
        <f t="shared" si="49"/>
        <v>27239.32927</v>
      </c>
      <c r="W187" s="199">
        <f t="shared" si="49"/>
        <v>27907.45121</v>
      </c>
      <c r="X187" s="199">
        <f t="shared" si="49"/>
        <v>25630.72609</v>
      </c>
      <c r="Y187" s="199">
        <f t="shared" si="49"/>
        <v>30304.54714</v>
      </c>
      <c r="Z187" s="199">
        <f t="shared" si="49"/>
        <v>30914.42651</v>
      </c>
      <c r="AA187" s="89"/>
      <c r="AB187" s="89"/>
      <c r="AC187" s="19"/>
      <c r="AD187" s="19"/>
      <c r="AE187" s="19"/>
      <c r="AF187" s="19"/>
      <c r="AG187" s="19"/>
      <c r="AH187" s="19"/>
    </row>
    <row r="188" ht="12.75" customHeight="1">
      <c r="A188" s="89"/>
      <c r="B188" s="200"/>
      <c r="C188" s="199"/>
      <c r="D188" s="199"/>
      <c r="E188" s="199"/>
      <c r="F188" s="199"/>
      <c r="G188" s="199"/>
      <c r="H188" s="199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89"/>
      <c r="AB188" s="89"/>
      <c r="AC188" s="19"/>
      <c r="AD188" s="19"/>
      <c r="AE188" s="19"/>
      <c r="AF188" s="19"/>
      <c r="AG188" s="19"/>
      <c r="AH188" s="19"/>
    </row>
    <row r="189" ht="12.75" customHeight="1">
      <c r="A189" s="89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89"/>
      <c r="AB189" s="89"/>
      <c r="AC189" s="19"/>
      <c r="AD189" s="19"/>
      <c r="AE189" s="19"/>
      <c r="AF189" s="19"/>
      <c r="AG189" s="19"/>
      <c r="AH189" s="19"/>
    </row>
    <row r="190" ht="12.75" customHeight="1">
      <c r="A190" s="89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89"/>
      <c r="AB190" s="89"/>
      <c r="AC190" s="19"/>
      <c r="AD190" s="19"/>
      <c r="AE190" s="19"/>
      <c r="AF190" s="19"/>
      <c r="AG190" s="19"/>
      <c r="AH190" s="19"/>
    </row>
    <row r="191" ht="12.75" customHeight="1">
      <c r="A191" s="89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89"/>
      <c r="AB191" s="89"/>
      <c r="AC191" s="19"/>
      <c r="AD191" s="19"/>
      <c r="AE191" s="19"/>
      <c r="AF191" s="19"/>
      <c r="AG191" s="19"/>
      <c r="AH191" s="19"/>
    </row>
    <row r="192" ht="12.75" customHeight="1">
      <c r="A192" s="89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89"/>
      <c r="AB192" s="89"/>
      <c r="AC192" s="19"/>
      <c r="AD192" s="19"/>
      <c r="AE192" s="19"/>
      <c r="AF192" s="19"/>
      <c r="AG192" s="19"/>
      <c r="AH192" s="19"/>
    </row>
    <row r="193" ht="12.75" customHeight="1">
      <c r="A193" s="89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89"/>
      <c r="AB193" s="89"/>
      <c r="AC193" s="19"/>
      <c r="AD193" s="19"/>
      <c r="AE193" s="19"/>
      <c r="AF193" s="19"/>
      <c r="AG193" s="19"/>
      <c r="AH193" s="19"/>
    </row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B132:AH132"/>
    <mergeCell ref="AD36:AH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.0"/>
    <col customWidth="1" min="2" max="2" width="18.29"/>
    <col customWidth="1" min="3" max="8" width="7.43"/>
    <col customWidth="1" min="9" max="9" width="11.29"/>
    <col customWidth="1" min="10" max="31" width="7.43"/>
  </cols>
  <sheetData>
    <row r="1" ht="12.75" customHeight="1">
      <c r="A1" s="1" t="s">
        <v>57</v>
      </c>
      <c r="B1" s="1"/>
      <c r="C1" s="1"/>
      <c r="D1" s="1"/>
      <c r="E1" s="1"/>
      <c r="F1" s="93"/>
      <c r="G1" s="3"/>
      <c r="H1" s="6"/>
      <c r="I1" s="6"/>
      <c r="J1" s="6"/>
      <c r="K1" s="95"/>
      <c r="L1" s="3"/>
    </row>
    <row r="2" ht="12.75" customHeight="1">
      <c r="A2" s="8" t="str">
        <f>CLTV!A2</f>
        <v>For more information about this template, see www.startupdocs.se by Erik Byrenius. Latest update: 2015-12-03. See sheet "Summary" for more instructions.</v>
      </c>
      <c r="B2" s="8"/>
      <c r="C2" s="10"/>
      <c r="D2" s="10"/>
      <c r="E2" s="10"/>
      <c r="F2" s="10"/>
      <c r="G2" s="10"/>
      <c r="H2" s="10"/>
      <c r="I2" s="10"/>
      <c r="J2" s="10"/>
      <c r="K2" s="97"/>
      <c r="L2" s="10"/>
      <c r="M2" s="10"/>
      <c r="N2" s="10"/>
      <c r="O2" s="10"/>
    </row>
    <row r="3" ht="12.75" customHeight="1">
      <c r="A3" s="19"/>
      <c r="B3" s="11"/>
      <c r="C3" s="11"/>
      <c r="D3" s="11"/>
      <c r="E3" s="11"/>
      <c r="F3" s="11"/>
      <c r="G3" s="11"/>
      <c r="H3" s="11"/>
      <c r="I3" s="11"/>
      <c r="J3" s="11"/>
      <c r="K3" s="98"/>
    </row>
    <row r="4" ht="12.75" customHeight="1">
      <c r="A4" s="99"/>
      <c r="B4" s="11"/>
      <c r="C4" s="100" t="s">
        <v>59</v>
      </c>
      <c r="D4" s="101" t="s">
        <v>60</v>
      </c>
      <c r="E4" s="100" t="s">
        <v>62</v>
      </c>
      <c r="F4" s="100" t="s">
        <v>63</v>
      </c>
      <c r="G4" s="100" t="s">
        <v>64</v>
      </c>
      <c r="H4" s="11"/>
      <c r="I4" s="11" t="s">
        <v>65</v>
      </c>
      <c r="J4" s="11"/>
      <c r="K4" s="102" t="s">
        <v>66</v>
      </c>
      <c r="L4" s="11"/>
    </row>
    <row r="5" ht="12.75" customHeight="1">
      <c r="A5" s="99" t="s">
        <v>67</v>
      </c>
      <c r="B5" s="103"/>
      <c r="D5" s="105"/>
      <c r="E5" s="79"/>
      <c r="F5" s="106"/>
      <c r="G5" s="14"/>
      <c r="H5" s="79"/>
      <c r="I5" s="79"/>
      <c r="J5" s="106"/>
      <c r="K5" s="107">
        <v>5.0</v>
      </c>
    </row>
    <row r="6" ht="12.75" customHeight="1">
      <c r="B6" s="11" t="s">
        <v>69</v>
      </c>
      <c r="C6" s="108">
        <f t="shared" ref="C6:G6" si="1">INDIRECT(ADDRESS($K5, 6, , , "CAC "&amp;C$4))</f>
        <v>742</v>
      </c>
      <c r="D6" s="108">
        <f t="shared" si="1"/>
        <v>699</v>
      </c>
      <c r="E6" s="108">
        <f t="shared" si="1"/>
        <v>636</v>
      </c>
      <c r="F6" s="108">
        <f t="shared" si="1"/>
        <v>728</v>
      </c>
      <c r="G6" s="108">
        <f t="shared" si="1"/>
        <v>701</v>
      </c>
      <c r="H6" s="79"/>
      <c r="I6" s="79"/>
      <c r="J6" s="106"/>
      <c r="K6" s="109"/>
    </row>
    <row r="7" ht="12.75" customHeight="1">
      <c r="A7" s="66"/>
      <c r="B7" s="11" t="s">
        <v>70</v>
      </c>
      <c r="C7" s="108">
        <f t="shared" ref="C7:G7" si="2">INDIRECT(ADDRESS($K5, 9, , , "CAC "&amp;C$4))</f>
        <v>287</v>
      </c>
      <c r="D7" s="108">
        <f t="shared" si="2"/>
        <v>241</v>
      </c>
      <c r="E7" s="108">
        <f t="shared" si="2"/>
        <v>301</v>
      </c>
      <c r="F7" s="108">
        <f t="shared" si="2"/>
        <v>269</v>
      </c>
      <c r="G7" s="108">
        <f t="shared" si="2"/>
        <v>250</v>
      </c>
      <c r="H7" s="79"/>
      <c r="I7" s="79"/>
      <c r="J7" s="106"/>
      <c r="K7" s="109"/>
    </row>
    <row r="8" ht="12.75" customHeight="1">
      <c r="A8" s="66"/>
      <c r="B8" s="11" t="s">
        <v>71</v>
      </c>
      <c r="C8" s="110">
        <f t="shared" ref="C8:G8" si="3">INDIRECT(ADDRESS($K5, 7, , , "CAC "&amp;C$4))</f>
        <v>5.090026954</v>
      </c>
      <c r="D8" s="110">
        <f t="shared" si="3"/>
        <v>6.540379113</v>
      </c>
      <c r="E8" s="110">
        <f t="shared" si="3"/>
        <v>5.172059748</v>
      </c>
      <c r="F8" s="110">
        <f t="shared" si="3"/>
        <v>4.762087912</v>
      </c>
      <c r="G8" s="110">
        <f t="shared" si="3"/>
        <v>5.352154066</v>
      </c>
      <c r="H8" s="14"/>
      <c r="I8" s="14">
        <f>SUMPRODUCT(C6:G6,C8:G8)/SUM(C6:G6)</f>
        <v>5.378384199</v>
      </c>
      <c r="J8" s="111"/>
      <c r="K8" s="109"/>
    </row>
    <row r="9" ht="12.75" customHeight="1">
      <c r="A9" s="99" t="s">
        <v>72</v>
      </c>
      <c r="B9" s="103"/>
      <c r="D9" s="112"/>
      <c r="E9" s="113"/>
      <c r="F9" s="113"/>
      <c r="G9" s="114"/>
      <c r="H9" s="14"/>
      <c r="I9" s="14"/>
      <c r="J9" s="106"/>
      <c r="K9" s="107">
        <f>K5+1</f>
        <v>6</v>
      </c>
    </row>
    <row r="10" ht="12.75" customHeight="1">
      <c r="B10" s="11" t="s">
        <v>69</v>
      </c>
      <c r="C10" s="108">
        <f t="shared" ref="C10:G10" si="4">INDIRECT(ADDRESS($K9, 6, , , "CAC "&amp;C$4))</f>
        <v>498</v>
      </c>
      <c r="D10" s="108">
        <f t="shared" si="4"/>
        <v>467</v>
      </c>
      <c r="E10" s="108">
        <f t="shared" si="4"/>
        <v>363</v>
      </c>
      <c r="F10" s="108">
        <f t="shared" si="4"/>
        <v>422</v>
      </c>
      <c r="G10" s="108">
        <f t="shared" si="4"/>
        <v>484</v>
      </c>
      <c r="H10" s="14"/>
      <c r="I10" s="14"/>
      <c r="J10" s="106"/>
      <c r="K10" s="109"/>
    </row>
    <row r="11" ht="12.75" customHeight="1">
      <c r="A11" s="66"/>
      <c r="B11" s="11" t="s">
        <v>70</v>
      </c>
      <c r="C11" s="108">
        <f t="shared" ref="C11:G11" si="5">INDIRECT(ADDRESS($K9, 9, , , "CAC "&amp;C$4))</f>
        <v>315</v>
      </c>
      <c r="D11" s="108">
        <f t="shared" si="5"/>
        <v>176</v>
      </c>
      <c r="E11" s="108">
        <f t="shared" si="5"/>
        <v>192</v>
      </c>
      <c r="F11" s="108">
        <f t="shared" si="5"/>
        <v>198</v>
      </c>
      <c r="G11" s="108">
        <f t="shared" si="5"/>
        <v>196</v>
      </c>
      <c r="H11" s="14"/>
      <c r="I11" s="14"/>
      <c r="J11" s="106"/>
      <c r="K11" s="109"/>
    </row>
    <row r="12" ht="12.75" customHeight="1">
      <c r="A12" s="66"/>
      <c r="B12" s="11" t="s">
        <v>71</v>
      </c>
      <c r="C12" s="110">
        <f t="shared" ref="C12:G12" si="6">INDIRECT(ADDRESS($K9, 7, , , "CAC "&amp;C$4))</f>
        <v>0</v>
      </c>
      <c r="D12" s="110">
        <f t="shared" si="6"/>
        <v>0</v>
      </c>
      <c r="E12" s="110">
        <f t="shared" si="6"/>
        <v>0</v>
      </c>
      <c r="F12" s="110">
        <f t="shared" si="6"/>
        <v>0</v>
      </c>
      <c r="G12" s="110">
        <f t="shared" si="6"/>
        <v>0</v>
      </c>
      <c r="H12" s="14"/>
      <c r="I12" s="14">
        <f>SUMPRODUCT(C10:G10,C12:G12)/SUM(C10:G10)</f>
        <v>0</v>
      </c>
      <c r="J12" s="111"/>
      <c r="K12" s="109"/>
    </row>
    <row r="13" ht="12.75" customHeight="1">
      <c r="A13" s="99" t="s">
        <v>75</v>
      </c>
      <c r="B13" s="103"/>
      <c r="D13" s="112"/>
      <c r="E13" s="113"/>
      <c r="F13" s="113"/>
      <c r="G13" s="114"/>
      <c r="H13" s="14"/>
      <c r="I13" s="14"/>
      <c r="J13" s="106"/>
      <c r="K13" s="107">
        <f>K9+1</f>
        <v>7</v>
      </c>
    </row>
    <row r="14" ht="12.75" customHeight="1">
      <c r="B14" s="122" t="s">
        <v>69</v>
      </c>
      <c r="C14" s="108">
        <f t="shared" ref="C14:G14" si="7">INDIRECT(ADDRESS($K13, 6, , , "CAC "&amp;C$4))</f>
        <v>9</v>
      </c>
      <c r="D14" s="108">
        <f t="shared" si="7"/>
        <v>8</v>
      </c>
      <c r="E14" s="108">
        <f t="shared" si="7"/>
        <v>8</v>
      </c>
      <c r="F14" s="108">
        <f t="shared" si="7"/>
        <v>8</v>
      </c>
      <c r="G14" s="108">
        <f t="shared" si="7"/>
        <v>7</v>
      </c>
      <c r="H14" s="125"/>
      <c r="I14" s="125"/>
      <c r="J14" s="127"/>
      <c r="K14" s="128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</row>
    <row r="15" ht="12.75" customHeight="1">
      <c r="A15" s="66"/>
      <c r="B15" s="122" t="s">
        <v>70</v>
      </c>
      <c r="C15" s="108">
        <f t="shared" ref="C15:G15" si="8">INDIRECT(ADDRESS($K13, 9, , , "CAC "&amp;C$4))</f>
        <v>91</v>
      </c>
      <c r="D15" s="108">
        <f t="shared" si="8"/>
        <v>83</v>
      </c>
      <c r="E15" s="108">
        <f t="shared" si="8"/>
        <v>79</v>
      </c>
      <c r="F15" s="108">
        <f t="shared" si="8"/>
        <v>64</v>
      </c>
      <c r="G15" s="108">
        <f t="shared" si="8"/>
        <v>62</v>
      </c>
      <c r="H15" s="125"/>
      <c r="I15" s="125"/>
      <c r="J15" s="127"/>
      <c r="K15" s="128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</row>
    <row r="16" ht="12.75" customHeight="1">
      <c r="A16" s="66"/>
      <c r="B16" s="122" t="s">
        <v>71</v>
      </c>
      <c r="C16" s="110">
        <f t="shared" ref="C16:G16" si="9">INDIRECT(ADDRESS($K13, 7, , , "CAC "&amp;C$4))</f>
        <v>42.03733333</v>
      </c>
      <c r="D16" s="110">
        <f t="shared" si="9"/>
        <v>20.7225</v>
      </c>
      <c r="E16" s="110">
        <f t="shared" si="9"/>
        <v>28.17</v>
      </c>
      <c r="F16" s="110">
        <f t="shared" si="9"/>
        <v>42.10475</v>
      </c>
      <c r="G16" s="110">
        <f t="shared" si="9"/>
        <v>27.93942857</v>
      </c>
      <c r="H16" s="14"/>
      <c r="I16" s="14">
        <f>SUMPRODUCT(C14:G14,C16:G16)/SUM(C14:G14)</f>
        <v>32.54725</v>
      </c>
      <c r="J16" s="111"/>
      <c r="K16" s="128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</row>
    <row r="17" ht="12.75" customHeight="1">
      <c r="A17" s="99" t="s">
        <v>76</v>
      </c>
      <c r="B17" s="103"/>
      <c r="D17" s="112"/>
      <c r="E17" s="113"/>
      <c r="F17" s="113"/>
      <c r="G17" s="114"/>
      <c r="H17" s="14"/>
      <c r="I17" s="14"/>
      <c r="J17" s="106"/>
      <c r="K17" s="107">
        <f>K13+1</f>
        <v>8</v>
      </c>
    </row>
    <row r="18" ht="12.75" customHeight="1">
      <c r="B18" s="131" t="s">
        <v>69</v>
      </c>
      <c r="C18" s="108">
        <f t="shared" ref="C18:G18" si="10">INDIRECT(ADDRESS($K17, 6, , , "CAC "&amp;C$4))</f>
        <v>0</v>
      </c>
      <c r="D18" s="108">
        <f t="shared" si="10"/>
        <v>0</v>
      </c>
      <c r="E18" s="108">
        <f t="shared" si="10"/>
        <v>0</v>
      </c>
      <c r="F18" s="108">
        <f t="shared" si="10"/>
        <v>0</v>
      </c>
      <c r="G18" s="108">
        <f t="shared" si="10"/>
        <v>0</v>
      </c>
      <c r="H18" s="14"/>
      <c r="I18" s="14"/>
      <c r="J18" s="106"/>
      <c r="K18" s="128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</row>
    <row r="19" ht="12.75" customHeight="1">
      <c r="A19" s="66"/>
      <c r="B19" s="131" t="s">
        <v>70</v>
      </c>
      <c r="C19" s="108">
        <f t="shared" ref="C19:G19" si="11">INDIRECT(ADDRESS($K17, 9, , , "CAC "&amp;C$4))</f>
        <v>0</v>
      </c>
      <c r="D19" s="108">
        <f t="shared" si="11"/>
        <v>0</v>
      </c>
      <c r="E19" s="108">
        <f t="shared" si="11"/>
        <v>0</v>
      </c>
      <c r="F19" s="108">
        <f t="shared" si="11"/>
        <v>0</v>
      </c>
      <c r="G19" s="108">
        <f t="shared" si="11"/>
        <v>0</v>
      </c>
      <c r="H19" s="14"/>
      <c r="I19" s="14"/>
      <c r="J19" s="106"/>
      <c r="K19" s="128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</row>
    <row r="20" ht="12.75" customHeight="1">
      <c r="A20" s="66"/>
      <c r="B20" s="131" t="s">
        <v>71</v>
      </c>
      <c r="C20" s="110">
        <f t="shared" ref="C20:G20" si="12">INDIRECT(ADDRESS($K17, 7, , , "CAC "&amp;C$4))</f>
        <v>0</v>
      </c>
      <c r="D20" s="110">
        <f t="shared" si="12"/>
        <v>0</v>
      </c>
      <c r="E20" s="110">
        <f t="shared" si="12"/>
        <v>0</v>
      </c>
      <c r="F20" s="110">
        <f t="shared" si="12"/>
        <v>0</v>
      </c>
      <c r="G20" s="110">
        <f t="shared" si="12"/>
        <v>0</v>
      </c>
      <c r="H20" s="14"/>
      <c r="I20" s="14" t="str">
        <f>SUMPRODUCT(C18:G18,C20:G20)/SUM(C18:G18)</f>
        <v>#DIV/0!</v>
      </c>
      <c r="J20" s="111"/>
      <c r="K20" s="128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</row>
    <row r="21" ht="12.75" customHeight="1">
      <c r="A21" s="99" t="s">
        <v>77</v>
      </c>
      <c r="B21" s="103"/>
      <c r="D21" s="112"/>
      <c r="E21" s="113"/>
      <c r="F21" s="113"/>
      <c r="G21" s="114"/>
      <c r="H21" s="14"/>
      <c r="I21" s="14"/>
      <c r="J21" s="106"/>
      <c r="K21" s="107">
        <f>K17+1</f>
        <v>9</v>
      </c>
    </row>
    <row r="22" ht="12.75" customHeight="1">
      <c r="B22" s="131" t="s">
        <v>69</v>
      </c>
      <c r="C22" s="108">
        <f t="shared" ref="C22:G22" si="13">INDIRECT(ADDRESS($K21, 6, , , "CAC "&amp;C$4))</f>
        <v>112</v>
      </c>
      <c r="D22" s="108">
        <f t="shared" si="13"/>
        <v>149</v>
      </c>
      <c r="E22" s="108">
        <f t="shared" si="13"/>
        <v>128</v>
      </c>
      <c r="F22" s="108">
        <f t="shared" si="13"/>
        <v>132</v>
      </c>
      <c r="G22" s="108">
        <f t="shared" si="13"/>
        <v>135</v>
      </c>
      <c r="H22" s="14"/>
      <c r="I22" s="14"/>
      <c r="J22" s="127"/>
      <c r="K22" s="128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</row>
    <row r="23" ht="12.75" customHeight="1">
      <c r="A23" s="66"/>
      <c r="B23" s="131" t="s">
        <v>70</v>
      </c>
      <c r="C23" s="108">
        <f t="shared" ref="C23:G23" si="14">INDIRECT(ADDRESS($K21, 9, , , "CAC "&amp;C$4))</f>
        <v>73</v>
      </c>
      <c r="D23" s="108">
        <f t="shared" si="14"/>
        <v>77</v>
      </c>
      <c r="E23" s="108">
        <f t="shared" si="14"/>
        <v>80</v>
      </c>
      <c r="F23" s="108">
        <f t="shared" si="14"/>
        <v>96</v>
      </c>
      <c r="G23" s="108">
        <f t="shared" si="14"/>
        <v>81</v>
      </c>
      <c r="H23" s="14"/>
      <c r="I23" s="14"/>
      <c r="J23" s="127"/>
      <c r="K23" s="128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</row>
    <row r="24" ht="12.75" customHeight="1">
      <c r="A24" s="66"/>
      <c r="B24" s="131" t="s">
        <v>71</v>
      </c>
      <c r="C24" s="110">
        <f t="shared" ref="C24:G24" si="15">INDIRECT(ADDRESS($K21, 7, , , "CAC "&amp;C$4))</f>
        <v>3.669977679</v>
      </c>
      <c r="D24" s="110">
        <f t="shared" si="15"/>
        <v>2.554295302</v>
      </c>
      <c r="E24" s="110">
        <f t="shared" si="15"/>
        <v>2.637070313</v>
      </c>
      <c r="F24" s="110">
        <f t="shared" si="15"/>
        <v>2.247515152</v>
      </c>
      <c r="G24" s="110">
        <f t="shared" si="15"/>
        <v>2.725592593</v>
      </c>
      <c r="H24" s="14"/>
      <c r="I24" s="14">
        <f>SUMPRODUCT(C22:G22,C24:G24)/SUM(C22:G22)</f>
        <v>2.734450457</v>
      </c>
      <c r="J24" s="127"/>
      <c r="K24" s="128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</row>
    <row r="25" ht="12.75" customHeight="1">
      <c r="A25" s="99" t="s">
        <v>78</v>
      </c>
      <c r="B25" s="103"/>
      <c r="D25" s="112"/>
      <c r="E25" s="113"/>
      <c r="F25" s="113"/>
      <c r="G25" s="114"/>
      <c r="H25" s="14"/>
      <c r="I25" s="14"/>
      <c r="J25" s="106"/>
      <c r="K25" s="107">
        <f>K21+1</f>
        <v>10</v>
      </c>
    </row>
    <row r="26" ht="12.75" customHeight="1">
      <c r="B26" s="131" t="s">
        <v>69</v>
      </c>
      <c r="C26" s="108">
        <f t="shared" ref="C26:G26" si="16">INDIRECT(ADDRESS($K25, 6, , , "CAC "&amp;C$4))</f>
        <v>441</v>
      </c>
      <c r="D26" s="108">
        <f t="shared" si="16"/>
        <v>356</v>
      </c>
      <c r="E26" s="108">
        <f t="shared" si="16"/>
        <v>339</v>
      </c>
      <c r="F26" s="108">
        <f t="shared" si="16"/>
        <v>430</v>
      </c>
      <c r="G26" s="108">
        <f t="shared" si="16"/>
        <v>400</v>
      </c>
      <c r="H26" s="14"/>
      <c r="I26" s="14"/>
      <c r="J26" s="127"/>
      <c r="K26" s="128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</row>
    <row r="27" ht="12.75" customHeight="1">
      <c r="A27" s="66"/>
      <c r="B27" s="131" t="s">
        <v>70</v>
      </c>
      <c r="C27" s="108">
        <f t="shared" ref="C27:G27" si="17">INDIRECT(ADDRESS($K25, 9, , , "CAC "&amp;C$4))</f>
        <v>366</v>
      </c>
      <c r="D27" s="108">
        <f t="shared" si="17"/>
        <v>220</v>
      </c>
      <c r="E27" s="108">
        <f t="shared" si="17"/>
        <v>287</v>
      </c>
      <c r="F27" s="108">
        <f t="shared" si="17"/>
        <v>277</v>
      </c>
      <c r="G27" s="108">
        <f t="shared" si="17"/>
        <v>226</v>
      </c>
      <c r="H27" s="14"/>
      <c r="I27" s="14"/>
      <c r="J27" s="127"/>
      <c r="K27" s="128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</row>
    <row r="28" ht="12.75" customHeight="1">
      <c r="A28" s="66"/>
      <c r="B28" s="131" t="s">
        <v>71</v>
      </c>
      <c r="C28" s="110">
        <f t="shared" ref="C28:G28" si="18">INDIRECT(ADDRESS($K25, 7, , , "CAC "&amp;C$4))</f>
        <v>2.790238095</v>
      </c>
      <c r="D28" s="110">
        <f t="shared" si="18"/>
        <v>2.80293118</v>
      </c>
      <c r="E28" s="110">
        <f t="shared" si="18"/>
        <v>3.647535398</v>
      </c>
      <c r="F28" s="110">
        <f t="shared" si="18"/>
        <v>3.005647674</v>
      </c>
      <c r="G28" s="110">
        <f t="shared" si="18"/>
        <v>2.285055</v>
      </c>
      <c r="H28" s="14"/>
      <c r="I28" s="14">
        <f>SUMPRODUCT(C26:G26,C28:G28)/SUM(C26:G26)</f>
        <v>2.884691506</v>
      </c>
      <c r="J28" s="127"/>
      <c r="K28" s="128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</row>
    <row r="29" ht="12.75" customHeight="1">
      <c r="A29" s="99" t="s">
        <v>79</v>
      </c>
      <c r="B29" s="103"/>
      <c r="D29" s="112"/>
      <c r="E29" s="113"/>
      <c r="F29" s="113"/>
      <c r="G29" s="114"/>
      <c r="H29" s="14"/>
      <c r="I29" s="14"/>
      <c r="J29" s="106"/>
      <c r="K29" s="107">
        <f>K25+1</f>
        <v>11</v>
      </c>
    </row>
    <row r="30" ht="12.75" customHeight="1">
      <c r="B30" s="131" t="s">
        <v>69</v>
      </c>
      <c r="C30" s="108">
        <f t="shared" ref="C30:G30" si="19">INDIRECT(ADDRESS($K29, 6, , , "CAC "&amp;C$4))</f>
        <v>5</v>
      </c>
      <c r="D30" s="108">
        <f t="shared" si="19"/>
        <v>4</v>
      </c>
      <c r="E30" s="108">
        <f t="shared" si="19"/>
        <v>4</v>
      </c>
      <c r="F30" s="108">
        <f t="shared" si="19"/>
        <v>4</v>
      </c>
      <c r="G30" s="108">
        <f t="shared" si="19"/>
        <v>4</v>
      </c>
      <c r="H30" s="14"/>
      <c r="I30" s="14"/>
      <c r="J30" s="127"/>
      <c r="K30" s="128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</row>
    <row r="31" ht="12.75" customHeight="1">
      <c r="A31" s="66"/>
      <c r="B31" s="131" t="s">
        <v>70</v>
      </c>
      <c r="C31" s="108">
        <f t="shared" ref="C31:G31" si="20">INDIRECT(ADDRESS($K29, 9, , , "CAC "&amp;C$4))</f>
        <v>226</v>
      </c>
      <c r="D31" s="108">
        <f t="shared" si="20"/>
        <v>260</v>
      </c>
      <c r="E31" s="108">
        <f t="shared" si="20"/>
        <v>263</v>
      </c>
      <c r="F31" s="108">
        <f t="shared" si="20"/>
        <v>255</v>
      </c>
      <c r="G31" s="108">
        <f t="shared" si="20"/>
        <v>258</v>
      </c>
      <c r="H31" s="14"/>
      <c r="I31" s="14"/>
      <c r="J31" s="127"/>
      <c r="K31" s="128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</row>
    <row r="32" ht="12.75" customHeight="1">
      <c r="A32" s="66"/>
      <c r="B32" s="131" t="s">
        <v>71</v>
      </c>
      <c r="C32" s="110">
        <f t="shared" ref="C32:G32" si="21">INDIRECT(ADDRESS($K29, 7, , , "CAC "&amp;C$4))</f>
        <v>6.20144</v>
      </c>
      <c r="D32" s="110">
        <f t="shared" si="21"/>
        <v>26.2745</v>
      </c>
      <c r="E32" s="110">
        <f t="shared" si="21"/>
        <v>32.8517</v>
      </c>
      <c r="F32" s="110">
        <f t="shared" si="21"/>
        <v>20.504</v>
      </c>
      <c r="G32" s="110">
        <f t="shared" si="21"/>
        <v>3.08475</v>
      </c>
      <c r="H32" s="14"/>
      <c r="I32" s="14">
        <f>SUMPRODUCT(C30:G30,C32:G32)/SUM(C30:G30)</f>
        <v>17.2317619</v>
      </c>
      <c r="J32" s="127"/>
      <c r="K32" s="128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</row>
    <row r="33" ht="12.75" customHeight="1">
      <c r="A33" s="99" t="s">
        <v>80</v>
      </c>
      <c r="B33" s="103"/>
      <c r="D33" s="112"/>
      <c r="E33" s="113"/>
      <c r="F33" s="113"/>
      <c r="G33" s="114"/>
      <c r="H33" s="14"/>
      <c r="I33" s="14"/>
      <c r="J33" s="106"/>
      <c r="K33" s="107">
        <f>K29+1</f>
        <v>12</v>
      </c>
    </row>
    <row r="34" ht="12.75" customHeight="1">
      <c r="B34" s="131" t="s">
        <v>69</v>
      </c>
      <c r="C34" s="108">
        <f t="shared" ref="C34:G34" si="22">INDIRECT(ADDRESS($K33, 6, , , "CAC "&amp;C$4))</f>
        <v>11</v>
      </c>
      <c r="D34" s="108">
        <f t="shared" si="22"/>
        <v>14</v>
      </c>
      <c r="E34" s="108">
        <f t="shared" si="22"/>
        <v>14</v>
      </c>
      <c r="F34" s="108">
        <f t="shared" si="22"/>
        <v>14</v>
      </c>
      <c r="G34" s="108">
        <f t="shared" si="22"/>
        <v>11</v>
      </c>
      <c r="H34" s="14"/>
      <c r="I34" s="14"/>
      <c r="J34" s="127"/>
      <c r="K34" s="128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</row>
    <row r="35" ht="12.75" customHeight="1">
      <c r="A35" s="66"/>
      <c r="B35" s="131" t="s">
        <v>70</v>
      </c>
      <c r="C35" s="108">
        <f t="shared" ref="C35:G35" si="23">INDIRECT(ADDRESS($K33, 9, , , "CAC "&amp;C$4))</f>
        <v>9</v>
      </c>
      <c r="D35" s="108">
        <f t="shared" si="23"/>
        <v>10</v>
      </c>
      <c r="E35" s="108">
        <f t="shared" si="23"/>
        <v>9</v>
      </c>
      <c r="F35" s="108">
        <f t="shared" si="23"/>
        <v>10</v>
      </c>
      <c r="G35" s="108">
        <f t="shared" si="23"/>
        <v>8</v>
      </c>
      <c r="H35" s="14"/>
      <c r="I35" s="14"/>
      <c r="J35" s="127"/>
      <c r="K35" s="128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</row>
    <row r="36" ht="12.75" customHeight="1">
      <c r="A36" s="66"/>
      <c r="B36" s="131" t="s">
        <v>71</v>
      </c>
      <c r="C36" s="110">
        <f t="shared" ref="C36:G36" si="24">INDIRECT(ADDRESS($K33, 7, , , "CAC "&amp;C$4))</f>
        <v>8.240981818</v>
      </c>
      <c r="D36" s="110">
        <f t="shared" si="24"/>
        <v>5.321485714</v>
      </c>
      <c r="E36" s="110">
        <f t="shared" si="24"/>
        <v>6.34385</v>
      </c>
      <c r="F36" s="110">
        <f t="shared" si="24"/>
        <v>7.264821429</v>
      </c>
      <c r="G36" s="110">
        <f t="shared" si="24"/>
        <v>7.552709091</v>
      </c>
      <c r="H36" s="14"/>
      <c r="I36" s="14">
        <f>SUMPRODUCT(C34:G34,C36:G36)/SUM(C34:G34)</f>
        <v>6.8555125</v>
      </c>
      <c r="J36" s="127"/>
      <c r="K36" s="128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</row>
    <row r="37" ht="12.75" customHeight="1">
      <c r="A37" s="99" t="s">
        <v>81</v>
      </c>
      <c r="D37" s="112"/>
      <c r="E37" s="113"/>
      <c r="F37" s="113"/>
      <c r="G37" s="114"/>
      <c r="H37" s="14"/>
      <c r="I37" s="14"/>
      <c r="J37" s="106"/>
      <c r="K37" s="107">
        <f>K33+1</f>
        <v>13</v>
      </c>
    </row>
    <row r="38" ht="12.75" customHeight="1">
      <c r="B38" s="131" t="s">
        <v>69</v>
      </c>
      <c r="C38" s="108">
        <f t="shared" ref="C38:G38" si="25">INDIRECT(ADDRESS($K37, 6, , , "CAC "&amp;C$4))</f>
        <v>0</v>
      </c>
      <c r="D38" s="108">
        <f t="shared" si="25"/>
        <v>0</v>
      </c>
      <c r="E38" s="108">
        <f t="shared" si="25"/>
        <v>0</v>
      </c>
      <c r="F38" s="108">
        <f t="shared" si="25"/>
        <v>0</v>
      </c>
      <c r="G38" s="108">
        <f t="shared" si="25"/>
        <v>0</v>
      </c>
      <c r="H38" s="14"/>
      <c r="I38" s="14"/>
      <c r="J38" s="127"/>
      <c r="K38" s="128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</row>
    <row r="39" ht="12.75" customHeight="1">
      <c r="A39" s="66"/>
      <c r="B39" s="131" t="s">
        <v>70</v>
      </c>
      <c r="C39" s="108">
        <f t="shared" ref="C39:G39" si="26">INDIRECT(ADDRESS($K37, 9, , , "CAC "&amp;C$4))</f>
        <v>0</v>
      </c>
      <c r="D39" s="108">
        <f t="shared" si="26"/>
        <v>0</v>
      </c>
      <c r="E39" s="108">
        <f t="shared" si="26"/>
        <v>0</v>
      </c>
      <c r="F39" s="108">
        <f t="shared" si="26"/>
        <v>0</v>
      </c>
      <c r="G39" s="108">
        <f t="shared" si="26"/>
        <v>0</v>
      </c>
      <c r="H39" s="14"/>
      <c r="I39" s="14"/>
      <c r="J39" s="127"/>
      <c r="K39" s="128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</row>
    <row r="40" ht="12.75" customHeight="1">
      <c r="A40" s="66"/>
      <c r="B40" s="131" t="s">
        <v>71</v>
      </c>
      <c r="C40" s="110">
        <f t="shared" ref="C40:G40" si="27">INDIRECT(ADDRESS($K37, 7, , , "CAC "&amp;C$4))</f>
        <v>0</v>
      </c>
      <c r="D40" s="110">
        <f t="shared" si="27"/>
        <v>0</v>
      </c>
      <c r="E40" s="110">
        <f t="shared" si="27"/>
        <v>0</v>
      </c>
      <c r="F40" s="110">
        <f t="shared" si="27"/>
        <v>0</v>
      </c>
      <c r="G40" s="110">
        <f t="shared" si="27"/>
        <v>0</v>
      </c>
      <c r="H40" s="14"/>
      <c r="I40" s="14" t="str">
        <f>SUMPRODUCT(C38:G38,C40:G40)/SUM(C38:G38)</f>
        <v>#DIV/0!</v>
      </c>
      <c r="J40" s="127"/>
      <c r="K40" s="128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</row>
    <row r="41" ht="12.75" customHeight="1">
      <c r="A41" s="99" t="s">
        <v>82</v>
      </c>
      <c r="B41" s="103"/>
      <c r="D41" s="112"/>
      <c r="E41" s="113"/>
      <c r="F41" s="113"/>
      <c r="G41" s="114"/>
      <c r="H41" s="14"/>
      <c r="I41" s="14"/>
      <c r="J41" s="106"/>
      <c r="K41" s="107">
        <f>K37+1</f>
        <v>14</v>
      </c>
    </row>
    <row r="42" ht="12.75" customHeight="1">
      <c r="B42" s="131" t="s">
        <v>69</v>
      </c>
      <c r="C42" s="108">
        <f t="shared" ref="C42:G42" si="28">INDIRECT(ADDRESS($K41, 6, , , "CAC "&amp;C$4))</f>
        <v>116</v>
      </c>
      <c r="D42" s="108">
        <f t="shared" si="28"/>
        <v>145</v>
      </c>
      <c r="E42" s="108">
        <f t="shared" si="28"/>
        <v>147</v>
      </c>
      <c r="F42" s="108">
        <f t="shared" si="28"/>
        <v>122</v>
      </c>
      <c r="G42" s="108">
        <f t="shared" si="28"/>
        <v>102</v>
      </c>
      <c r="H42" s="14"/>
      <c r="I42" s="14"/>
      <c r="J42" s="127"/>
      <c r="K42" s="128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</row>
    <row r="43" ht="12.75" customHeight="1">
      <c r="A43" s="66"/>
      <c r="B43" s="131" t="s">
        <v>70</v>
      </c>
      <c r="C43" s="108">
        <f t="shared" ref="C43:G43" si="29">INDIRECT(ADDRESS($K41, 9, , , "CAC "&amp;C$4))</f>
        <v>78</v>
      </c>
      <c r="D43" s="108">
        <f t="shared" si="29"/>
        <v>79</v>
      </c>
      <c r="E43" s="108">
        <f t="shared" si="29"/>
        <v>89</v>
      </c>
      <c r="F43" s="108">
        <f t="shared" si="29"/>
        <v>108</v>
      </c>
      <c r="G43" s="108">
        <f t="shared" si="29"/>
        <v>74</v>
      </c>
      <c r="H43" s="14"/>
      <c r="I43" s="14"/>
      <c r="J43" s="127"/>
      <c r="K43" s="128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</row>
    <row r="44" ht="12.75" customHeight="1">
      <c r="A44" s="66"/>
      <c r="B44" s="131" t="s">
        <v>71</v>
      </c>
      <c r="C44" s="110">
        <f t="shared" ref="C44:G44" si="30">INDIRECT(ADDRESS($K41, 7, , , "CAC "&amp;C$4))</f>
        <v>5.817931034</v>
      </c>
      <c r="D44" s="110">
        <f t="shared" si="30"/>
        <v>5.02542069</v>
      </c>
      <c r="E44" s="110">
        <f t="shared" si="30"/>
        <v>3.78162585</v>
      </c>
      <c r="F44" s="110">
        <f t="shared" si="30"/>
        <v>5.061803279</v>
      </c>
      <c r="G44" s="110">
        <f t="shared" si="30"/>
        <v>5.762833333</v>
      </c>
      <c r="H44" s="14"/>
      <c r="I44" s="14">
        <f>SUMPRODUCT(C42:G42,C44:G44)/SUM(C42:G42)</f>
        <v>5.007617089</v>
      </c>
      <c r="J44" s="127"/>
      <c r="K44" s="128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</row>
    <row r="45" ht="12.75" customHeight="1">
      <c r="A45" s="19"/>
      <c r="B45" s="140"/>
      <c r="C45" s="113"/>
      <c r="D45" s="112"/>
      <c r="E45" s="113"/>
      <c r="F45" s="113"/>
      <c r="G45" s="114"/>
      <c r="H45" s="79"/>
      <c r="I45" s="79"/>
      <c r="J45" s="79"/>
      <c r="K45" s="109"/>
    </row>
    <row r="46" ht="12.75" customHeight="1">
      <c r="A46" s="142" t="s">
        <v>91</v>
      </c>
      <c r="B46" s="143"/>
      <c r="C46" s="146"/>
      <c r="D46" s="146"/>
      <c r="E46" s="149"/>
      <c r="F46" s="149"/>
      <c r="G46" s="151"/>
      <c r="H46" s="152"/>
      <c r="I46" s="152"/>
      <c r="J46" s="152"/>
      <c r="K46" s="154">
        <f>K41+2</f>
        <v>16</v>
      </c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</row>
    <row r="47" ht="12.75" customHeight="1">
      <c r="A47" s="156"/>
      <c r="B47" s="158" t="s">
        <v>69</v>
      </c>
      <c r="C47" s="159">
        <f t="shared" ref="C47:G47" si="31">INDIRECT(ADDRESS($K46, 6, , , "CAC "&amp;C$4))</f>
        <v>1934</v>
      </c>
      <c r="D47" s="159">
        <f t="shared" si="31"/>
        <v>1842</v>
      </c>
      <c r="E47" s="159">
        <f t="shared" si="31"/>
        <v>1639</v>
      </c>
      <c r="F47" s="159">
        <f t="shared" si="31"/>
        <v>1860</v>
      </c>
      <c r="G47" s="159">
        <f t="shared" si="31"/>
        <v>1844</v>
      </c>
      <c r="H47" s="161"/>
      <c r="I47" s="161"/>
      <c r="J47" s="162"/>
      <c r="K47" s="163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</row>
    <row r="48" ht="12.75" customHeight="1">
      <c r="A48" s="156"/>
      <c r="B48" s="158" t="s">
        <v>70</v>
      </c>
      <c r="C48" s="159">
        <f t="shared" ref="C48:G48" si="32">INDIRECT(ADDRESS($K46, 9, , , "CAC "&amp;C$4))</f>
        <v>1445</v>
      </c>
      <c r="D48" s="159">
        <f t="shared" si="32"/>
        <v>1146</v>
      </c>
      <c r="E48" s="159">
        <f t="shared" si="32"/>
        <v>1300</v>
      </c>
      <c r="F48" s="159">
        <f t="shared" si="32"/>
        <v>1277</v>
      </c>
      <c r="G48" s="159">
        <f t="shared" si="32"/>
        <v>1155</v>
      </c>
      <c r="H48" s="161"/>
      <c r="I48" s="161"/>
      <c r="J48" s="162"/>
      <c r="K48" s="163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</row>
    <row r="49" ht="12.75" customHeight="1">
      <c r="A49" s="156"/>
      <c r="B49" s="158" t="s">
        <v>71</v>
      </c>
      <c r="C49" s="165">
        <f t="shared" ref="C49:G49" si="33">INDIRECT(ADDRESS($K46, 7, , , "CAC "&amp;C$4))</f>
        <v>3.409103671</v>
      </c>
      <c r="D49" s="165">
        <f t="shared" si="33"/>
        <v>3.813367698</v>
      </c>
      <c r="E49" s="165">
        <f t="shared" si="33"/>
        <v>3.578382672</v>
      </c>
      <c r="F49" s="165">
        <f t="shared" si="33"/>
        <v>3.330108602</v>
      </c>
      <c r="G49" s="165">
        <f t="shared" si="33"/>
        <v>3.206421258</v>
      </c>
      <c r="H49" s="161"/>
      <c r="I49" s="153">
        <f>SUMPRODUCT(C47:G47,C49:G49)/SUM(C47:G47)</f>
        <v>3.464090558</v>
      </c>
      <c r="J49" s="162"/>
      <c r="K49" s="163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</row>
    <row r="50" ht="12.75" customHeight="1">
      <c r="A50" s="19"/>
      <c r="B50" s="140"/>
      <c r="C50" s="113"/>
      <c r="D50" s="112"/>
      <c r="E50" s="113"/>
      <c r="F50" s="113"/>
      <c r="G50" s="114"/>
      <c r="H50" s="79"/>
      <c r="I50" s="79"/>
      <c r="J50" s="79"/>
      <c r="K50" s="109"/>
    </row>
    <row r="51" ht="12.75" customHeight="1">
      <c r="A51" s="99" t="s">
        <v>96</v>
      </c>
      <c r="B51" s="103"/>
      <c r="D51" s="112"/>
      <c r="E51" s="113"/>
      <c r="F51" s="113"/>
      <c r="G51" s="114"/>
      <c r="H51" s="79"/>
      <c r="I51" s="79"/>
      <c r="J51" s="106"/>
      <c r="K51" s="107">
        <f>K46+2</f>
        <v>18</v>
      </c>
    </row>
    <row r="52" ht="12.75" customHeight="1">
      <c r="B52" s="131" t="s">
        <v>69</v>
      </c>
      <c r="C52" s="108">
        <f t="shared" ref="C52:G52" si="34">INDIRECT(ADDRESS($K51, 6, , , "CAC "&amp;C$4))</f>
        <v>87</v>
      </c>
      <c r="D52" s="108">
        <f t="shared" si="34"/>
        <v>95</v>
      </c>
      <c r="E52" s="108">
        <f t="shared" si="34"/>
        <v>124</v>
      </c>
      <c r="F52" s="108">
        <f t="shared" si="34"/>
        <v>131</v>
      </c>
      <c r="G52" s="108">
        <f t="shared" si="34"/>
        <v>98</v>
      </c>
      <c r="H52" s="14"/>
      <c r="I52" s="14"/>
      <c r="J52" s="127"/>
      <c r="K52" s="128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</row>
    <row r="53" ht="12.75" customHeight="1">
      <c r="A53" s="66"/>
      <c r="B53" s="131" t="s">
        <v>70</v>
      </c>
      <c r="C53" s="108">
        <f t="shared" ref="C53:G53" si="35">INDIRECT(ADDRESS($K51, 9, , , "CAC "&amp;C$4))</f>
        <v>345</v>
      </c>
      <c r="D53" s="108">
        <f t="shared" si="35"/>
        <v>413</v>
      </c>
      <c r="E53" s="108">
        <f t="shared" si="35"/>
        <v>501</v>
      </c>
      <c r="F53" s="108">
        <f t="shared" si="35"/>
        <v>499</v>
      </c>
      <c r="G53" s="108">
        <f t="shared" si="35"/>
        <v>416</v>
      </c>
      <c r="H53" s="14"/>
      <c r="I53" s="14"/>
      <c r="J53" s="127"/>
      <c r="K53" s="128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</row>
    <row r="54" ht="12.75" customHeight="1">
      <c r="A54" s="66"/>
      <c r="B54" s="131" t="s">
        <v>71</v>
      </c>
      <c r="C54" s="110">
        <f t="shared" ref="C54:G54" si="36">INDIRECT(ADDRESS($K51, 7, , , "CAC "&amp;C$4))</f>
        <v>0</v>
      </c>
      <c r="D54" s="110">
        <f t="shared" si="36"/>
        <v>0</v>
      </c>
      <c r="E54" s="110">
        <f t="shared" si="36"/>
        <v>0</v>
      </c>
      <c r="F54" s="110">
        <f t="shared" si="36"/>
        <v>0</v>
      </c>
      <c r="G54" s="110">
        <f t="shared" si="36"/>
        <v>0</v>
      </c>
      <c r="H54" s="14"/>
      <c r="I54" s="14">
        <f>SUMPRODUCT(C52:G52,C54:G54)/SUM(C52:G52)</f>
        <v>0</v>
      </c>
      <c r="J54" s="127"/>
      <c r="K54" s="128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</row>
    <row r="55" ht="12.75" customHeight="1">
      <c r="A55" s="99" t="s">
        <v>99</v>
      </c>
      <c r="B55" s="103"/>
      <c r="D55" s="113"/>
      <c r="E55" s="113"/>
      <c r="F55" s="113"/>
      <c r="G55" s="113"/>
      <c r="H55" s="79"/>
      <c r="I55" s="79"/>
      <c r="J55" s="106"/>
      <c r="K55" s="107">
        <f>K51+1</f>
        <v>19</v>
      </c>
    </row>
    <row r="56" ht="12.75" customHeight="1">
      <c r="B56" s="131" t="s">
        <v>69</v>
      </c>
      <c r="C56" s="108">
        <f t="shared" ref="C56:G56" si="37">INDIRECT(ADDRESS($K55, 6, , , "CAC "&amp;C$4))</f>
        <v>22</v>
      </c>
      <c r="D56" s="108">
        <f t="shared" si="37"/>
        <v>26</v>
      </c>
      <c r="E56" s="108">
        <f t="shared" si="37"/>
        <v>31</v>
      </c>
      <c r="F56" s="108">
        <f t="shared" si="37"/>
        <v>28</v>
      </c>
      <c r="G56" s="108">
        <f t="shared" si="37"/>
        <v>24</v>
      </c>
      <c r="H56" s="14"/>
      <c r="I56" s="14"/>
      <c r="J56" s="127"/>
      <c r="K56" s="128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</row>
    <row r="57" ht="12.75" customHeight="1">
      <c r="A57" s="66"/>
      <c r="B57" s="131" t="s">
        <v>70</v>
      </c>
      <c r="C57" s="108">
        <f t="shared" ref="C57:G57" si="38">INDIRECT(ADDRESS($K55, 9, , , "CAC "&amp;C$4))</f>
        <v>113</v>
      </c>
      <c r="D57" s="108">
        <f t="shared" si="38"/>
        <v>127</v>
      </c>
      <c r="E57" s="108">
        <f t="shared" si="38"/>
        <v>94</v>
      </c>
      <c r="F57" s="108">
        <f t="shared" si="38"/>
        <v>110</v>
      </c>
      <c r="G57" s="108">
        <f t="shared" si="38"/>
        <v>99</v>
      </c>
      <c r="H57" s="14"/>
      <c r="I57" s="14"/>
      <c r="J57" s="127"/>
      <c r="K57" s="128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</row>
    <row r="58" ht="12.75" customHeight="1">
      <c r="A58" s="66"/>
      <c r="B58" s="131" t="s">
        <v>71</v>
      </c>
      <c r="C58" s="110">
        <f t="shared" ref="C58:G58" si="39">INDIRECT(ADDRESS($K55, 7, , , "CAC "&amp;C$4))</f>
        <v>12.79204545</v>
      </c>
      <c r="D58" s="110">
        <f t="shared" si="39"/>
        <v>10.02946154</v>
      </c>
      <c r="E58" s="110">
        <f t="shared" si="39"/>
        <v>10.23016129</v>
      </c>
      <c r="F58" s="110">
        <f t="shared" si="39"/>
        <v>10.00639286</v>
      </c>
      <c r="G58" s="110">
        <f t="shared" si="39"/>
        <v>12.63666667</v>
      </c>
      <c r="H58" s="14"/>
      <c r="I58" s="14">
        <f>SUMPRODUCT(C56:G56,C58:G58)/SUM(C56:G56)</f>
        <v>11.01362595</v>
      </c>
      <c r="J58" s="127"/>
      <c r="K58" s="128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</row>
    <row r="59" ht="12.75" customHeight="1">
      <c r="A59" s="99" t="s">
        <v>104</v>
      </c>
      <c r="B59" s="103"/>
      <c r="D59" s="113"/>
      <c r="E59" s="113"/>
      <c r="F59" s="113"/>
      <c r="G59" s="113"/>
      <c r="H59" s="79"/>
      <c r="I59" s="79"/>
      <c r="J59" s="106"/>
      <c r="K59" s="107">
        <f>K55+1</f>
        <v>20</v>
      </c>
    </row>
    <row r="60" ht="12.75" customHeight="1">
      <c r="B60" s="131" t="s">
        <v>69</v>
      </c>
      <c r="C60" s="108">
        <f t="shared" ref="C60:G60" si="40">INDIRECT(ADDRESS($K59, 6, , , "CAC "&amp;C$4))</f>
        <v>357</v>
      </c>
      <c r="D60" s="108">
        <f t="shared" si="40"/>
        <v>380</v>
      </c>
      <c r="E60" s="108">
        <f t="shared" si="40"/>
        <v>283</v>
      </c>
      <c r="F60" s="108">
        <f t="shared" si="40"/>
        <v>327</v>
      </c>
      <c r="G60" s="108">
        <f t="shared" si="40"/>
        <v>373</v>
      </c>
      <c r="H60" s="14"/>
      <c r="I60" s="14"/>
      <c r="J60" s="127"/>
      <c r="K60" s="128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</row>
    <row r="61" ht="12.75" customHeight="1">
      <c r="A61" s="66"/>
      <c r="B61" s="131" t="s">
        <v>70</v>
      </c>
      <c r="C61" s="108">
        <f t="shared" ref="C61:G61" si="41">INDIRECT(ADDRESS($K59, 9, , , "CAC "&amp;C$4))</f>
        <v>3044</v>
      </c>
      <c r="D61" s="108">
        <f t="shared" si="41"/>
        <v>2492</v>
      </c>
      <c r="E61" s="108">
        <f t="shared" si="41"/>
        <v>2702</v>
      </c>
      <c r="F61" s="108">
        <f t="shared" si="41"/>
        <v>2940</v>
      </c>
      <c r="G61" s="108">
        <f t="shared" si="41"/>
        <v>3146</v>
      </c>
      <c r="H61" s="14"/>
      <c r="I61" s="14"/>
      <c r="J61" s="127"/>
      <c r="K61" s="128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</row>
    <row r="62" ht="12.75" customHeight="1">
      <c r="A62" s="66"/>
      <c r="B62" s="131" t="s">
        <v>71</v>
      </c>
      <c r="C62" s="110">
        <f t="shared" ref="C62:G62" si="42">INDIRECT(ADDRESS($K59, 7, , , "CAC "&amp;C$4))</f>
        <v>0</v>
      </c>
      <c r="D62" s="110">
        <f t="shared" si="42"/>
        <v>0</v>
      </c>
      <c r="E62" s="110">
        <f t="shared" si="42"/>
        <v>0</v>
      </c>
      <c r="F62" s="110">
        <f t="shared" si="42"/>
        <v>0</v>
      </c>
      <c r="G62" s="110">
        <f t="shared" si="42"/>
        <v>0</v>
      </c>
      <c r="H62" s="14"/>
      <c r="I62" s="14">
        <f>SUMPRODUCT(C60:G60,C62:G62)/SUM(C60:G60)</f>
        <v>0</v>
      </c>
      <c r="J62" s="127"/>
      <c r="K62" s="128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</row>
    <row r="63" ht="12.75" customHeight="1">
      <c r="A63" s="99" t="s">
        <v>102</v>
      </c>
      <c r="B63" s="103"/>
      <c r="D63" s="113"/>
      <c r="E63" s="113"/>
      <c r="F63" s="113"/>
      <c r="G63" s="113"/>
      <c r="H63" s="79"/>
      <c r="I63" s="79"/>
      <c r="J63" s="106"/>
      <c r="K63" s="107">
        <f>K59+1</f>
        <v>21</v>
      </c>
    </row>
    <row r="64" ht="12.75" customHeight="1">
      <c r="B64" s="131" t="s">
        <v>69</v>
      </c>
      <c r="C64" s="108">
        <f t="shared" ref="C64:G64" si="43">INDIRECT(ADDRESS($K63, 6, , , "CAC "&amp;C$4))</f>
        <v>0</v>
      </c>
      <c r="D64" s="108">
        <f t="shared" si="43"/>
        <v>0</v>
      </c>
      <c r="E64" s="108">
        <f t="shared" si="43"/>
        <v>0</v>
      </c>
      <c r="F64" s="108">
        <f t="shared" si="43"/>
        <v>0</v>
      </c>
      <c r="G64" s="108">
        <f t="shared" si="43"/>
        <v>0</v>
      </c>
      <c r="H64" s="14"/>
      <c r="I64" s="14"/>
      <c r="J64" s="127"/>
      <c r="K64" s="128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</row>
    <row r="65" ht="12.75" customHeight="1">
      <c r="A65" s="66"/>
      <c r="B65" s="131" t="s">
        <v>70</v>
      </c>
      <c r="C65" s="108">
        <f t="shared" ref="C65:G65" si="44">INDIRECT(ADDRESS($K63, 9, , , "CAC "&amp;C$4))</f>
        <v>0</v>
      </c>
      <c r="D65" s="108">
        <f t="shared" si="44"/>
        <v>0</v>
      </c>
      <c r="E65" s="108">
        <f t="shared" si="44"/>
        <v>0</v>
      </c>
      <c r="F65" s="108">
        <f t="shared" si="44"/>
        <v>0</v>
      </c>
      <c r="G65" s="108">
        <f t="shared" si="44"/>
        <v>0</v>
      </c>
      <c r="H65" s="14"/>
      <c r="I65" s="14"/>
      <c r="J65" s="127"/>
      <c r="K65" s="128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</row>
    <row r="66" ht="12.75" customHeight="1">
      <c r="A66" s="66"/>
      <c r="B66" s="131" t="s">
        <v>71</v>
      </c>
      <c r="C66" s="110">
        <f t="shared" ref="C66:G66" si="45">INDIRECT(ADDRESS($K63, 7, , , "CAC "&amp;C$4))</f>
        <v>0</v>
      </c>
      <c r="D66" s="110">
        <f t="shared" si="45"/>
        <v>0</v>
      </c>
      <c r="E66" s="110">
        <f t="shared" si="45"/>
        <v>0</v>
      </c>
      <c r="F66" s="110">
        <f t="shared" si="45"/>
        <v>0</v>
      </c>
      <c r="G66" s="110">
        <f t="shared" si="45"/>
        <v>0</v>
      </c>
      <c r="H66" s="14"/>
      <c r="I66" s="14" t="str">
        <f>SUMPRODUCT(C64:G64,C66:G66)/SUM(C64:G64)</f>
        <v>#DIV/0!</v>
      </c>
      <c r="J66" s="127"/>
      <c r="K66" s="128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</row>
    <row r="67" ht="12.75" customHeight="1">
      <c r="A67" s="19"/>
      <c r="B67" s="140"/>
      <c r="C67" s="113"/>
      <c r="D67" s="113"/>
      <c r="E67" s="113"/>
      <c r="F67" s="113"/>
      <c r="G67" s="113"/>
      <c r="H67" s="79"/>
      <c r="I67" s="79"/>
      <c r="J67" s="79"/>
      <c r="K67" s="109"/>
    </row>
    <row r="68" ht="12.75" customHeight="1">
      <c r="A68" s="142" t="s">
        <v>103</v>
      </c>
      <c r="B68" s="143"/>
      <c r="C68" s="146"/>
      <c r="D68" s="146"/>
      <c r="E68" s="149"/>
      <c r="F68" s="149"/>
      <c r="G68" s="151"/>
      <c r="H68" s="152"/>
      <c r="I68" s="152"/>
      <c r="J68" s="152"/>
      <c r="K68" s="154">
        <f>K63+2</f>
        <v>23</v>
      </c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</row>
    <row r="69" ht="12.75" customHeight="1">
      <c r="A69" s="156"/>
      <c r="B69" s="158" t="s">
        <v>69</v>
      </c>
      <c r="C69" s="159">
        <f t="shared" ref="C69:G69" si="46">INDIRECT(ADDRESS($K68, 6, , , "CAC "&amp;C$4))</f>
        <v>466</v>
      </c>
      <c r="D69" s="159">
        <f t="shared" si="46"/>
        <v>501</v>
      </c>
      <c r="E69" s="159">
        <f t="shared" si="46"/>
        <v>438</v>
      </c>
      <c r="F69" s="159">
        <f t="shared" si="46"/>
        <v>486</v>
      </c>
      <c r="G69" s="159">
        <f t="shared" si="46"/>
        <v>495</v>
      </c>
      <c r="H69" s="161"/>
      <c r="I69" s="161"/>
      <c r="J69" s="162"/>
      <c r="K69" s="163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</row>
    <row r="70" ht="12.75" customHeight="1">
      <c r="A70" s="156"/>
      <c r="B70" s="158" t="s">
        <v>70</v>
      </c>
      <c r="C70" s="159">
        <f t="shared" ref="C70:G70" si="47">INDIRECT(ADDRESS($K68, 9, , , "CAC "&amp;C$4))</f>
        <v>3502</v>
      </c>
      <c r="D70" s="159">
        <f t="shared" si="47"/>
        <v>3032</v>
      </c>
      <c r="E70" s="159">
        <f t="shared" si="47"/>
        <v>3297</v>
      </c>
      <c r="F70" s="159">
        <f t="shared" si="47"/>
        <v>3549</v>
      </c>
      <c r="G70" s="159">
        <f t="shared" si="47"/>
        <v>3661</v>
      </c>
      <c r="H70" s="161"/>
      <c r="I70" s="161"/>
      <c r="J70" s="162"/>
      <c r="K70" s="163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</row>
    <row r="71" ht="12.75" customHeight="1">
      <c r="A71" s="156"/>
      <c r="B71" s="158" t="s">
        <v>71</v>
      </c>
      <c r="C71" s="165">
        <f t="shared" ref="C71:G71" si="48">INDIRECT(ADDRESS($K68, 7, , , "CAC "&amp;C$4))</f>
        <v>0.603916309</v>
      </c>
      <c r="D71" s="165">
        <f t="shared" si="48"/>
        <v>0.520491018</v>
      </c>
      <c r="E71" s="165">
        <f t="shared" si="48"/>
        <v>0.7240525114</v>
      </c>
      <c r="F71" s="165">
        <f t="shared" si="48"/>
        <v>0.5765</v>
      </c>
      <c r="G71" s="165">
        <f t="shared" si="48"/>
        <v>0.6126868687</v>
      </c>
      <c r="H71" s="161"/>
      <c r="I71" s="153">
        <f>SUMPRODUCT(C69:G69,C71:G71)/SUM(C69:G69)</f>
        <v>0.6046877619</v>
      </c>
      <c r="J71" s="162"/>
      <c r="K71" s="163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  <c r="AA71" s="164"/>
      <c r="AB71" s="164"/>
      <c r="AC71" s="164"/>
      <c r="AD71" s="164"/>
      <c r="AE71" s="164"/>
    </row>
    <row r="72" ht="12.75" customHeight="1">
      <c r="A72" s="19"/>
      <c r="B72" s="140"/>
      <c r="C72" s="113"/>
      <c r="D72" s="112"/>
      <c r="E72" s="113"/>
      <c r="F72" s="113"/>
      <c r="G72" s="114"/>
      <c r="H72" s="79"/>
      <c r="I72" s="79"/>
      <c r="J72" s="79"/>
      <c r="K72" s="109"/>
    </row>
    <row r="73" ht="12.75" customHeight="1">
      <c r="A73" s="187" t="s">
        <v>105</v>
      </c>
      <c r="B73" s="178"/>
      <c r="C73" s="180"/>
      <c r="D73" s="180"/>
      <c r="E73" s="179"/>
      <c r="F73" s="179"/>
      <c r="G73" s="182"/>
      <c r="H73" s="179"/>
      <c r="I73" s="179"/>
      <c r="J73" s="179"/>
      <c r="K73" s="188">
        <f>K68+2</f>
        <v>25</v>
      </c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</row>
    <row r="74" ht="12.75" customHeight="1">
      <c r="A74" s="156"/>
      <c r="B74" s="190" t="s">
        <v>69</v>
      </c>
      <c r="C74" s="159">
        <f t="shared" ref="C74:G74" si="49">INDIRECT(ADDRESS($K73, 6, , , "CAC "&amp;C$4))</f>
        <v>2400</v>
      </c>
      <c r="D74" s="159">
        <f t="shared" si="49"/>
        <v>2343</v>
      </c>
      <c r="E74" s="159">
        <f t="shared" si="49"/>
        <v>2077</v>
      </c>
      <c r="F74" s="159">
        <f t="shared" si="49"/>
        <v>2346</v>
      </c>
      <c r="G74" s="159">
        <f t="shared" si="49"/>
        <v>2339</v>
      </c>
      <c r="H74" s="191"/>
      <c r="I74" s="191"/>
      <c r="J74" s="192"/>
      <c r="K74" s="193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</row>
    <row r="75" ht="12.75" customHeight="1">
      <c r="A75" s="156"/>
      <c r="B75" s="190" t="s">
        <v>70</v>
      </c>
      <c r="C75" s="159">
        <f t="shared" ref="C75:G75" si="50">INDIRECT(ADDRESS($K73, 9, , , "CAC "&amp;C$4))</f>
        <v>4947</v>
      </c>
      <c r="D75" s="159">
        <f t="shared" si="50"/>
        <v>4178</v>
      </c>
      <c r="E75" s="159">
        <f t="shared" si="50"/>
        <v>4597</v>
      </c>
      <c r="F75" s="159">
        <f t="shared" si="50"/>
        <v>4826</v>
      </c>
      <c r="G75" s="159">
        <f t="shared" si="50"/>
        <v>4816</v>
      </c>
      <c r="H75" s="191"/>
      <c r="I75" s="191"/>
      <c r="J75" s="192"/>
      <c r="K75" s="193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</row>
    <row r="76" ht="12.75" customHeight="1">
      <c r="A76" s="156"/>
      <c r="B76" s="190" t="s">
        <v>71</v>
      </c>
      <c r="C76" s="165">
        <f t="shared" ref="C76:G76" si="51">INDIRECT(ADDRESS($K73, 7, , , "CAC "&amp;C$4))</f>
        <v>2.864429792</v>
      </c>
      <c r="D76" s="165">
        <f t="shared" si="51"/>
        <v>3.109257064</v>
      </c>
      <c r="E76" s="165">
        <f t="shared" si="51"/>
        <v>2.97645845</v>
      </c>
      <c r="F76" s="165">
        <f t="shared" si="51"/>
        <v>2.759667945</v>
      </c>
      <c r="G76" s="165">
        <f t="shared" si="51"/>
        <v>2.657512099</v>
      </c>
      <c r="H76" s="191"/>
      <c r="I76" s="153">
        <f>SUMPRODUCT(C74:G74,C76:G76)/SUM(C74:G74)</f>
        <v>2.871084468</v>
      </c>
      <c r="J76" s="192"/>
      <c r="K76" s="193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</row>
    <row r="77" ht="12.75" customHeight="1">
      <c r="A77" s="66"/>
      <c r="K77" s="98"/>
    </row>
    <row r="78" ht="12.75" customHeight="1">
      <c r="A78" s="66"/>
      <c r="K78" s="98"/>
    </row>
    <row r="79" ht="12.75" customHeight="1">
      <c r="A79" s="66"/>
      <c r="K79" s="98"/>
    </row>
    <row r="80" ht="12.75" customHeight="1">
      <c r="A80" s="66"/>
      <c r="K80" s="98"/>
    </row>
    <row r="81" ht="12.75" customHeight="1">
      <c r="A81" s="66"/>
      <c r="K81" s="98"/>
    </row>
    <row r="82" ht="12.75" customHeight="1">
      <c r="A82" s="66"/>
      <c r="K82" s="98"/>
    </row>
    <row r="83" ht="12.75" customHeight="1">
      <c r="A83" s="66"/>
      <c r="K83" s="98"/>
    </row>
    <row r="84" ht="12.75" customHeight="1">
      <c r="A84" s="66"/>
      <c r="K84" s="98"/>
    </row>
    <row r="85" ht="12.75" customHeight="1">
      <c r="A85" s="66"/>
      <c r="K85" s="98"/>
    </row>
    <row r="86" ht="12.75" customHeight="1">
      <c r="A86" s="66"/>
      <c r="K86" s="98"/>
    </row>
    <row r="87" ht="12.75" customHeight="1">
      <c r="A87" s="66"/>
      <c r="K87" s="98"/>
    </row>
    <row r="88" ht="12.75" customHeight="1">
      <c r="A88" s="66"/>
      <c r="K88" s="98"/>
    </row>
    <row r="89" ht="12.75" customHeight="1">
      <c r="A89" s="66"/>
      <c r="K89" s="98"/>
    </row>
    <row r="90" ht="12.75" customHeight="1">
      <c r="A90" s="66"/>
      <c r="K90" s="98"/>
    </row>
    <row r="91" ht="12.75" customHeight="1">
      <c r="A91" s="66"/>
      <c r="K91" s="98"/>
    </row>
    <row r="92" ht="12.75" customHeight="1">
      <c r="A92" s="66"/>
      <c r="K92" s="98"/>
    </row>
    <row r="93" ht="12.75" customHeight="1">
      <c r="A93" s="66"/>
      <c r="K93" s="98"/>
    </row>
    <row r="94" ht="12.75" customHeight="1">
      <c r="A94" s="66"/>
      <c r="K94" s="98"/>
    </row>
    <row r="95" ht="12.75" customHeight="1">
      <c r="A95" s="66"/>
      <c r="K95" s="98"/>
    </row>
    <row r="96" ht="12.75" customHeight="1">
      <c r="A96" s="66"/>
      <c r="K96" s="98"/>
    </row>
    <row r="97" ht="12.75" customHeight="1">
      <c r="A97" s="66"/>
      <c r="K97" s="98"/>
    </row>
    <row r="98" ht="12.75" customHeight="1">
      <c r="A98" s="66"/>
      <c r="K98" s="98"/>
    </row>
    <row r="99" ht="12.75" customHeight="1">
      <c r="A99" s="66"/>
      <c r="K99" s="98"/>
    </row>
    <row r="100" ht="12.75" customHeight="1">
      <c r="A100" s="66"/>
      <c r="K100" s="98"/>
    </row>
    <row r="101" ht="12.75" customHeight="1">
      <c r="A101" s="66"/>
      <c r="K101" s="98"/>
    </row>
    <row r="102" ht="12.75" customHeight="1">
      <c r="A102" s="66"/>
      <c r="K102" s="98"/>
    </row>
    <row r="103" ht="12.75" customHeight="1">
      <c r="A103" s="66"/>
      <c r="K103" s="98"/>
    </row>
    <row r="104" ht="12.75" customHeight="1">
      <c r="A104" s="66"/>
      <c r="K104" s="98"/>
    </row>
    <row r="105" ht="12.75" customHeight="1">
      <c r="A105" s="66"/>
      <c r="K105" s="98"/>
    </row>
    <row r="106" ht="12.75" customHeight="1">
      <c r="A106" s="66"/>
      <c r="K106" s="98"/>
    </row>
    <row r="107" ht="12.75" customHeight="1">
      <c r="A107" s="66"/>
      <c r="K107" s="98"/>
    </row>
    <row r="108" ht="12.75" customHeight="1">
      <c r="A108" s="66"/>
      <c r="K108" s="98"/>
    </row>
    <row r="109" ht="12.75" customHeight="1">
      <c r="A109" s="66"/>
      <c r="K109" s="98"/>
    </row>
    <row r="110" ht="12.75" customHeight="1">
      <c r="A110" s="66"/>
      <c r="K110" s="98"/>
    </row>
    <row r="111" ht="12.75" customHeight="1">
      <c r="A111" s="66"/>
      <c r="K111" s="98"/>
    </row>
    <row r="112" ht="12.75" customHeight="1">
      <c r="A112" s="66"/>
      <c r="K112" s="98"/>
    </row>
    <row r="113" ht="12.75" customHeight="1">
      <c r="A113" s="66"/>
      <c r="K113" s="98"/>
    </row>
    <row r="114" ht="12.75" customHeight="1">
      <c r="A114" s="66"/>
      <c r="K114" s="98"/>
    </row>
    <row r="115" ht="12.75" customHeight="1">
      <c r="A115" s="66"/>
      <c r="K115" s="98"/>
    </row>
    <row r="116" ht="12.75" customHeight="1">
      <c r="A116" s="66"/>
      <c r="K116" s="98"/>
    </row>
    <row r="117" ht="12.75" customHeight="1">
      <c r="A117" s="66"/>
      <c r="K117" s="98"/>
    </row>
    <row r="118" ht="12.75" customHeight="1">
      <c r="A118" s="66"/>
      <c r="K118" s="98"/>
    </row>
    <row r="119" ht="12.75" customHeight="1">
      <c r="A119" s="66"/>
      <c r="K119" s="98"/>
    </row>
    <row r="120" ht="12.75" customHeight="1">
      <c r="A120" s="66"/>
      <c r="K120" s="98"/>
    </row>
    <row r="121" ht="12.75" customHeight="1">
      <c r="A121" s="66"/>
      <c r="K121" s="98"/>
    </row>
    <row r="122" ht="12.75" customHeight="1">
      <c r="A122" s="66"/>
      <c r="K122" s="98"/>
    </row>
    <row r="123" ht="12.75" customHeight="1">
      <c r="A123" s="66"/>
      <c r="K123" s="98"/>
    </row>
    <row r="124" ht="12.75" customHeight="1">
      <c r="A124" s="66"/>
      <c r="K124" s="98"/>
    </row>
    <row r="125" ht="12.75" customHeight="1">
      <c r="A125" s="66"/>
      <c r="K125" s="98"/>
    </row>
    <row r="126" ht="12.75" customHeight="1">
      <c r="A126" s="66"/>
      <c r="K126" s="98"/>
    </row>
    <row r="127" ht="12.75" customHeight="1">
      <c r="A127" s="66"/>
      <c r="K127" s="98"/>
    </row>
    <row r="128" ht="12.75" customHeight="1">
      <c r="A128" s="66"/>
      <c r="K128" s="98"/>
    </row>
    <row r="129" ht="12.75" customHeight="1">
      <c r="A129" s="66"/>
      <c r="K129" s="98"/>
    </row>
    <row r="130" ht="12.75" customHeight="1">
      <c r="A130" s="66"/>
      <c r="K130" s="98"/>
    </row>
    <row r="131" ht="12.75" customHeight="1">
      <c r="A131" s="66"/>
      <c r="K131" s="98"/>
    </row>
    <row r="132" ht="12.75" customHeight="1">
      <c r="A132" s="66"/>
      <c r="K132" s="98"/>
    </row>
    <row r="133" ht="12.75" customHeight="1">
      <c r="A133" s="66"/>
      <c r="K133" s="98"/>
    </row>
    <row r="134" ht="12.75" customHeight="1">
      <c r="A134" s="66"/>
      <c r="K134" s="98"/>
    </row>
    <row r="135" ht="12.75" customHeight="1">
      <c r="A135" s="66"/>
      <c r="K135" s="98"/>
    </row>
    <row r="136" ht="12.75" customHeight="1">
      <c r="A136" s="66"/>
      <c r="K136" s="98"/>
    </row>
    <row r="137" ht="12.75" customHeight="1">
      <c r="A137" s="66"/>
      <c r="K137" s="98"/>
    </row>
    <row r="138" ht="12.75" customHeight="1">
      <c r="A138" s="66"/>
      <c r="K138" s="98"/>
    </row>
    <row r="139" ht="12.75" customHeight="1">
      <c r="A139" s="66"/>
      <c r="K139" s="98"/>
    </row>
    <row r="140" ht="12.75" customHeight="1">
      <c r="A140" s="66"/>
      <c r="K140" s="98"/>
    </row>
    <row r="141" ht="12.75" customHeight="1">
      <c r="A141" s="66"/>
      <c r="K141" s="98"/>
    </row>
    <row r="142" ht="12.75" customHeight="1">
      <c r="A142" s="66"/>
      <c r="K142" s="98"/>
    </row>
    <row r="143" ht="12.75" customHeight="1">
      <c r="A143" s="66"/>
      <c r="K143" s="98"/>
    </row>
    <row r="144" ht="12.75" customHeight="1">
      <c r="A144" s="66"/>
      <c r="K144" s="98"/>
    </row>
    <row r="145" ht="12.75" customHeight="1">
      <c r="A145" s="66"/>
      <c r="K145" s="98"/>
    </row>
    <row r="146" ht="12.75" customHeight="1">
      <c r="A146" s="66"/>
      <c r="K146" s="98"/>
    </row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10" width="8.43"/>
    <col customWidth="1" min="11" max="30" width="17.29"/>
  </cols>
  <sheetData>
    <row r="1" ht="12.75" customHeight="1">
      <c r="A1" s="1" t="s">
        <v>83</v>
      </c>
      <c r="B1" s="133"/>
      <c r="C1" s="133"/>
      <c r="D1" s="133"/>
      <c r="E1" s="133"/>
      <c r="F1" s="134"/>
      <c r="G1" s="135"/>
      <c r="H1" s="58"/>
      <c r="I1" s="58"/>
      <c r="J1" s="135"/>
      <c r="K1" s="3"/>
    </row>
    <row r="2" ht="12.75" customHeight="1">
      <c r="A2" s="8" t="str">
        <f>CLTV!A2</f>
        <v>For more information about this template, see www.startupdocs.se by Erik Byrenius. Latest update: 2015-12-03. See sheet "Summary" for more instructions.</v>
      </c>
      <c r="B2" s="136"/>
      <c r="C2" s="136"/>
      <c r="D2" s="136"/>
      <c r="E2" s="136"/>
      <c r="F2" s="136"/>
      <c r="G2" s="136"/>
      <c r="H2" s="136"/>
      <c r="I2" s="136"/>
      <c r="J2" s="136"/>
      <c r="K2" s="10"/>
      <c r="L2" s="10"/>
      <c r="M2" s="10"/>
      <c r="N2" s="1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ht="12.75" customHeight="1">
      <c r="A4" s="48"/>
      <c r="B4" s="137" t="s">
        <v>39</v>
      </c>
      <c r="C4" s="137" t="s">
        <v>84</v>
      </c>
      <c r="D4" s="137" t="s">
        <v>85</v>
      </c>
      <c r="E4" s="137" t="s">
        <v>86</v>
      </c>
      <c r="F4" s="137" t="s">
        <v>87</v>
      </c>
      <c r="G4" s="137" t="s">
        <v>71</v>
      </c>
      <c r="H4" s="137" t="s">
        <v>88</v>
      </c>
      <c r="I4" s="137" t="s">
        <v>89</v>
      </c>
      <c r="J4" s="137" t="s">
        <v>90</v>
      </c>
    </row>
    <row r="5" ht="12.75" customHeight="1">
      <c r="A5" s="138" t="s">
        <v>67</v>
      </c>
      <c r="B5" s="139">
        <v>4721.0</v>
      </c>
      <c r="C5" s="141">
        <v>54465.0</v>
      </c>
      <c r="D5" s="144">
        <v>0.2</v>
      </c>
      <c r="E5" s="147">
        <f t="shared" ref="E5:E14" si="1">C5*(1-D5)</f>
        <v>43572</v>
      </c>
      <c r="F5" s="150">
        <v>742.0</v>
      </c>
      <c r="G5" s="153">
        <f t="shared" ref="G5:G14" si="2">IFERROR(B5*(1-D5)/F5, 0)</f>
        <v>5.090026954</v>
      </c>
      <c r="H5" s="147">
        <f t="shared" ref="H5:H14" si="3">C5*D5</f>
        <v>10893</v>
      </c>
      <c r="I5" s="150">
        <v>287.0</v>
      </c>
      <c r="J5" s="14">
        <f t="shared" ref="J5:J14" si="4">IFERROR(B5*D5/I5, 0)</f>
        <v>3.28989547</v>
      </c>
    </row>
    <row r="6" ht="12.75" customHeight="1">
      <c r="A6" s="46" t="s">
        <v>72</v>
      </c>
      <c r="B6" s="139">
        <v>0.0</v>
      </c>
      <c r="C6" s="106">
        <v>27201.0</v>
      </c>
      <c r="D6" s="105">
        <v>0.19</v>
      </c>
      <c r="E6" s="79">
        <f t="shared" si="1"/>
        <v>22032.81</v>
      </c>
      <c r="F6" s="157">
        <v>498.0</v>
      </c>
      <c r="G6" s="153">
        <f t="shared" si="2"/>
        <v>0</v>
      </c>
      <c r="H6" s="79">
        <f t="shared" si="3"/>
        <v>5168.19</v>
      </c>
      <c r="I6" s="157">
        <v>315.0</v>
      </c>
      <c r="J6" s="14">
        <f t="shared" si="4"/>
        <v>0</v>
      </c>
    </row>
    <row r="7" ht="12.75" customHeight="1">
      <c r="A7" s="46" t="s">
        <v>75</v>
      </c>
      <c r="B7" s="139">
        <v>2364.6</v>
      </c>
      <c r="C7" s="106">
        <v>3128.0</v>
      </c>
      <c r="D7" s="105">
        <v>0.84</v>
      </c>
      <c r="E7" s="79">
        <f t="shared" si="1"/>
        <v>500.48</v>
      </c>
      <c r="F7" s="157">
        <v>9.0</v>
      </c>
      <c r="G7" s="153">
        <f t="shared" si="2"/>
        <v>42.03733333</v>
      </c>
      <c r="H7" s="79">
        <f t="shared" si="3"/>
        <v>2627.52</v>
      </c>
      <c r="I7" s="157">
        <v>91.0</v>
      </c>
      <c r="J7" s="14">
        <f t="shared" si="4"/>
        <v>21.82707692</v>
      </c>
    </row>
    <row r="8" ht="12.75" customHeight="1">
      <c r="A8" s="46" t="s">
        <v>76</v>
      </c>
      <c r="B8" s="139">
        <v>0.0</v>
      </c>
      <c r="C8" s="106">
        <v>0.0</v>
      </c>
      <c r="D8" s="105">
        <v>0.0</v>
      </c>
      <c r="E8" s="79">
        <f t="shared" si="1"/>
        <v>0</v>
      </c>
      <c r="F8" s="157">
        <v>0.0</v>
      </c>
      <c r="G8" s="153">
        <f t="shared" si="2"/>
        <v>0</v>
      </c>
      <c r="H8" s="79">
        <f t="shared" si="3"/>
        <v>0</v>
      </c>
      <c r="I8" s="157">
        <v>0.0</v>
      </c>
      <c r="J8" s="14">
        <f t="shared" si="4"/>
        <v>0</v>
      </c>
    </row>
    <row r="9" ht="12.75" customHeight="1">
      <c r="A9" s="46" t="s">
        <v>77</v>
      </c>
      <c r="B9" s="139">
        <v>548.05</v>
      </c>
      <c r="C9" s="106">
        <v>8254.0</v>
      </c>
      <c r="D9" s="105">
        <v>0.25</v>
      </c>
      <c r="E9" s="79">
        <f t="shared" si="1"/>
        <v>6190.5</v>
      </c>
      <c r="F9" s="157">
        <v>112.0</v>
      </c>
      <c r="G9" s="153">
        <f t="shared" si="2"/>
        <v>3.669977679</v>
      </c>
      <c r="H9" s="79">
        <f t="shared" si="3"/>
        <v>2063.5</v>
      </c>
      <c r="I9" s="157">
        <v>73.0</v>
      </c>
      <c r="J9" s="14">
        <f t="shared" si="4"/>
        <v>1.876883562</v>
      </c>
    </row>
    <row r="10" ht="12.75" customHeight="1">
      <c r="A10" s="46" t="s">
        <v>78</v>
      </c>
      <c r="B10" s="139">
        <v>1757.85</v>
      </c>
      <c r="C10" s="106">
        <v>26838.0</v>
      </c>
      <c r="D10" s="105">
        <v>0.3</v>
      </c>
      <c r="E10" s="79">
        <f t="shared" si="1"/>
        <v>18786.6</v>
      </c>
      <c r="F10" s="157">
        <v>441.0</v>
      </c>
      <c r="G10" s="153">
        <f t="shared" si="2"/>
        <v>2.790238095</v>
      </c>
      <c r="H10" s="79">
        <f t="shared" si="3"/>
        <v>8051.4</v>
      </c>
      <c r="I10" s="157">
        <v>366.0</v>
      </c>
      <c r="J10" s="14">
        <f t="shared" si="4"/>
        <v>1.440860656</v>
      </c>
    </row>
    <row r="11" ht="12.75" customHeight="1">
      <c r="A11" s="46" t="s">
        <v>79</v>
      </c>
      <c r="B11" s="139">
        <v>387.59</v>
      </c>
      <c r="C11" s="106">
        <v>2103.0</v>
      </c>
      <c r="D11" s="105">
        <v>0.92</v>
      </c>
      <c r="E11" s="79">
        <f t="shared" si="1"/>
        <v>168.24</v>
      </c>
      <c r="F11" s="157">
        <v>5.0</v>
      </c>
      <c r="G11" s="153">
        <f t="shared" si="2"/>
        <v>6.20144</v>
      </c>
      <c r="H11" s="79">
        <f t="shared" si="3"/>
        <v>1934.76</v>
      </c>
      <c r="I11" s="157">
        <v>226.0</v>
      </c>
      <c r="J11" s="14">
        <f t="shared" si="4"/>
        <v>1.5778</v>
      </c>
    </row>
    <row r="12" ht="12.75" customHeight="1">
      <c r="A12" s="46" t="s">
        <v>80</v>
      </c>
      <c r="B12" s="139">
        <v>133.31</v>
      </c>
      <c r="C12" s="106">
        <v>1166.0</v>
      </c>
      <c r="D12" s="105">
        <v>0.32</v>
      </c>
      <c r="E12" s="79">
        <f t="shared" si="1"/>
        <v>792.88</v>
      </c>
      <c r="F12" s="157">
        <v>11.0</v>
      </c>
      <c r="G12" s="153">
        <f t="shared" si="2"/>
        <v>8.240981818</v>
      </c>
      <c r="H12" s="79">
        <f t="shared" si="3"/>
        <v>373.12</v>
      </c>
      <c r="I12" s="157">
        <v>9.0</v>
      </c>
      <c r="J12" s="14">
        <f t="shared" si="4"/>
        <v>4.739911111</v>
      </c>
    </row>
    <row r="13" ht="12.75" customHeight="1">
      <c r="A13" s="46" t="s">
        <v>81</v>
      </c>
      <c r="B13" s="139">
        <v>0.0</v>
      </c>
      <c r="C13" s="106">
        <v>0.0</v>
      </c>
      <c r="D13" s="105">
        <v>0.0</v>
      </c>
      <c r="E13" s="79">
        <f t="shared" si="1"/>
        <v>0</v>
      </c>
      <c r="F13" s="157">
        <v>0.0</v>
      </c>
      <c r="G13" s="153">
        <f t="shared" si="2"/>
        <v>0</v>
      </c>
      <c r="H13" s="79">
        <f t="shared" si="3"/>
        <v>0</v>
      </c>
      <c r="I13" s="157">
        <v>0.0</v>
      </c>
      <c r="J13" s="14">
        <f t="shared" si="4"/>
        <v>0</v>
      </c>
    </row>
    <row r="14" ht="12.75" customHeight="1">
      <c r="A14" s="46" t="s">
        <v>82</v>
      </c>
      <c r="B14" s="139">
        <v>888.0</v>
      </c>
      <c r="C14" s="106">
        <v>11766.0</v>
      </c>
      <c r="D14" s="105">
        <v>0.24</v>
      </c>
      <c r="E14" s="79">
        <f t="shared" si="1"/>
        <v>8942.16</v>
      </c>
      <c r="F14" s="157">
        <v>116.0</v>
      </c>
      <c r="G14" s="153">
        <f t="shared" si="2"/>
        <v>5.817931034</v>
      </c>
      <c r="H14" s="79">
        <f t="shared" si="3"/>
        <v>2823.84</v>
      </c>
      <c r="I14" s="157">
        <v>78.0</v>
      </c>
      <c r="J14" s="14">
        <f t="shared" si="4"/>
        <v>2.732307692</v>
      </c>
    </row>
    <row r="15" ht="12.75" customHeight="1">
      <c r="A15" s="46"/>
      <c r="B15" s="166"/>
      <c r="C15" s="79"/>
      <c r="D15" s="167"/>
      <c r="E15" s="79"/>
      <c r="F15" s="79"/>
      <c r="G15" s="14"/>
      <c r="H15" s="79"/>
      <c r="I15" s="79"/>
      <c r="J15" s="14"/>
    </row>
    <row r="16" ht="12.75" customHeight="1">
      <c r="A16" s="168" t="s">
        <v>91</v>
      </c>
      <c r="B16" s="169">
        <f t="shared" ref="B16:C16" si="5">SUM(B5:B14)</f>
        <v>10800.4</v>
      </c>
      <c r="C16" s="152">
        <f t="shared" si="5"/>
        <v>134921</v>
      </c>
      <c r="D16" s="170">
        <f>H16/C16</f>
        <v>0.2515200006</v>
      </c>
      <c r="E16" s="152">
        <f t="shared" ref="E16:F16" si="6">SUM(E5:E15)</f>
        <v>100985.67</v>
      </c>
      <c r="F16" s="172">
        <f t="shared" si="6"/>
        <v>1934</v>
      </c>
      <c r="G16" s="173">
        <f>SUMPRODUCT(G5:G14,F5:F14)/F16</f>
        <v>3.409103671</v>
      </c>
      <c r="H16" s="152">
        <f t="shared" ref="H16:I16" si="7">SUM(H5:H15)</f>
        <v>33935.33</v>
      </c>
      <c r="I16" s="172">
        <f t="shared" si="7"/>
        <v>1445</v>
      </c>
      <c r="J16" s="175">
        <f>SUMPRODUCT(J5:J14,I5:I14)/I16</f>
        <v>2.911552595</v>
      </c>
      <c r="K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ht="12.75" customHeight="1">
      <c r="A17" s="46"/>
      <c r="B17" s="166"/>
      <c r="C17" s="79"/>
      <c r="D17" s="167"/>
      <c r="E17" s="79"/>
      <c r="F17" s="79"/>
      <c r="G17" s="14"/>
      <c r="H17" s="79"/>
      <c r="I17" s="79"/>
      <c r="J17" s="14"/>
    </row>
    <row r="18" ht="12.75" customHeight="1">
      <c r="A18" s="46" t="s">
        <v>96</v>
      </c>
      <c r="B18" s="139">
        <v>0.0</v>
      </c>
      <c r="C18" s="106">
        <v>23770.0</v>
      </c>
      <c r="D18" s="105">
        <v>0.78</v>
      </c>
      <c r="E18" s="79">
        <f t="shared" ref="E18:E21" si="8">C18*(1-D18)</f>
        <v>5229.4</v>
      </c>
      <c r="F18" s="157">
        <v>87.0</v>
      </c>
      <c r="G18" s="153">
        <f t="shared" ref="G18:G21" si="9">IFERROR(B18*(1-D18)/F18, 0)</f>
        <v>0</v>
      </c>
      <c r="H18" s="79">
        <f t="shared" ref="H18:H21" si="10">C18*D18</f>
        <v>18540.6</v>
      </c>
      <c r="I18" s="157">
        <v>345.0</v>
      </c>
      <c r="J18" s="14">
        <f t="shared" ref="J18:J21" si="11">IFERROR(B18*D18/I18, 0)</f>
        <v>0</v>
      </c>
    </row>
    <row r="19" ht="12.75" customHeight="1">
      <c r="A19" s="46" t="s">
        <v>99</v>
      </c>
      <c r="B19" s="139">
        <v>1125.7</v>
      </c>
      <c r="C19" s="106">
        <v>5378.0</v>
      </c>
      <c r="D19" s="105">
        <v>0.75</v>
      </c>
      <c r="E19" s="79">
        <f t="shared" si="8"/>
        <v>1344.5</v>
      </c>
      <c r="F19" s="157">
        <v>22.0</v>
      </c>
      <c r="G19" s="153">
        <f t="shared" si="9"/>
        <v>12.79204545</v>
      </c>
      <c r="H19" s="79">
        <f t="shared" si="10"/>
        <v>4033.5</v>
      </c>
      <c r="I19" s="157">
        <v>113.0</v>
      </c>
      <c r="J19" s="14">
        <f t="shared" si="11"/>
        <v>7.471460177</v>
      </c>
    </row>
    <row r="20" ht="12.75" customHeight="1">
      <c r="A20" s="46" t="s">
        <v>101</v>
      </c>
      <c r="B20" s="139">
        <v>0.0</v>
      </c>
      <c r="C20" s="106">
        <v>101328.0</v>
      </c>
      <c r="D20" s="105">
        <v>0.92</v>
      </c>
      <c r="E20" s="79">
        <f t="shared" si="8"/>
        <v>8106.24</v>
      </c>
      <c r="F20" s="157">
        <v>357.0</v>
      </c>
      <c r="G20" s="153">
        <f t="shared" si="9"/>
        <v>0</v>
      </c>
      <c r="H20" s="79">
        <f t="shared" si="10"/>
        <v>93221.76</v>
      </c>
      <c r="I20" s="157">
        <v>3044.0</v>
      </c>
      <c r="J20" s="14">
        <f t="shared" si="11"/>
        <v>0</v>
      </c>
    </row>
    <row r="21" ht="12.75" customHeight="1">
      <c r="A21" s="46" t="s">
        <v>102</v>
      </c>
      <c r="B21" s="139">
        <v>0.0</v>
      </c>
      <c r="C21" s="106">
        <v>0.0</v>
      </c>
      <c r="D21" s="105">
        <v>0.0</v>
      </c>
      <c r="E21" s="79">
        <f t="shared" si="8"/>
        <v>0</v>
      </c>
      <c r="F21" s="157">
        <v>0.0</v>
      </c>
      <c r="G21" s="153">
        <f t="shared" si="9"/>
        <v>0</v>
      </c>
      <c r="H21" s="79">
        <f t="shared" si="10"/>
        <v>0</v>
      </c>
      <c r="I21" s="157">
        <v>0.0</v>
      </c>
      <c r="J21" s="14">
        <f t="shared" si="11"/>
        <v>0</v>
      </c>
    </row>
    <row r="22" ht="12.75" customHeight="1">
      <c r="A22" s="46"/>
      <c r="B22" s="166"/>
      <c r="C22" s="79"/>
      <c r="D22" s="167"/>
      <c r="E22" s="79"/>
      <c r="F22" s="79"/>
      <c r="G22" s="14"/>
      <c r="H22" s="79"/>
      <c r="I22" s="79"/>
      <c r="J22" s="14"/>
    </row>
    <row r="23" ht="12.75" customHeight="1">
      <c r="A23" s="168" t="s">
        <v>103</v>
      </c>
      <c r="B23" s="169">
        <f t="shared" ref="B23:C23" si="12">SUM(B17:B22)</f>
        <v>1125.7</v>
      </c>
      <c r="C23" s="152">
        <f t="shared" si="12"/>
        <v>130476</v>
      </c>
      <c r="D23" s="170">
        <f>H23/C23</f>
        <v>0.8874878139</v>
      </c>
      <c r="E23" s="152">
        <f t="shared" ref="E23:F23" si="13">SUM(E17:E22)</f>
        <v>14680.14</v>
      </c>
      <c r="F23" s="172">
        <f t="shared" si="13"/>
        <v>466</v>
      </c>
      <c r="G23" s="173">
        <f>SUMPRODUCT(G18:G21,F18:F21)/F23</f>
        <v>0.603916309</v>
      </c>
      <c r="H23" s="152">
        <f t="shared" ref="H23:I23" si="14">SUM(H17:H22)</f>
        <v>115795.86</v>
      </c>
      <c r="I23" s="172">
        <f t="shared" si="14"/>
        <v>3502</v>
      </c>
      <c r="J23" s="175">
        <f>SUMPRODUCT(J18:J21,I18:I21)/I23</f>
        <v>0.2410836665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ht="12.75" customHeight="1">
      <c r="A24" s="46"/>
      <c r="B24" s="166"/>
      <c r="C24" s="79"/>
      <c r="D24" s="167"/>
      <c r="E24" s="79"/>
      <c r="F24" s="79"/>
      <c r="G24" s="14"/>
      <c r="H24" s="79"/>
      <c r="I24" s="79"/>
      <c r="J24" s="14"/>
    </row>
    <row r="25" ht="12.75" customHeight="1">
      <c r="A25" s="177" t="s">
        <v>105</v>
      </c>
      <c r="B25" s="178">
        <f t="shared" ref="B25:C25" si="15">B23+B16</f>
        <v>11926.1</v>
      </c>
      <c r="C25" s="179">
        <f t="shared" si="15"/>
        <v>265397</v>
      </c>
      <c r="D25" s="180">
        <f>H25/C25</f>
        <v>0.5641781557</v>
      </c>
      <c r="E25" s="179">
        <f t="shared" ref="E25:F25" si="16">E23+E16</f>
        <v>115665.81</v>
      </c>
      <c r="F25" s="172">
        <f t="shared" si="16"/>
        <v>2400</v>
      </c>
      <c r="G25" s="181">
        <f>(G16*F16+G23*F23)/F25</f>
        <v>2.864429792</v>
      </c>
      <c r="H25" s="179">
        <f t="shared" ref="H25:I25" si="17">H23+H16</f>
        <v>149731.19</v>
      </c>
      <c r="I25" s="172">
        <f t="shared" si="17"/>
        <v>4947</v>
      </c>
      <c r="J25" s="182">
        <f>B25*D25/I25</f>
        <v>1.360106146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ht="12.75" customHeight="1">
      <c r="B26" s="183"/>
      <c r="C26" s="184"/>
      <c r="D26" s="183"/>
      <c r="E26" s="183"/>
      <c r="F26" s="183"/>
      <c r="G26" s="183"/>
      <c r="H26" s="183"/>
      <c r="I26" s="183"/>
      <c r="J26" s="183"/>
    </row>
    <row r="27" ht="12.75" customHeight="1">
      <c r="B27" s="183"/>
      <c r="C27" s="184"/>
      <c r="D27" s="183"/>
      <c r="E27" s="183"/>
      <c r="F27" s="183"/>
      <c r="G27" s="183"/>
      <c r="H27" s="183"/>
      <c r="I27" s="183"/>
      <c r="J27" s="183"/>
    </row>
    <row r="28" ht="12.75" customHeight="1">
      <c r="B28" s="183"/>
      <c r="C28" s="183"/>
      <c r="D28" s="183"/>
      <c r="E28" s="183"/>
      <c r="F28" s="183"/>
      <c r="G28" s="183"/>
      <c r="H28" s="183"/>
      <c r="I28" s="183"/>
      <c r="J28" s="183"/>
    </row>
    <row r="29" ht="12.75" customHeight="1">
      <c r="B29" s="183"/>
      <c r="C29" s="183"/>
      <c r="D29" s="183"/>
      <c r="E29" s="183"/>
      <c r="F29" s="183"/>
      <c r="G29" s="183"/>
      <c r="H29" s="183"/>
      <c r="I29" s="183"/>
      <c r="J29" s="183"/>
    </row>
    <row r="30" ht="12.75" customHeight="1">
      <c r="B30" s="183"/>
      <c r="C30" s="183"/>
      <c r="D30" s="183"/>
      <c r="E30" s="183"/>
      <c r="F30" s="183"/>
      <c r="G30" s="183"/>
      <c r="H30" s="183"/>
      <c r="I30" s="183"/>
      <c r="J30" s="183"/>
    </row>
    <row r="31" ht="12.75" customHeight="1">
      <c r="B31" s="183"/>
      <c r="C31" s="183"/>
      <c r="D31" s="183"/>
      <c r="E31" s="183"/>
      <c r="F31" s="183"/>
      <c r="G31" s="183"/>
      <c r="H31" s="183"/>
      <c r="I31" s="183"/>
      <c r="J31" s="183"/>
    </row>
    <row r="32" ht="12.75" customHeight="1">
      <c r="B32" s="183"/>
      <c r="C32" s="183"/>
      <c r="D32" s="183"/>
      <c r="E32" s="183"/>
      <c r="F32" s="183"/>
      <c r="G32" s="183"/>
      <c r="H32" s="183"/>
      <c r="I32" s="183"/>
      <c r="J32" s="183"/>
    </row>
    <row r="33" ht="12.75" customHeight="1">
      <c r="B33" s="183"/>
      <c r="C33" s="183"/>
      <c r="D33" s="183"/>
      <c r="E33" s="183"/>
      <c r="F33" s="183"/>
      <c r="G33" s="183"/>
      <c r="H33" s="183"/>
      <c r="I33" s="183"/>
      <c r="J33" s="183"/>
    </row>
    <row r="34" ht="12.75" customHeight="1">
      <c r="B34" s="183"/>
      <c r="C34" s="183"/>
      <c r="D34" s="183"/>
      <c r="E34" s="183"/>
      <c r="F34" s="183"/>
      <c r="G34" s="183"/>
      <c r="H34" s="183"/>
      <c r="I34" s="183"/>
      <c r="J34" s="183"/>
    </row>
    <row r="35" ht="12.75" customHeight="1">
      <c r="B35" s="183"/>
      <c r="C35" s="183"/>
      <c r="D35" s="183"/>
      <c r="E35" s="183"/>
      <c r="F35" s="183"/>
      <c r="G35" s="183"/>
      <c r="H35" s="183"/>
      <c r="I35" s="183"/>
      <c r="J35" s="183"/>
    </row>
    <row r="36" ht="12.75" customHeight="1">
      <c r="B36" s="183"/>
      <c r="C36" s="183"/>
      <c r="D36" s="183"/>
      <c r="E36" s="183"/>
      <c r="F36" s="183"/>
      <c r="G36" s="183"/>
      <c r="H36" s="183"/>
      <c r="I36" s="183"/>
      <c r="J36" s="183"/>
    </row>
    <row r="37" ht="12.75" customHeight="1">
      <c r="B37" s="183"/>
      <c r="C37" s="183"/>
      <c r="D37" s="183"/>
      <c r="E37" s="183"/>
      <c r="F37" s="183"/>
      <c r="G37" s="183"/>
      <c r="H37" s="183"/>
      <c r="I37" s="183"/>
      <c r="J37" s="183"/>
    </row>
    <row r="38" ht="12.75" customHeight="1">
      <c r="B38" s="183"/>
      <c r="C38" s="183"/>
      <c r="D38" s="183"/>
      <c r="E38" s="183"/>
      <c r="F38" s="183"/>
      <c r="G38" s="183"/>
      <c r="H38" s="183"/>
      <c r="I38" s="183"/>
      <c r="J38" s="183"/>
    </row>
    <row r="39" ht="12.75" customHeight="1">
      <c r="B39" s="183"/>
      <c r="C39" s="183"/>
      <c r="D39" s="183"/>
      <c r="E39" s="183"/>
      <c r="F39" s="183"/>
      <c r="G39" s="183"/>
      <c r="H39" s="183"/>
      <c r="I39" s="183"/>
      <c r="J39" s="183"/>
    </row>
    <row r="40" ht="12.75" customHeight="1">
      <c r="B40" s="183"/>
      <c r="C40" s="183"/>
      <c r="D40" s="183"/>
      <c r="E40" s="183"/>
      <c r="F40" s="183"/>
      <c r="G40" s="183"/>
      <c r="H40" s="183"/>
      <c r="I40" s="183"/>
      <c r="J40" s="183"/>
    </row>
    <row r="41" ht="12.75" customHeight="1">
      <c r="B41" s="183"/>
      <c r="C41" s="183"/>
      <c r="D41" s="183"/>
      <c r="E41" s="183"/>
      <c r="F41" s="183"/>
      <c r="G41" s="183"/>
      <c r="H41" s="183"/>
      <c r="I41" s="183"/>
      <c r="J41" s="183"/>
    </row>
    <row r="42" ht="12.75" customHeight="1">
      <c r="B42" s="183"/>
      <c r="C42" s="183"/>
      <c r="D42" s="183"/>
      <c r="E42" s="183"/>
      <c r="F42" s="183"/>
      <c r="G42" s="183"/>
      <c r="H42" s="183"/>
      <c r="I42" s="183"/>
      <c r="J42" s="183"/>
    </row>
    <row r="43" ht="12.75" customHeight="1">
      <c r="B43" s="183"/>
      <c r="C43" s="183"/>
      <c r="D43" s="183"/>
      <c r="E43" s="183"/>
      <c r="F43" s="183"/>
      <c r="G43" s="183"/>
      <c r="H43" s="183"/>
      <c r="I43" s="183"/>
      <c r="J43" s="183"/>
    </row>
    <row r="44" ht="12.75" customHeight="1">
      <c r="B44" s="183"/>
      <c r="C44" s="183"/>
      <c r="D44" s="183"/>
      <c r="E44" s="183"/>
      <c r="F44" s="183"/>
      <c r="G44" s="183"/>
      <c r="H44" s="183"/>
      <c r="I44" s="183"/>
      <c r="J44" s="183"/>
    </row>
    <row r="45" ht="12.75" customHeight="1">
      <c r="B45" s="183"/>
      <c r="C45" s="183"/>
      <c r="D45" s="183"/>
      <c r="E45" s="183"/>
      <c r="F45" s="183"/>
      <c r="G45" s="183"/>
      <c r="H45" s="183"/>
      <c r="I45" s="183"/>
      <c r="J45" s="183"/>
    </row>
    <row r="46" ht="12.75" customHeight="1">
      <c r="B46" s="183"/>
      <c r="C46" s="183"/>
      <c r="D46" s="183"/>
      <c r="E46" s="183"/>
      <c r="F46" s="183"/>
      <c r="G46" s="183"/>
      <c r="H46" s="183"/>
      <c r="I46" s="183"/>
      <c r="J46" s="183"/>
    </row>
    <row r="47" ht="12.75" customHeight="1">
      <c r="B47" s="183"/>
      <c r="C47" s="183"/>
      <c r="D47" s="183"/>
      <c r="E47" s="183"/>
      <c r="F47" s="183"/>
      <c r="G47" s="183"/>
      <c r="H47" s="183"/>
      <c r="I47" s="183"/>
      <c r="J47" s="183"/>
    </row>
    <row r="48" ht="12.75" customHeight="1">
      <c r="B48" s="183"/>
      <c r="C48" s="183"/>
      <c r="D48" s="183"/>
      <c r="E48" s="183"/>
      <c r="F48" s="183"/>
      <c r="G48" s="183"/>
      <c r="H48" s="183"/>
      <c r="I48" s="183"/>
      <c r="J48" s="183"/>
    </row>
    <row r="49" ht="12.75" customHeight="1">
      <c r="B49" s="183"/>
      <c r="C49" s="183"/>
      <c r="D49" s="183"/>
      <c r="E49" s="183"/>
      <c r="F49" s="183"/>
      <c r="G49" s="183"/>
      <c r="H49" s="183"/>
      <c r="I49" s="183"/>
      <c r="J49" s="183"/>
    </row>
    <row r="50" ht="12.75" customHeight="1">
      <c r="B50" s="183"/>
      <c r="C50" s="183"/>
      <c r="D50" s="183"/>
      <c r="E50" s="183"/>
      <c r="F50" s="183"/>
      <c r="G50" s="183"/>
      <c r="H50" s="183"/>
      <c r="I50" s="183"/>
      <c r="J50" s="183"/>
    </row>
    <row r="51" ht="12.75" customHeight="1">
      <c r="B51" s="183"/>
      <c r="C51" s="183"/>
      <c r="D51" s="183"/>
      <c r="E51" s="183"/>
      <c r="F51" s="183"/>
      <c r="G51" s="183"/>
      <c r="H51" s="183"/>
      <c r="I51" s="183"/>
      <c r="J51" s="183"/>
    </row>
    <row r="52" ht="12.75" customHeight="1">
      <c r="B52" s="183"/>
      <c r="C52" s="183"/>
      <c r="D52" s="183"/>
      <c r="E52" s="183"/>
      <c r="F52" s="183"/>
      <c r="G52" s="183"/>
      <c r="H52" s="183"/>
      <c r="I52" s="183"/>
      <c r="J52" s="183"/>
    </row>
    <row r="53" ht="12.75" customHeight="1">
      <c r="B53" s="183"/>
      <c r="C53" s="183"/>
      <c r="D53" s="183"/>
      <c r="E53" s="183"/>
      <c r="F53" s="183"/>
      <c r="G53" s="183"/>
      <c r="H53" s="183"/>
      <c r="I53" s="183"/>
      <c r="J53" s="183"/>
    </row>
    <row r="54" ht="12.75" customHeight="1">
      <c r="B54" s="183"/>
      <c r="C54" s="183"/>
      <c r="D54" s="183"/>
      <c r="E54" s="183"/>
      <c r="F54" s="183"/>
      <c r="G54" s="183"/>
      <c r="H54" s="183"/>
      <c r="I54" s="183"/>
      <c r="J54" s="183"/>
    </row>
    <row r="55" ht="12.75" customHeight="1">
      <c r="B55" s="183"/>
      <c r="C55" s="183"/>
      <c r="D55" s="183"/>
      <c r="E55" s="183"/>
      <c r="F55" s="183"/>
      <c r="G55" s="183"/>
      <c r="H55" s="183"/>
      <c r="I55" s="183"/>
      <c r="J55" s="183"/>
    </row>
    <row r="56" ht="12.75" customHeight="1">
      <c r="B56" s="183"/>
      <c r="C56" s="183"/>
      <c r="D56" s="183"/>
      <c r="E56" s="183"/>
      <c r="F56" s="183"/>
      <c r="G56" s="183"/>
      <c r="H56" s="183"/>
      <c r="I56" s="183"/>
      <c r="J56" s="183"/>
    </row>
    <row r="57" ht="12.75" customHeight="1">
      <c r="B57" s="183"/>
      <c r="C57" s="183"/>
      <c r="D57" s="183"/>
      <c r="E57" s="183"/>
      <c r="F57" s="183"/>
      <c r="G57" s="183"/>
      <c r="H57" s="183"/>
      <c r="I57" s="183"/>
      <c r="J57" s="183"/>
    </row>
    <row r="58" ht="12.75" customHeight="1">
      <c r="B58" s="183"/>
      <c r="C58" s="183"/>
      <c r="D58" s="183"/>
      <c r="E58" s="183"/>
      <c r="F58" s="183"/>
      <c r="G58" s="183"/>
      <c r="H58" s="183"/>
      <c r="I58" s="183"/>
      <c r="J58" s="183"/>
    </row>
    <row r="59" ht="12.75" customHeight="1">
      <c r="B59" s="183"/>
      <c r="C59" s="183"/>
      <c r="D59" s="183"/>
      <c r="E59" s="183"/>
      <c r="F59" s="183"/>
      <c r="G59" s="183"/>
      <c r="H59" s="183"/>
      <c r="I59" s="183"/>
      <c r="J59" s="183"/>
    </row>
    <row r="60" ht="12.75" customHeight="1">
      <c r="B60" s="183"/>
      <c r="C60" s="183"/>
      <c r="D60" s="183"/>
      <c r="E60" s="183"/>
      <c r="F60" s="183"/>
      <c r="G60" s="183"/>
      <c r="H60" s="183"/>
      <c r="I60" s="183"/>
      <c r="J60" s="183"/>
    </row>
    <row r="61" ht="12.75" customHeight="1">
      <c r="B61" s="183"/>
      <c r="C61" s="183"/>
      <c r="D61" s="183"/>
      <c r="E61" s="183"/>
      <c r="F61" s="183"/>
      <c r="G61" s="183"/>
      <c r="H61" s="183"/>
      <c r="I61" s="183"/>
      <c r="J61" s="183"/>
    </row>
    <row r="62" ht="12.75" customHeight="1">
      <c r="B62" s="183"/>
      <c r="C62" s="183"/>
      <c r="D62" s="183"/>
      <c r="E62" s="183"/>
      <c r="F62" s="183"/>
      <c r="G62" s="183"/>
      <c r="H62" s="183"/>
      <c r="I62" s="183"/>
      <c r="J62" s="183"/>
    </row>
    <row r="63" ht="12.75" customHeight="1">
      <c r="B63" s="183"/>
      <c r="C63" s="183"/>
      <c r="D63" s="183"/>
      <c r="E63" s="183"/>
      <c r="F63" s="183"/>
      <c r="G63" s="183"/>
      <c r="H63" s="183"/>
      <c r="I63" s="183"/>
      <c r="J63" s="183"/>
    </row>
    <row r="64" ht="12.75" customHeight="1">
      <c r="B64" s="183"/>
      <c r="C64" s="183"/>
      <c r="D64" s="183"/>
      <c r="E64" s="183"/>
      <c r="F64" s="183"/>
      <c r="G64" s="183"/>
      <c r="H64" s="183"/>
      <c r="I64" s="183"/>
      <c r="J64" s="183"/>
    </row>
    <row r="65" ht="12.75" customHeight="1">
      <c r="B65" s="183"/>
      <c r="C65" s="183"/>
      <c r="D65" s="183"/>
      <c r="E65" s="183"/>
      <c r="F65" s="183"/>
      <c r="G65" s="183"/>
      <c r="H65" s="183"/>
      <c r="I65" s="183"/>
      <c r="J65" s="183"/>
    </row>
    <row r="66" ht="12.75" customHeight="1">
      <c r="B66" s="183"/>
      <c r="C66" s="183"/>
      <c r="D66" s="183"/>
      <c r="E66" s="183"/>
      <c r="F66" s="183"/>
      <c r="G66" s="183"/>
      <c r="H66" s="183"/>
      <c r="I66" s="183"/>
      <c r="J66" s="183"/>
    </row>
    <row r="67" ht="12.75" customHeight="1">
      <c r="B67" s="183"/>
      <c r="C67" s="183"/>
      <c r="D67" s="183"/>
      <c r="E67" s="183"/>
      <c r="F67" s="183"/>
      <c r="G67" s="183"/>
      <c r="H67" s="183"/>
      <c r="I67" s="183"/>
      <c r="J67" s="183"/>
    </row>
    <row r="68" ht="12.75" customHeight="1">
      <c r="B68" s="183"/>
      <c r="C68" s="183"/>
      <c r="D68" s="183"/>
      <c r="E68" s="183"/>
      <c r="F68" s="183"/>
      <c r="G68" s="183"/>
      <c r="H68" s="183"/>
      <c r="I68" s="183"/>
      <c r="J68" s="183"/>
    </row>
    <row r="69" ht="12.75" customHeight="1">
      <c r="B69" s="183"/>
      <c r="C69" s="183"/>
      <c r="D69" s="183"/>
      <c r="E69" s="183"/>
      <c r="F69" s="183"/>
      <c r="G69" s="183"/>
      <c r="H69" s="183"/>
      <c r="I69" s="183"/>
      <c r="J69" s="183"/>
    </row>
    <row r="70" ht="12.75" customHeight="1">
      <c r="B70" s="183"/>
      <c r="C70" s="183"/>
      <c r="D70" s="183"/>
      <c r="E70" s="183"/>
      <c r="F70" s="183"/>
      <c r="G70" s="183"/>
      <c r="H70" s="183"/>
      <c r="I70" s="183"/>
      <c r="J70" s="183"/>
    </row>
    <row r="71" ht="12.75" customHeight="1">
      <c r="B71" s="183"/>
      <c r="C71" s="183"/>
      <c r="D71" s="183"/>
      <c r="E71" s="183"/>
      <c r="F71" s="183"/>
      <c r="G71" s="183"/>
      <c r="H71" s="183"/>
      <c r="I71" s="183"/>
      <c r="J71" s="183"/>
    </row>
    <row r="72" ht="12.75" customHeight="1">
      <c r="B72" s="183"/>
      <c r="C72" s="183"/>
      <c r="D72" s="183"/>
      <c r="E72" s="183"/>
      <c r="F72" s="183"/>
      <c r="G72" s="183"/>
      <c r="H72" s="183"/>
      <c r="I72" s="183"/>
      <c r="J72" s="183"/>
    </row>
    <row r="73" ht="12.75" customHeight="1">
      <c r="B73" s="183"/>
      <c r="C73" s="183"/>
      <c r="D73" s="183"/>
      <c r="E73" s="183"/>
      <c r="F73" s="183"/>
      <c r="G73" s="183"/>
      <c r="H73" s="183"/>
      <c r="I73" s="183"/>
      <c r="J73" s="183"/>
    </row>
    <row r="74" ht="12.75" customHeight="1">
      <c r="B74" s="183"/>
      <c r="C74" s="183"/>
      <c r="D74" s="183"/>
      <c r="E74" s="183"/>
      <c r="F74" s="183"/>
      <c r="G74" s="183"/>
      <c r="H74" s="183"/>
      <c r="I74" s="183"/>
      <c r="J74" s="183"/>
    </row>
    <row r="75" ht="12.75" customHeight="1">
      <c r="B75" s="183"/>
      <c r="C75" s="183"/>
      <c r="D75" s="183"/>
      <c r="E75" s="183"/>
      <c r="F75" s="183"/>
      <c r="G75" s="183"/>
      <c r="H75" s="183"/>
      <c r="I75" s="183"/>
      <c r="J75" s="183"/>
    </row>
    <row r="76" ht="12.75" customHeight="1">
      <c r="B76" s="183"/>
      <c r="C76" s="183"/>
      <c r="D76" s="183"/>
      <c r="E76" s="183"/>
      <c r="F76" s="183"/>
      <c r="G76" s="183"/>
      <c r="H76" s="183"/>
      <c r="I76" s="183"/>
      <c r="J76" s="183"/>
    </row>
    <row r="77" ht="12.75" customHeight="1">
      <c r="B77" s="183"/>
      <c r="C77" s="183"/>
      <c r="D77" s="183"/>
      <c r="E77" s="183"/>
      <c r="F77" s="183"/>
      <c r="G77" s="183"/>
      <c r="H77" s="183"/>
      <c r="I77" s="183"/>
      <c r="J77" s="183"/>
    </row>
    <row r="78" ht="12.75" customHeight="1">
      <c r="B78" s="183"/>
      <c r="C78" s="183"/>
      <c r="D78" s="183"/>
      <c r="E78" s="183"/>
      <c r="F78" s="183"/>
      <c r="G78" s="183"/>
      <c r="H78" s="183"/>
      <c r="I78" s="183"/>
      <c r="J78" s="183"/>
    </row>
    <row r="79" ht="12.75" customHeight="1">
      <c r="B79" s="183"/>
      <c r="C79" s="183"/>
      <c r="D79" s="183"/>
      <c r="E79" s="183"/>
      <c r="F79" s="183"/>
      <c r="G79" s="183"/>
      <c r="H79" s="183"/>
      <c r="I79" s="183"/>
      <c r="J79" s="183"/>
    </row>
    <row r="80" ht="12.75" customHeight="1">
      <c r="B80" s="183"/>
      <c r="C80" s="183"/>
      <c r="D80" s="183"/>
      <c r="E80" s="183"/>
      <c r="F80" s="183"/>
      <c r="G80" s="183"/>
      <c r="H80" s="183"/>
      <c r="I80" s="183"/>
      <c r="J80" s="183"/>
    </row>
    <row r="81" ht="12.75" customHeight="1">
      <c r="B81" s="183"/>
      <c r="C81" s="183"/>
      <c r="D81" s="183"/>
      <c r="E81" s="183"/>
      <c r="F81" s="183"/>
      <c r="G81" s="183"/>
      <c r="H81" s="183"/>
      <c r="I81" s="183"/>
      <c r="J81" s="183"/>
    </row>
    <row r="82" ht="12.75" customHeight="1">
      <c r="B82" s="183"/>
      <c r="C82" s="183"/>
      <c r="D82" s="183"/>
      <c r="E82" s="183"/>
      <c r="F82" s="183"/>
      <c r="G82" s="183"/>
      <c r="H82" s="183"/>
      <c r="I82" s="183"/>
      <c r="J82" s="183"/>
    </row>
    <row r="83" ht="12.75" customHeight="1">
      <c r="B83" s="183"/>
      <c r="C83" s="183"/>
      <c r="D83" s="183"/>
      <c r="E83" s="183"/>
      <c r="F83" s="183"/>
      <c r="G83" s="183"/>
      <c r="H83" s="183"/>
      <c r="I83" s="183"/>
      <c r="J83" s="183"/>
    </row>
    <row r="84" ht="12.75" customHeight="1">
      <c r="B84" s="183"/>
      <c r="C84" s="183"/>
      <c r="D84" s="183"/>
      <c r="E84" s="183"/>
      <c r="F84" s="183"/>
      <c r="G84" s="183"/>
      <c r="H84" s="183"/>
      <c r="I84" s="183"/>
      <c r="J84" s="183"/>
    </row>
    <row r="85" ht="12.75" customHeight="1">
      <c r="B85" s="183"/>
      <c r="C85" s="183"/>
      <c r="D85" s="183"/>
      <c r="E85" s="183"/>
      <c r="F85" s="183"/>
      <c r="G85" s="183"/>
      <c r="H85" s="183"/>
      <c r="I85" s="183"/>
      <c r="J85" s="183"/>
    </row>
    <row r="86" ht="12.75" customHeight="1">
      <c r="B86" s="183"/>
      <c r="C86" s="183"/>
      <c r="D86" s="183"/>
      <c r="E86" s="183"/>
      <c r="F86" s="183"/>
      <c r="G86" s="183"/>
      <c r="H86" s="183"/>
      <c r="I86" s="183"/>
      <c r="J86" s="183"/>
    </row>
    <row r="87" ht="12.75" customHeight="1">
      <c r="B87" s="183"/>
      <c r="C87" s="183"/>
      <c r="D87" s="183"/>
      <c r="E87" s="183"/>
      <c r="F87" s="183"/>
      <c r="G87" s="183"/>
      <c r="H87" s="183"/>
      <c r="I87" s="183"/>
      <c r="J87" s="183"/>
    </row>
    <row r="88" ht="12.75" customHeight="1">
      <c r="B88" s="183"/>
      <c r="C88" s="183"/>
      <c r="D88" s="183"/>
      <c r="E88" s="183"/>
      <c r="F88" s="183"/>
      <c r="G88" s="183"/>
      <c r="H88" s="183"/>
      <c r="I88" s="183"/>
      <c r="J88" s="183"/>
    </row>
    <row r="89" ht="12.75" customHeight="1">
      <c r="B89" s="183"/>
      <c r="C89" s="183"/>
      <c r="D89" s="183"/>
      <c r="E89" s="183"/>
      <c r="F89" s="183"/>
      <c r="G89" s="183"/>
      <c r="H89" s="183"/>
      <c r="I89" s="183"/>
      <c r="J89" s="183"/>
    </row>
    <row r="90" ht="12.75" customHeight="1">
      <c r="B90" s="183"/>
      <c r="C90" s="183"/>
      <c r="D90" s="183"/>
      <c r="E90" s="183"/>
      <c r="F90" s="183"/>
      <c r="G90" s="183"/>
      <c r="H90" s="183"/>
      <c r="I90" s="183"/>
      <c r="J90" s="183"/>
    </row>
    <row r="91" ht="12.75" customHeight="1">
      <c r="B91" s="183"/>
      <c r="C91" s="183"/>
      <c r="D91" s="183"/>
      <c r="E91" s="183"/>
      <c r="F91" s="183"/>
      <c r="G91" s="183"/>
      <c r="H91" s="183"/>
      <c r="I91" s="183"/>
      <c r="J91" s="183"/>
    </row>
    <row r="92" ht="12.75" customHeight="1">
      <c r="B92" s="183"/>
      <c r="C92" s="183"/>
      <c r="D92" s="183"/>
      <c r="E92" s="183"/>
      <c r="F92" s="183"/>
      <c r="G92" s="183"/>
      <c r="H92" s="183"/>
      <c r="I92" s="183"/>
      <c r="J92" s="183"/>
    </row>
    <row r="93" ht="12.75" customHeight="1">
      <c r="B93" s="183"/>
      <c r="C93" s="183"/>
      <c r="D93" s="183"/>
      <c r="E93" s="183"/>
      <c r="F93" s="183"/>
      <c r="G93" s="183"/>
      <c r="H93" s="183"/>
      <c r="I93" s="183"/>
      <c r="J93" s="183"/>
    </row>
    <row r="94" ht="12.75" customHeight="1">
      <c r="B94" s="183"/>
      <c r="C94" s="183"/>
      <c r="D94" s="183"/>
      <c r="E94" s="183"/>
      <c r="F94" s="183"/>
      <c r="G94" s="183"/>
      <c r="H94" s="183"/>
      <c r="I94" s="183"/>
      <c r="J94" s="183"/>
    </row>
    <row r="95" ht="12.75" customHeight="1">
      <c r="B95" s="183"/>
      <c r="C95" s="183"/>
      <c r="D95" s="183"/>
      <c r="E95" s="183"/>
      <c r="F95" s="183"/>
      <c r="G95" s="183"/>
      <c r="H95" s="183"/>
      <c r="I95" s="183"/>
      <c r="J95" s="183"/>
    </row>
    <row r="96" ht="12.75" customHeight="1">
      <c r="B96" s="183"/>
      <c r="C96" s="183"/>
      <c r="D96" s="183"/>
      <c r="E96" s="183"/>
      <c r="F96" s="183"/>
      <c r="G96" s="183"/>
      <c r="H96" s="183"/>
      <c r="I96" s="183"/>
      <c r="J96" s="183"/>
    </row>
    <row r="97" ht="12.75" customHeight="1">
      <c r="B97" s="183"/>
      <c r="C97" s="183"/>
      <c r="D97" s="183"/>
      <c r="E97" s="183"/>
      <c r="F97" s="183"/>
      <c r="G97" s="183"/>
      <c r="H97" s="183"/>
      <c r="I97" s="183"/>
      <c r="J97" s="183"/>
    </row>
    <row r="98" ht="12.75" customHeight="1">
      <c r="B98" s="183"/>
      <c r="C98" s="183"/>
      <c r="D98" s="183"/>
      <c r="E98" s="183"/>
      <c r="F98" s="183"/>
      <c r="G98" s="183"/>
      <c r="H98" s="183"/>
      <c r="I98" s="183"/>
      <c r="J98" s="183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10" width="8.43"/>
    <col customWidth="1" min="11" max="30" width="17.29"/>
  </cols>
  <sheetData>
    <row r="1" ht="12.75" customHeight="1">
      <c r="A1" s="1" t="s">
        <v>83</v>
      </c>
      <c r="B1" s="133"/>
      <c r="C1" s="133"/>
      <c r="D1" s="133"/>
      <c r="E1" s="133"/>
      <c r="F1" s="134"/>
      <c r="G1" s="135"/>
      <c r="H1" s="58"/>
      <c r="I1" s="58"/>
      <c r="J1" s="135"/>
      <c r="K1" s="3"/>
    </row>
    <row r="2" ht="12.75" customHeight="1">
      <c r="A2" s="8" t="str">
        <f>CLTV!A2</f>
        <v>For more information about this template, see www.startupdocs.se by Erik Byrenius. Latest update: 2015-12-03. See sheet "Summary" for more instructions.</v>
      </c>
      <c r="B2" s="136"/>
      <c r="C2" s="136"/>
      <c r="D2" s="136"/>
      <c r="E2" s="136"/>
      <c r="F2" s="136"/>
      <c r="G2" s="136"/>
      <c r="H2" s="136"/>
      <c r="I2" s="136"/>
      <c r="J2" s="136"/>
      <c r="K2" s="10"/>
      <c r="L2" s="10"/>
      <c r="M2" s="10"/>
      <c r="N2" s="1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ht="12.75" customHeight="1">
      <c r="A4" s="48"/>
      <c r="B4" s="137" t="s">
        <v>39</v>
      </c>
      <c r="C4" s="137" t="s">
        <v>84</v>
      </c>
      <c r="D4" s="137" t="s">
        <v>85</v>
      </c>
      <c r="E4" s="137" t="s">
        <v>86</v>
      </c>
      <c r="F4" s="137" t="s">
        <v>87</v>
      </c>
      <c r="G4" s="137" t="s">
        <v>71</v>
      </c>
      <c r="H4" s="137" t="s">
        <v>88</v>
      </c>
      <c r="I4" s="137" t="s">
        <v>89</v>
      </c>
      <c r="J4" s="137" t="s">
        <v>90</v>
      </c>
    </row>
    <row r="5" ht="12.75" customHeight="1">
      <c r="A5" s="138" t="s">
        <v>67</v>
      </c>
      <c r="B5" s="139">
        <v>5378.5</v>
      </c>
      <c r="C5" s="141">
        <v>49480.0</v>
      </c>
      <c r="D5" s="144">
        <v>0.15</v>
      </c>
      <c r="E5" s="147">
        <f t="shared" ref="E5:E14" si="1">C5*(1-D5)</f>
        <v>42058</v>
      </c>
      <c r="F5" s="150">
        <v>699.0</v>
      </c>
      <c r="G5" s="153">
        <f t="shared" ref="G5:G14" si="2">IFERROR(B5*(1-D5)/F5, 0)</f>
        <v>6.540379113</v>
      </c>
      <c r="H5" s="147">
        <f t="shared" ref="H5:H14" si="3">C5*D5</f>
        <v>7422</v>
      </c>
      <c r="I5" s="150">
        <v>241.0</v>
      </c>
      <c r="J5" s="14">
        <f t="shared" ref="J5:J14" si="4">IFERROR(B5*D5/I5, 0)</f>
        <v>3.347614108</v>
      </c>
    </row>
    <row r="6" ht="12.75" customHeight="1">
      <c r="A6" s="46" t="s">
        <v>72</v>
      </c>
      <c r="B6" s="139">
        <v>0.0</v>
      </c>
      <c r="C6" s="106">
        <v>33933.0</v>
      </c>
      <c r="D6" s="105">
        <v>0.17</v>
      </c>
      <c r="E6" s="79">
        <f t="shared" si="1"/>
        <v>28164.39</v>
      </c>
      <c r="F6" s="157">
        <v>467.0</v>
      </c>
      <c r="G6" s="153">
        <f t="shared" si="2"/>
        <v>0</v>
      </c>
      <c r="H6" s="79">
        <f t="shared" si="3"/>
        <v>5768.61</v>
      </c>
      <c r="I6" s="157">
        <v>176.0</v>
      </c>
      <c r="J6" s="14">
        <f t="shared" si="4"/>
        <v>0</v>
      </c>
    </row>
    <row r="7" ht="12.75" customHeight="1">
      <c r="A7" s="46" t="s">
        <v>75</v>
      </c>
      <c r="B7" s="139">
        <v>1657.8</v>
      </c>
      <c r="C7" s="106">
        <v>3210.0</v>
      </c>
      <c r="D7" s="105">
        <v>0.9</v>
      </c>
      <c r="E7" s="79">
        <f t="shared" si="1"/>
        <v>321</v>
      </c>
      <c r="F7" s="157">
        <v>8.0</v>
      </c>
      <c r="G7" s="153">
        <f t="shared" si="2"/>
        <v>20.7225</v>
      </c>
      <c r="H7" s="79">
        <f t="shared" si="3"/>
        <v>2889</v>
      </c>
      <c r="I7" s="157">
        <v>83.0</v>
      </c>
      <c r="J7" s="14">
        <f t="shared" si="4"/>
        <v>17.97614458</v>
      </c>
    </row>
    <row r="8" ht="12.75" customHeight="1">
      <c r="A8" s="46" t="s">
        <v>76</v>
      </c>
      <c r="B8" s="139">
        <v>0.0</v>
      </c>
      <c r="C8" s="106">
        <v>0.0</v>
      </c>
      <c r="D8" s="105">
        <v>0.0</v>
      </c>
      <c r="E8" s="79">
        <f t="shared" si="1"/>
        <v>0</v>
      </c>
      <c r="F8" s="157">
        <v>0.0</v>
      </c>
      <c r="G8" s="153">
        <f t="shared" si="2"/>
        <v>0</v>
      </c>
      <c r="H8" s="79">
        <f t="shared" si="3"/>
        <v>0</v>
      </c>
      <c r="I8" s="157">
        <v>0.0</v>
      </c>
      <c r="J8" s="14">
        <f t="shared" si="4"/>
        <v>0</v>
      </c>
    </row>
    <row r="9" ht="12.75" customHeight="1">
      <c r="A9" s="46" t="s">
        <v>77</v>
      </c>
      <c r="B9" s="139">
        <v>543.7</v>
      </c>
      <c r="C9" s="106">
        <v>8530.0</v>
      </c>
      <c r="D9" s="105">
        <v>0.3</v>
      </c>
      <c r="E9" s="79">
        <f t="shared" si="1"/>
        <v>5971</v>
      </c>
      <c r="F9" s="157">
        <v>149.0</v>
      </c>
      <c r="G9" s="153">
        <f t="shared" si="2"/>
        <v>2.554295302</v>
      </c>
      <c r="H9" s="79">
        <f t="shared" si="3"/>
        <v>2559</v>
      </c>
      <c r="I9" s="157">
        <v>77.0</v>
      </c>
      <c r="J9" s="14">
        <f t="shared" si="4"/>
        <v>2.118311688</v>
      </c>
    </row>
    <row r="10" ht="12.75" customHeight="1">
      <c r="A10" s="46" t="s">
        <v>78</v>
      </c>
      <c r="B10" s="139">
        <v>1446.15</v>
      </c>
      <c r="C10" s="106">
        <v>30258.0</v>
      </c>
      <c r="D10" s="105">
        <v>0.31</v>
      </c>
      <c r="E10" s="79">
        <f t="shared" si="1"/>
        <v>20878.02</v>
      </c>
      <c r="F10" s="157">
        <v>356.0</v>
      </c>
      <c r="G10" s="153">
        <f t="shared" si="2"/>
        <v>2.80293118</v>
      </c>
      <c r="H10" s="79">
        <f t="shared" si="3"/>
        <v>9379.98</v>
      </c>
      <c r="I10" s="157">
        <v>220.0</v>
      </c>
      <c r="J10" s="14">
        <f t="shared" si="4"/>
        <v>2.037756818</v>
      </c>
    </row>
    <row r="11" ht="12.75" customHeight="1">
      <c r="A11" s="46" t="s">
        <v>79</v>
      </c>
      <c r="B11" s="139">
        <v>375.35</v>
      </c>
      <c r="C11" s="106">
        <v>2224.0</v>
      </c>
      <c r="D11" s="105">
        <v>0.72</v>
      </c>
      <c r="E11" s="79">
        <f t="shared" si="1"/>
        <v>622.72</v>
      </c>
      <c r="F11" s="157">
        <v>4.0</v>
      </c>
      <c r="G11" s="153">
        <f t="shared" si="2"/>
        <v>26.2745</v>
      </c>
      <c r="H11" s="79">
        <f t="shared" si="3"/>
        <v>1601.28</v>
      </c>
      <c r="I11" s="157">
        <v>260.0</v>
      </c>
      <c r="J11" s="14">
        <f t="shared" si="4"/>
        <v>1.039430769</v>
      </c>
    </row>
    <row r="12" ht="12.75" customHeight="1">
      <c r="A12" s="46" t="s">
        <v>80</v>
      </c>
      <c r="B12" s="139">
        <v>109.56</v>
      </c>
      <c r="C12" s="106">
        <v>1104.0</v>
      </c>
      <c r="D12" s="105">
        <v>0.32</v>
      </c>
      <c r="E12" s="79">
        <f t="shared" si="1"/>
        <v>750.72</v>
      </c>
      <c r="F12" s="157">
        <v>14.0</v>
      </c>
      <c r="G12" s="153">
        <f t="shared" si="2"/>
        <v>5.321485714</v>
      </c>
      <c r="H12" s="79">
        <f t="shared" si="3"/>
        <v>353.28</v>
      </c>
      <c r="I12" s="157">
        <v>10.0</v>
      </c>
      <c r="J12" s="14">
        <f t="shared" si="4"/>
        <v>3.50592</v>
      </c>
    </row>
    <row r="13" ht="12.75" customHeight="1">
      <c r="A13" s="46" t="s">
        <v>81</v>
      </c>
      <c r="B13" s="139">
        <v>0.0</v>
      </c>
      <c r="C13" s="106">
        <v>0.0</v>
      </c>
      <c r="D13" s="105">
        <v>0.0</v>
      </c>
      <c r="E13" s="79">
        <f t="shared" si="1"/>
        <v>0</v>
      </c>
      <c r="F13" s="157">
        <v>0.0</v>
      </c>
      <c r="G13" s="153">
        <f t="shared" si="2"/>
        <v>0</v>
      </c>
      <c r="H13" s="79">
        <f t="shared" si="3"/>
        <v>0</v>
      </c>
      <c r="I13" s="157">
        <v>0.0</v>
      </c>
      <c r="J13" s="14">
        <f t="shared" si="4"/>
        <v>0</v>
      </c>
    </row>
    <row r="14" ht="12.75" customHeight="1">
      <c r="A14" s="46" t="s">
        <v>82</v>
      </c>
      <c r="B14" s="139">
        <v>998.2</v>
      </c>
      <c r="C14" s="106">
        <v>9978.0</v>
      </c>
      <c r="D14" s="105">
        <v>0.27</v>
      </c>
      <c r="E14" s="79">
        <f t="shared" si="1"/>
        <v>7283.94</v>
      </c>
      <c r="F14" s="157">
        <v>145.0</v>
      </c>
      <c r="G14" s="153">
        <f t="shared" si="2"/>
        <v>5.02542069</v>
      </c>
      <c r="H14" s="79">
        <f t="shared" si="3"/>
        <v>2694.06</v>
      </c>
      <c r="I14" s="157">
        <v>79.0</v>
      </c>
      <c r="J14" s="14">
        <f t="shared" si="4"/>
        <v>3.41156962</v>
      </c>
    </row>
    <row r="15" ht="12.75" customHeight="1">
      <c r="A15" s="46"/>
      <c r="B15" s="166"/>
      <c r="C15" s="79"/>
      <c r="D15" s="167"/>
      <c r="E15" s="79"/>
      <c r="F15" s="79"/>
      <c r="G15" s="14"/>
      <c r="H15" s="79"/>
      <c r="I15" s="79"/>
      <c r="J15" s="14"/>
    </row>
    <row r="16" ht="12.75" customHeight="1">
      <c r="A16" s="168" t="s">
        <v>91</v>
      </c>
      <c r="B16" s="169">
        <f t="shared" ref="B16:C16" si="5">SUM(B5:B14)</f>
        <v>10509.26</v>
      </c>
      <c r="C16" s="152">
        <f t="shared" si="5"/>
        <v>138717</v>
      </c>
      <c r="D16" s="170">
        <f>H16/C16</f>
        <v>0.2354953611</v>
      </c>
      <c r="E16" s="152">
        <f t="shared" ref="E16:F16" si="6">SUM(E5:E15)</f>
        <v>106049.79</v>
      </c>
      <c r="F16" s="172">
        <f t="shared" si="6"/>
        <v>1842</v>
      </c>
      <c r="G16" s="173">
        <f>SUMPRODUCT(G5:G14,F5:F14)/F16</f>
        <v>3.813367698</v>
      </c>
      <c r="H16" s="152">
        <f t="shared" ref="H16:I16" si="7">SUM(H5:H15)</f>
        <v>32667.21</v>
      </c>
      <c r="I16" s="172">
        <f t="shared" si="7"/>
        <v>1146</v>
      </c>
      <c r="J16" s="175">
        <f>SUMPRODUCT(J5:J14,I5:I14)/I16</f>
        <v>3.041044241</v>
      </c>
      <c r="K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ht="12.75" customHeight="1">
      <c r="A17" s="46"/>
      <c r="B17" s="166"/>
      <c r="C17" s="79"/>
      <c r="D17" s="167"/>
      <c r="E17" s="79"/>
      <c r="F17" s="79"/>
      <c r="G17" s="14"/>
      <c r="H17" s="79"/>
      <c r="I17" s="79"/>
      <c r="J17" s="14"/>
    </row>
    <row r="18" ht="12.75" customHeight="1">
      <c r="A18" s="46" t="s">
        <v>96</v>
      </c>
      <c r="B18" s="139">
        <v>0.0</v>
      </c>
      <c r="C18" s="106">
        <v>23832.0</v>
      </c>
      <c r="D18" s="105">
        <v>0.64</v>
      </c>
      <c r="E18" s="79">
        <f t="shared" ref="E18:E21" si="8">C18*(1-D18)</f>
        <v>8579.52</v>
      </c>
      <c r="F18" s="157">
        <v>95.0</v>
      </c>
      <c r="G18" s="153">
        <f t="shared" ref="G18:G21" si="9">IFERROR(B18*(1-D18)/F18, 0)</f>
        <v>0</v>
      </c>
      <c r="H18" s="79">
        <f t="shared" ref="H18:H21" si="10">C18*D18</f>
        <v>15252.48</v>
      </c>
      <c r="I18" s="157">
        <v>413.0</v>
      </c>
      <c r="J18" s="14">
        <f t="shared" ref="J18:J21" si="11">IFERROR(B18*D18/I18, 0)</f>
        <v>0</v>
      </c>
    </row>
    <row r="19" ht="12.75" customHeight="1">
      <c r="A19" s="46" t="s">
        <v>99</v>
      </c>
      <c r="B19" s="139">
        <v>1185.3</v>
      </c>
      <c r="C19" s="106">
        <v>5145.0</v>
      </c>
      <c r="D19" s="105">
        <v>0.78</v>
      </c>
      <c r="E19" s="79">
        <f t="shared" si="8"/>
        <v>1131.9</v>
      </c>
      <c r="F19" s="157">
        <v>26.0</v>
      </c>
      <c r="G19" s="153">
        <f t="shared" si="9"/>
        <v>10.02946154</v>
      </c>
      <c r="H19" s="79">
        <f t="shared" si="10"/>
        <v>4013.1</v>
      </c>
      <c r="I19" s="157">
        <v>127.0</v>
      </c>
      <c r="J19" s="14">
        <f t="shared" si="11"/>
        <v>7.279795276</v>
      </c>
    </row>
    <row r="20" ht="12.75" customHeight="1">
      <c r="A20" s="46" t="s">
        <v>101</v>
      </c>
      <c r="B20" s="139">
        <v>0.0</v>
      </c>
      <c r="C20" s="106">
        <v>114408.0</v>
      </c>
      <c r="D20" s="105">
        <v>0.9</v>
      </c>
      <c r="E20" s="79">
        <f t="shared" si="8"/>
        <v>11440.8</v>
      </c>
      <c r="F20" s="157">
        <v>380.0</v>
      </c>
      <c r="G20" s="153">
        <f t="shared" si="9"/>
        <v>0</v>
      </c>
      <c r="H20" s="79">
        <f t="shared" si="10"/>
        <v>102967.2</v>
      </c>
      <c r="I20" s="157">
        <v>2492.0</v>
      </c>
      <c r="J20" s="14">
        <f t="shared" si="11"/>
        <v>0</v>
      </c>
    </row>
    <row r="21" ht="12.75" customHeight="1">
      <c r="A21" s="46" t="s">
        <v>102</v>
      </c>
      <c r="B21" s="139">
        <v>0.0</v>
      </c>
      <c r="C21" s="106">
        <v>0.0</v>
      </c>
      <c r="D21" s="105">
        <v>0.0</v>
      </c>
      <c r="E21" s="79">
        <f t="shared" si="8"/>
        <v>0</v>
      </c>
      <c r="F21" s="157">
        <v>0.0</v>
      </c>
      <c r="G21" s="153">
        <f t="shared" si="9"/>
        <v>0</v>
      </c>
      <c r="H21" s="79">
        <f t="shared" si="10"/>
        <v>0</v>
      </c>
      <c r="I21" s="157">
        <v>0.0</v>
      </c>
      <c r="J21" s="14">
        <f t="shared" si="11"/>
        <v>0</v>
      </c>
    </row>
    <row r="22" ht="12.75" customHeight="1">
      <c r="A22" s="46"/>
      <c r="B22" s="166"/>
      <c r="C22" s="79"/>
      <c r="D22" s="167"/>
      <c r="E22" s="79"/>
      <c r="F22" s="79"/>
      <c r="G22" s="14"/>
      <c r="H22" s="79"/>
      <c r="I22" s="79"/>
      <c r="J22" s="14"/>
    </row>
    <row r="23" ht="12.75" customHeight="1">
      <c r="A23" s="168" t="s">
        <v>103</v>
      </c>
      <c r="B23" s="169">
        <f t="shared" ref="B23:C23" si="12">SUM(B17:B22)</f>
        <v>1185.3</v>
      </c>
      <c r="C23" s="152">
        <f t="shared" si="12"/>
        <v>143385</v>
      </c>
      <c r="D23" s="170">
        <f>H23/C23</f>
        <v>0.8524795481</v>
      </c>
      <c r="E23" s="152">
        <f t="shared" ref="E23:F23" si="13">SUM(E17:E22)</f>
        <v>21152.22</v>
      </c>
      <c r="F23" s="172">
        <f t="shared" si="13"/>
        <v>501</v>
      </c>
      <c r="G23" s="173">
        <f>SUMPRODUCT(G18:G21,F18:F21)/F23</f>
        <v>0.520491018</v>
      </c>
      <c r="H23" s="152">
        <f t="shared" ref="H23:I23" si="14">SUM(H17:H22)</f>
        <v>122232.78</v>
      </c>
      <c r="I23" s="172">
        <f t="shared" si="14"/>
        <v>3032</v>
      </c>
      <c r="J23" s="175">
        <f>SUMPRODUCT(J18:J21,I18:I21)/I23</f>
        <v>0.3049254617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ht="12.75" customHeight="1">
      <c r="A24" s="46"/>
      <c r="B24" s="166"/>
      <c r="C24" s="79"/>
      <c r="D24" s="167"/>
      <c r="E24" s="79"/>
      <c r="F24" s="79"/>
      <c r="G24" s="14"/>
      <c r="H24" s="79"/>
      <c r="I24" s="79"/>
      <c r="J24" s="14"/>
    </row>
    <row r="25" ht="12.75" customHeight="1">
      <c r="A25" s="177" t="s">
        <v>105</v>
      </c>
      <c r="B25" s="178">
        <f t="shared" ref="B25:C25" si="15">B23+B16</f>
        <v>11694.56</v>
      </c>
      <c r="C25" s="179">
        <f t="shared" si="15"/>
        <v>282102</v>
      </c>
      <c r="D25" s="180">
        <f>H25/C25</f>
        <v>0.5490921369</v>
      </c>
      <c r="E25" s="179">
        <f t="shared" ref="E25:F25" si="16">E23+E16</f>
        <v>127202.01</v>
      </c>
      <c r="F25" s="172">
        <f t="shared" si="16"/>
        <v>2343</v>
      </c>
      <c r="G25" s="181">
        <f>(G16*F16+G23*F23)/F25</f>
        <v>3.109257064</v>
      </c>
      <c r="H25" s="179">
        <f t="shared" ref="H25:I25" si="17">H23+H16</f>
        <v>154899.99</v>
      </c>
      <c r="I25" s="172">
        <f t="shared" si="17"/>
        <v>4178</v>
      </c>
      <c r="J25" s="182">
        <f>B25*D25/I25</f>
        <v>1.536953313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ht="12.75" customHeight="1">
      <c r="B26" s="183"/>
      <c r="C26" s="184"/>
      <c r="D26" s="183"/>
      <c r="E26" s="183"/>
      <c r="F26" s="183"/>
      <c r="G26" s="183"/>
      <c r="H26" s="183"/>
      <c r="I26" s="183"/>
      <c r="J26" s="183"/>
    </row>
    <row r="27" ht="12.75" customHeight="1">
      <c r="B27" s="183"/>
      <c r="C27" s="184"/>
      <c r="D27" s="183"/>
      <c r="E27" s="183"/>
      <c r="F27" s="183"/>
      <c r="G27" s="183"/>
      <c r="H27" s="183"/>
      <c r="I27" s="183"/>
      <c r="J27" s="183"/>
    </row>
    <row r="28" ht="12.75" customHeight="1">
      <c r="B28" s="183"/>
      <c r="C28" s="183"/>
      <c r="D28" s="183"/>
      <c r="E28" s="183"/>
      <c r="F28" s="183"/>
      <c r="G28" s="183"/>
      <c r="H28" s="183"/>
      <c r="I28" s="183"/>
      <c r="J28" s="183"/>
    </row>
    <row r="29" ht="12.75" customHeight="1">
      <c r="B29" s="183"/>
      <c r="C29" s="183"/>
      <c r="D29" s="183"/>
      <c r="E29" s="183"/>
      <c r="F29" s="183"/>
      <c r="G29" s="183"/>
      <c r="H29" s="183"/>
      <c r="I29" s="183"/>
      <c r="J29" s="183"/>
    </row>
    <row r="30" ht="12.75" customHeight="1">
      <c r="B30" s="183"/>
      <c r="C30" s="183"/>
      <c r="D30" s="183"/>
      <c r="E30" s="183"/>
      <c r="F30" s="183"/>
      <c r="G30" s="183"/>
      <c r="H30" s="183"/>
      <c r="I30" s="183"/>
      <c r="J30" s="183"/>
    </row>
    <row r="31" ht="12.75" customHeight="1">
      <c r="B31" s="183"/>
      <c r="C31" s="183"/>
      <c r="D31" s="183"/>
      <c r="E31" s="183"/>
      <c r="F31" s="183"/>
      <c r="G31" s="183"/>
      <c r="H31" s="183"/>
      <c r="I31" s="183"/>
      <c r="J31" s="183"/>
    </row>
    <row r="32" ht="12.75" customHeight="1">
      <c r="B32" s="183"/>
      <c r="C32" s="183"/>
      <c r="D32" s="183"/>
      <c r="E32" s="183"/>
      <c r="F32" s="183"/>
      <c r="G32" s="183"/>
      <c r="H32" s="183"/>
      <c r="I32" s="183"/>
      <c r="J32" s="183"/>
    </row>
    <row r="33" ht="12.75" customHeight="1">
      <c r="B33" s="183"/>
      <c r="C33" s="183"/>
      <c r="D33" s="183"/>
      <c r="E33" s="183"/>
      <c r="F33" s="183"/>
      <c r="G33" s="183"/>
      <c r="H33" s="183"/>
      <c r="I33" s="183"/>
      <c r="J33" s="183"/>
    </row>
    <row r="34" ht="12.75" customHeight="1">
      <c r="B34" s="183"/>
      <c r="C34" s="183"/>
      <c r="D34" s="183"/>
      <c r="E34" s="183"/>
      <c r="F34" s="183"/>
      <c r="G34" s="183"/>
      <c r="H34" s="183"/>
      <c r="I34" s="183"/>
      <c r="J34" s="183"/>
    </row>
    <row r="35" ht="12.75" customHeight="1">
      <c r="B35" s="183"/>
      <c r="C35" s="183"/>
      <c r="D35" s="183"/>
      <c r="E35" s="183"/>
      <c r="F35" s="183"/>
      <c r="G35" s="183"/>
      <c r="H35" s="183"/>
      <c r="I35" s="183"/>
      <c r="J35" s="183"/>
    </row>
    <row r="36" ht="12.75" customHeight="1">
      <c r="B36" s="183"/>
      <c r="C36" s="183"/>
      <c r="D36" s="183"/>
      <c r="E36" s="183"/>
      <c r="F36" s="183"/>
      <c r="G36" s="183"/>
      <c r="H36" s="183"/>
      <c r="I36" s="183"/>
      <c r="J36" s="183"/>
    </row>
    <row r="37" ht="12.75" customHeight="1">
      <c r="B37" s="183"/>
      <c r="C37" s="183"/>
      <c r="D37" s="183"/>
      <c r="E37" s="183"/>
      <c r="F37" s="183"/>
      <c r="G37" s="183"/>
      <c r="H37" s="183"/>
      <c r="I37" s="183"/>
      <c r="J37" s="183"/>
    </row>
    <row r="38" ht="12.75" customHeight="1">
      <c r="B38" s="183"/>
      <c r="C38" s="183"/>
      <c r="D38" s="183"/>
      <c r="E38" s="183"/>
      <c r="F38" s="183"/>
      <c r="G38" s="183"/>
      <c r="H38" s="183"/>
      <c r="I38" s="183"/>
      <c r="J38" s="183"/>
    </row>
    <row r="39" ht="12.75" customHeight="1">
      <c r="B39" s="183"/>
      <c r="C39" s="183"/>
      <c r="D39" s="183"/>
      <c r="E39" s="183"/>
      <c r="F39" s="183"/>
      <c r="G39" s="183"/>
      <c r="H39" s="183"/>
      <c r="I39" s="183"/>
      <c r="J39" s="183"/>
    </row>
    <row r="40" ht="12.75" customHeight="1">
      <c r="B40" s="183"/>
      <c r="C40" s="183"/>
      <c r="D40" s="183"/>
      <c r="E40" s="183"/>
      <c r="F40" s="183"/>
      <c r="G40" s="183"/>
      <c r="H40" s="183"/>
      <c r="I40" s="183"/>
      <c r="J40" s="183"/>
    </row>
    <row r="41" ht="12.75" customHeight="1">
      <c r="B41" s="183"/>
      <c r="C41" s="183"/>
      <c r="D41" s="183"/>
      <c r="E41" s="183"/>
      <c r="F41" s="183"/>
      <c r="G41" s="183"/>
      <c r="H41" s="183"/>
      <c r="I41" s="183"/>
      <c r="J41" s="183"/>
    </row>
    <row r="42" ht="12.75" customHeight="1">
      <c r="B42" s="183"/>
      <c r="C42" s="183"/>
      <c r="D42" s="183"/>
      <c r="E42" s="183"/>
      <c r="F42" s="183"/>
      <c r="G42" s="183"/>
      <c r="H42" s="183"/>
      <c r="I42" s="183"/>
      <c r="J42" s="183"/>
    </row>
    <row r="43" ht="12.75" customHeight="1">
      <c r="B43" s="183"/>
      <c r="C43" s="183"/>
      <c r="D43" s="183"/>
      <c r="E43" s="183"/>
      <c r="F43" s="183"/>
      <c r="G43" s="183"/>
      <c r="H43" s="183"/>
      <c r="I43" s="183"/>
      <c r="J43" s="183"/>
    </row>
    <row r="44" ht="12.75" customHeight="1">
      <c r="B44" s="183"/>
      <c r="C44" s="183"/>
      <c r="D44" s="183"/>
      <c r="E44" s="183"/>
      <c r="F44" s="183"/>
      <c r="G44" s="183"/>
      <c r="H44" s="183"/>
      <c r="I44" s="183"/>
      <c r="J44" s="183"/>
    </row>
    <row r="45" ht="12.75" customHeight="1">
      <c r="B45" s="183"/>
      <c r="C45" s="183"/>
      <c r="D45" s="183"/>
      <c r="E45" s="183"/>
      <c r="F45" s="183"/>
      <c r="G45" s="183"/>
      <c r="H45" s="183"/>
      <c r="I45" s="183"/>
      <c r="J45" s="183"/>
    </row>
    <row r="46" ht="12.75" customHeight="1">
      <c r="B46" s="183"/>
      <c r="C46" s="183"/>
      <c r="D46" s="183"/>
      <c r="E46" s="183"/>
      <c r="F46" s="183"/>
      <c r="G46" s="183"/>
      <c r="H46" s="183"/>
      <c r="I46" s="183"/>
      <c r="J46" s="183"/>
    </row>
    <row r="47" ht="12.75" customHeight="1">
      <c r="B47" s="183"/>
      <c r="C47" s="183"/>
      <c r="D47" s="183"/>
      <c r="E47" s="183"/>
      <c r="F47" s="183"/>
      <c r="G47" s="183"/>
      <c r="H47" s="183"/>
      <c r="I47" s="183"/>
      <c r="J47" s="183"/>
    </row>
    <row r="48" ht="12.75" customHeight="1">
      <c r="B48" s="183"/>
      <c r="C48" s="183"/>
      <c r="D48" s="183"/>
      <c r="E48" s="183"/>
      <c r="F48" s="183"/>
      <c r="G48" s="183"/>
      <c r="H48" s="183"/>
      <c r="I48" s="183"/>
      <c r="J48" s="183"/>
    </row>
    <row r="49" ht="12.75" customHeight="1">
      <c r="B49" s="183"/>
      <c r="C49" s="183"/>
      <c r="D49" s="183"/>
      <c r="E49" s="183"/>
      <c r="F49" s="183"/>
      <c r="G49" s="183"/>
      <c r="H49" s="183"/>
      <c r="I49" s="183"/>
      <c r="J49" s="183"/>
    </row>
    <row r="50" ht="12.75" customHeight="1">
      <c r="B50" s="183"/>
      <c r="C50" s="183"/>
      <c r="D50" s="183"/>
      <c r="E50" s="183"/>
      <c r="F50" s="183"/>
      <c r="G50" s="183"/>
      <c r="H50" s="183"/>
      <c r="I50" s="183"/>
      <c r="J50" s="183"/>
    </row>
    <row r="51" ht="12.75" customHeight="1">
      <c r="B51" s="183"/>
      <c r="C51" s="183"/>
      <c r="D51" s="183"/>
      <c r="E51" s="183"/>
      <c r="F51" s="183"/>
      <c r="G51" s="183"/>
      <c r="H51" s="183"/>
      <c r="I51" s="183"/>
      <c r="J51" s="183"/>
    </row>
    <row r="52" ht="12.75" customHeight="1">
      <c r="B52" s="183"/>
      <c r="C52" s="183"/>
      <c r="D52" s="183"/>
      <c r="E52" s="183"/>
      <c r="F52" s="183"/>
      <c r="G52" s="183"/>
      <c r="H52" s="183"/>
      <c r="I52" s="183"/>
      <c r="J52" s="183"/>
    </row>
    <row r="53" ht="12.75" customHeight="1">
      <c r="B53" s="183"/>
      <c r="C53" s="183"/>
      <c r="D53" s="183"/>
      <c r="E53" s="183"/>
      <c r="F53" s="183"/>
      <c r="G53" s="183"/>
      <c r="H53" s="183"/>
      <c r="I53" s="183"/>
      <c r="J53" s="183"/>
    </row>
    <row r="54" ht="12.75" customHeight="1">
      <c r="B54" s="183"/>
      <c r="C54" s="183"/>
      <c r="D54" s="183"/>
      <c r="E54" s="183"/>
      <c r="F54" s="183"/>
      <c r="G54" s="183"/>
      <c r="H54" s="183"/>
      <c r="I54" s="183"/>
      <c r="J54" s="183"/>
    </row>
    <row r="55" ht="12.75" customHeight="1">
      <c r="B55" s="183"/>
      <c r="C55" s="183"/>
      <c r="D55" s="183"/>
      <c r="E55" s="183"/>
      <c r="F55" s="183"/>
      <c r="G55" s="183"/>
      <c r="H55" s="183"/>
      <c r="I55" s="183"/>
      <c r="J55" s="183"/>
    </row>
    <row r="56" ht="12.75" customHeight="1">
      <c r="B56" s="183"/>
      <c r="C56" s="183"/>
      <c r="D56" s="183"/>
      <c r="E56" s="183"/>
      <c r="F56" s="183"/>
      <c r="G56" s="183"/>
      <c r="H56" s="183"/>
      <c r="I56" s="183"/>
      <c r="J56" s="183"/>
    </row>
    <row r="57" ht="12.75" customHeight="1">
      <c r="B57" s="183"/>
      <c r="C57" s="183"/>
      <c r="D57" s="183"/>
      <c r="E57" s="183"/>
      <c r="F57" s="183"/>
      <c r="G57" s="183"/>
      <c r="H57" s="183"/>
      <c r="I57" s="183"/>
      <c r="J57" s="183"/>
    </row>
    <row r="58" ht="12.75" customHeight="1">
      <c r="B58" s="183"/>
      <c r="C58" s="183"/>
      <c r="D58" s="183"/>
      <c r="E58" s="183"/>
      <c r="F58" s="183"/>
      <c r="G58" s="183"/>
      <c r="H58" s="183"/>
      <c r="I58" s="183"/>
      <c r="J58" s="183"/>
    </row>
    <row r="59" ht="12.75" customHeight="1">
      <c r="B59" s="183"/>
      <c r="C59" s="183"/>
      <c r="D59" s="183"/>
      <c r="E59" s="183"/>
      <c r="F59" s="183"/>
      <c r="G59" s="183"/>
      <c r="H59" s="183"/>
      <c r="I59" s="183"/>
      <c r="J59" s="183"/>
    </row>
    <row r="60" ht="12.75" customHeight="1">
      <c r="B60" s="183"/>
      <c r="C60" s="183"/>
      <c r="D60" s="183"/>
      <c r="E60" s="183"/>
      <c r="F60" s="183"/>
      <c r="G60" s="183"/>
      <c r="H60" s="183"/>
      <c r="I60" s="183"/>
      <c r="J60" s="183"/>
    </row>
    <row r="61" ht="12.75" customHeight="1">
      <c r="B61" s="183"/>
      <c r="C61" s="183"/>
      <c r="D61" s="183"/>
      <c r="E61" s="183"/>
      <c r="F61" s="183"/>
      <c r="G61" s="183"/>
      <c r="H61" s="183"/>
      <c r="I61" s="183"/>
      <c r="J61" s="183"/>
    </row>
    <row r="62" ht="12.75" customHeight="1">
      <c r="B62" s="183"/>
      <c r="C62" s="183"/>
      <c r="D62" s="183"/>
      <c r="E62" s="183"/>
      <c r="F62" s="183"/>
      <c r="G62" s="183"/>
      <c r="H62" s="183"/>
      <c r="I62" s="183"/>
      <c r="J62" s="183"/>
    </row>
    <row r="63" ht="12.75" customHeight="1">
      <c r="B63" s="183"/>
      <c r="C63" s="183"/>
      <c r="D63" s="183"/>
      <c r="E63" s="183"/>
      <c r="F63" s="183"/>
      <c r="G63" s="183"/>
      <c r="H63" s="183"/>
      <c r="I63" s="183"/>
      <c r="J63" s="183"/>
    </row>
    <row r="64" ht="12.75" customHeight="1">
      <c r="B64" s="183"/>
      <c r="C64" s="183"/>
      <c r="D64" s="183"/>
      <c r="E64" s="183"/>
      <c r="F64" s="183"/>
      <c r="G64" s="183"/>
      <c r="H64" s="183"/>
      <c r="I64" s="183"/>
      <c r="J64" s="183"/>
    </row>
    <row r="65" ht="12.75" customHeight="1">
      <c r="B65" s="183"/>
      <c r="C65" s="183"/>
      <c r="D65" s="183"/>
      <c r="E65" s="183"/>
      <c r="F65" s="183"/>
      <c r="G65" s="183"/>
      <c r="H65" s="183"/>
      <c r="I65" s="183"/>
      <c r="J65" s="183"/>
    </row>
    <row r="66" ht="12.75" customHeight="1">
      <c r="B66" s="183"/>
      <c r="C66" s="183"/>
      <c r="D66" s="183"/>
      <c r="E66" s="183"/>
      <c r="F66" s="183"/>
      <c r="G66" s="183"/>
      <c r="H66" s="183"/>
      <c r="I66" s="183"/>
      <c r="J66" s="183"/>
    </row>
    <row r="67" ht="12.75" customHeight="1">
      <c r="B67" s="183"/>
      <c r="C67" s="183"/>
      <c r="D67" s="183"/>
      <c r="E67" s="183"/>
      <c r="F67" s="183"/>
      <c r="G67" s="183"/>
      <c r="H67" s="183"/>
      <c r="I67" s="183"/>
      <c r="J67" s="183"/>
    </row>
    <row r="68" ht="12.75" customHeight="1">
      <c r="B68" s="183"/>
      <c r="C68" s="183"/>
      <c r="D68" s="183"/>
      <c r="E68" s="183"/>
      <c r="F68" s="183"/>
      <c r="G68" s="183"/>
      <c r="H68" s="183"/>
      <c r="I68" s="183"/>
      <c r="J68" s="183"/>
    </row>
    <row r="69" ht="12.75" customHeight="1">
      <c r="B69" s="183"/>
      <c r="C69" s="183"/>
      <c r="D69" s="183"/>
      <c r="E69" s="183"/>
      <c r="F69" s="183"/>
      <c r="G69" s="183"/>
      <c r="H69" s="183"/>
      <c r="I69" s="183"/>
      <c r="J69" s="183"/>
    </row>
    <row r="70" ht="12.75" customHeight="1">
      <c r="B70" s="183"/>
      <c r="C70" s="183"/>
      <c r="D70" s="183"/>
      <c r="E70" s="183"/>
      <c r="F70" s="183"/>
      <c r="G70" s="183"/>
      <c r="H70" s="183"/>
      <c r="I70" s="183"/>
      <c r="J70" s="183"/>
    </row>
    <row r="71" ht="12.75" customHeight="1">
      <c r="B71" s="183"/>
      <c r="C71" s="183"/>
      <c r="D71" s="183"/>
      <c r="E71" s="183"/>
      <c r="F71" s="183"/>
      <c r="G71" s="183"/>
      <c r="H71" s="183"/>
      <c r="I71" s="183"/>
      <c r="J71" s="183"/>
    </row>
    <row r="72" ht="12.75" customHeight="1">
      <c r="B72" s="183"/>
      <c r="C72" s="183"/>
      <c r="D72" s="183"/>
      <c r="E72" s="183"/>
      <c r="F72" s="183"/>
      <c r="G72" s="183"/>
      <c r="H72" s="183"/>
      <c r="I72" s="183"/>
      <c r="J72" s="183"/>
    </row>
    <row r="73" ht="12.75" customHeight="1">
      <c r="B73" s="183"/>
      <c r="C73" s="183"/>
      <c r="D73" s="183"/>
      <c r="E73" s="183"/>
      <c r="F73" s="183"/>
      <c r="G73" s="183"/>
      <c r="H73" s="183"/>
      <c r="I73" s="183"/>
      <c r="J73" s="183"/>
    </row>
    <row r="74" ht="12.75" customHeight="1">
      <c r="B74" s="183"/>
      <c r="C74" s="183"/>
      <c r="D74" s="183"/>
      <c r="E74" s="183"/>
      <c r="F74" s="183"/>
      <c r="G74" s="183"/>
      <c r="H74" s="183"/>
      <c r="I74" s="183"/>
      <c r="J74" s="183"/>
    </row>
    <row r="75" ht="12.75" customHeight="1">
      <c r="B75" s="183"/>
      <c r="C75" s="183"/>
      <c r="D75" s="183"/>
      <c r="E75" s="183"/>
      <c r="F75" s="183"/>
      <c r="G75" s="183"/>
      <c r="H75" s="183"/>
      <c r="I75" s="183"/>
      <c r="J75" s="183"/>
    </row>
    <row r="76" ht="12.75" customHeight="1">
      <c r="B76" s="183"/>
      <c r="C76" s="183"/>
      <c r="D76" s="183"/>
      <c r="E76" s="183"/>
      <c r="F76" s="183"/>
      <c r="G76" s="183"/>
      <c r="H76" s="183"/>
      <c r="I76" s="183"/>
      <c r="J76" s="183"/>
    </row>
    <row r="77" ht="12.75" customHeight="1">
      <c r="B77" s="183"/>
      <c r="C77" s="183"/>
      <c r="D77" s="183"/>
      <c r="E77" s="183"/>
      <c r="F77" s="183"/>
      <c r="G77" s="183"/>
      <c r="H77" s="183"/>
      <c r="I77" s="183"/>
      <c r="J77" s="183"/>
    </row>
    <row r="78" ht="12.75" customHeight="1">
      <c r="B78" s="183"/>
      <c r="C78" s="183"/>
      <c r="D78" s="183"/>
      <c r="E78" s="183"/>
      <c r="F78" s="183"/>
      <c r="G78" s="183"/>
      <c r="H78" s="183"/>
      <c r="I78" s="183"/>
      <c r="J78" s="183"/>
    </row>
    <row r="79" ht="12.75" customHeight="1">
      <c r="B79" s="183"/>
      <c r="C79" s="183"/>
      <c r="D79" s="183"/>
      <c r="E79" s="183"/>
      <c r="F79" s="183"/>
      <c r="G79" s="183"/>
      <c r="H79" s="183"/>
      <c r="I79" s="183"/>
      <c r="J79" s="183"/>
    </row>
    <row r="80" ht="12.75" customHeight="1">
      <c r="B80" s="183"/>
      <c r="C80" s="183"/>
      <c r="D80" s="183"/>
      <c r="E80" s="183"/>
      <c r="F80" s="183"/>
      <c r="G80" s="183"/>
      <c r="H80" s="183"/>
      <c r="I80" s="183"/>
      <c r="J80" s="183"/>
    </row>
    <row r="81" ht="12.75" customHeight="1">
      <c r="B81" s="183"/>
      <c r="C81" s="183"/>
      <c r="D81" s="183"/>
      <c r="E81" s="183"/>
      <c r="F81" s="183"/>
      <c r="G81" s="183"/>
      <c r="H81" s="183"/>
      <c r="I81" s="183"/>
      <c r="J81" s="183"/>
    </row>
    <row r="82" ht="12.75" customHeight="1">
      <c r="B82" s="183"/>
      <c r="C82" s="183"/>
      <c r="D82" s="183"/>
      <c r="E82" s="183"/>
      <c r="F82" s="183"/>
      <c r="G82" s="183"/>
      <c r="H82" s="183"/>
      <c r="I82" s="183"/>
      <c r="J82" s="183"/>
    </row>
    <row r="83" ht="12.75" customHeight="1">
      <c r="B83" s="183"/>
      <c r="C83" s="183"/>
      <c r="D83" s="183"/>
      <c r="E83" s="183"/>
      <c r="F83" s="183"/>
      <c r="G83" s="183"/>
      <c r="H83" s="183"/>
      <c r="I83" s="183"/>
      <c r="J83" s="183"/>
    </row>
    <row r="84" ht="12.75" customHeight="1">
      <c r="B84" s="183"/>
      <c r="C84" s="183"/>
      <c r="D84" s="183"/>
      <c r="E84" s="183"/>
      <c r="F84" s="183"/>
      <c r="G84" s="183"/>
      <c r="H84" s="183"/>
      <c r="I84" s="183"/>
      <c r="J84" s="183"/>
    </row>
    <row r="85" ht="12.75" customHeight="1">
      <c r="B85" s="183"/>
      <c r="C85" s="183"/>
      <c r="D85" s="183"/>
      <c r="E85" s="183"/>
      <c r="F85" s="183"/>
      <c r="G85" s="183"/>
      <c r="H85" s="183"/>
      <c r="I85" s="183"/>
      <c r="J85" s="183"/>
    </row>
    <row r="86" ht="12.75" customHeight="1">
      <c r="B86" s="183"/>
      <c r="C86" s="183"/>
      <c r="D86" s="183"/>
      <c r="E86" s="183"/>
      <c r="F86" s="183"/>
      <c r="G86" s="183"/>
      <c r="H86" s="183"/>
      <c r="I86" s="183"/>
      <c r="J86" s="183"/>
    </row>
    <row r="87" ht="12.75" customHeight="1">
      <c r="B87" s="183"/>
      <c r="C87" s="183"/>
      <c r="D87" s="183"/>
      <c r="E87" s="183"/>
      <c r="F87" s="183"/>
      <c r="G87" s="183"/>
      <c r="H87" s="183"/>
      <c r="I87" s="183"/>
      <c r="J87" s="183"/>
    </row>
    <row r="88" ht="12.75" customHeight="1">
      <c r="B88" s="183"/>
      <c r="C88" s="183"/>
      <c r="D88" s="183"/>
      <c r="E88" s="183"/>
      <c r="F88" s="183"/>
      <c r="G88" s="183"/>
      <c r="H88" s="183"/>
      <c r="I88" s="183"/>
      <c r="J88" s="183"/>
    </row>
    <row r="89" ht="12.75" customHeight="1">
      <c r="B89" s="183"/>
      <c r="C89" s="183"/>
      <c r="D89" s="183"/>
      <c r="E89" s="183"/>
      <c r="F89" s="183"/>
      <c r="G89" s="183"/>
      <c r="H89" s="183"/>
      <c r="I89" s="183"/>
      <c r="J89" s="183"/>
    </row>
    <row r="90" ht="12.75" customHeight="1">
      <c r="B90" s="183"/>
      <c r="C90" s="183"/>
      <c r="D90" s="183"/>
      <c r="E90" s="183"/>
      <c r="F90" s="183"/>
      <c r="G90" s="183"/>
      <c r="H90" s="183"/>
      <c r="I90" s="183"/>
      <c r="J90" s="183"/>
    </row>
    <row r="91" ht="12.75" customHeight="1">
      <c r="B91" s="183"/>
      <c r="C91" s="183"/>
      <c r="D91" s="183"/>
      <c r="E91" s="183"/>
      <c r="F91" s="183"/>
      <c r="G91" s="183"/>
      <c r="H91" s="183"/>
      <c r="I91" s="183"/>
      <c r="J91" s="183"/>
    </row>
    <row r="92" ht="12.75" customHeight="1">
      <c r="B92" s="183"/>
      <c r="C92" s="183"/>
      <c r="D92" s="183"/>
      <c r="E92" s="183"/>
      <c r="F92" s="183"/>
      <c r="G92" s="183"/>
      <c r="H92" s="183"/>
      <c r="I92" s="183"/>
      <c r="J92" s="183"/>
    </row>
    <row r="93" ht="12.75" customHeight="1">
      <c r="B93" s="183"/>
      <c r="C93" s="183"/>
      <c r="D93" s="183"/>
      <c r="E93" s="183"/>
      <c r="F93" s="183"/>
      <c r="G93" s="183"/>
      <c r="H93" s="183"/>
      <c r="I93" s="183"/>
      <c r="J93" s="183"/>
    </row>
    <row r="94" ht="12.75" customHeight="1">
      <c r="B94" s="183"/>
      <c r="C94" s="183"/>
      <c r="D94" s="183"/>
      <c r="E94" s="183"/>
      <c r="F94" s="183"/>
      <c r="G94" s="183"/>
      <c r="H94" s="183"/>
      <c r="I94" s="183"/>
      <c r="J94" s="183"/>
    </row>
    <row r="95" ht="12.75" customHeight="1">
      <c r="B95" s="183"/>
      <c r="C95" s="183"/>
      <c r="D95" s="183"/>
      <c r="E95" s="183"/>
      <c r="F95" s="183"/>
      <c r="G95" s="183"/>
      <c r="H95" s="183"/>
      <c r="I95" s="183"/>
      <c r="J95" s="183"/>
    </row>
    <row r="96" ht="12.75" customHeight="1">
      <c r="B96" s="183"/>
      <c r="C96" s="183"/>
      <c r="D96" s="183"/>
      <c r="E96" s="183"/>
      <c r="F96" s="183"/>
      <c r="G96" s="183"/>
      <c r="H96" s="183"/>
      <c r="I96" s="183"/>
      <c r="J96" s="183"/>
    </row>
    <row r="97" ht="12.75" customHeight="1">
      <c r="B97" s="183"/>
      <c r="C97" s="183"/>
      <c r="D97" s="183"/>
      <c r="E97" s="183"/>
      <c r="F97" s="183"/>
      <c r="G97" s="183"/>
      <c r="H97" s="183"/>
      <c r="I97" s="183"/>
      <c r="J97" s="183"/>
    </row>
    <row r="98" ht="12.75" customHeight="1">
      <c r="B98" s="183"/>
      <c r="C98" s="183"/>
      <c r="D98" s="183"/>
      <c r="E98" s="183"/>
      <c r="F98" s="183"/>
      <c r="G98" s="183"/>
      <c r="H98" s="183"/>
      <c r="I98" s="183"/>
      <c r="J98" s="183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10" width="8.43"/>
    <col customWidth="1" min="11" max="30" width="17.29"/>
  </cols>
  <sheetData>
    <row r="1" ht="12.75" customHeight="1">
      <c r="A1" s="1" t="s">
        <v>83</v>
      </c>
      <c r="B1" s="133"/>
      <c r="C1" s="133"/>
      <c r="D1" s="133"/>
      <c r="E1" s="133"/>
      <c r="F1" s="134"/>
      <c r="G1" s="135"/>
      <c r="H1" s="58"/>
      <c r="I1" s="58"/>
      <c r="J1" s="135"/>
      <c r="K1" s="3"/>
    </row>
    <row r="2" ht="12.75" customHeight="1">
      <c r="A2" s="8" t="str">
        <f>CLTV!A2</f>
        <v>For more information about this template, see www.startupdocs.se by Erik Byrenius. Latest update: 2015-12-03. See sheet "Summary" for more instructions.</v>
      </c>
      <c r="B2" s="136"/>
      <c r="C2" s="136"/>
      <c r="D2" s="136"/>
      <c r="E2" s="136"/>
      <c r="F2" s="136"/>
      <c r="G2" s="136"/>
      <c r="H2" s="136"/>
      <c r="I2" s="136"/>
      <c r="J2" s="136"/>
      <c r="K2" s="10"/>
      <c r="L2" s="10"/>
      <c r="M2" s="10"/>
      <c r="N2" s="1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ht="12.75" customHeight="1">
      <c r="A4" s="48"/>
      <c r="B4" s="137" t="s">
        <v>39</v>
      </c>
      <c r="C4" s="137" t="s">
        <v>84</v>
      </c>
      <c r="D4" s="137" t="s">
        <v>85</v>
      </c>
      <c r="E4" s="137" t="s">
        <v>86</v>
      </c>
      <c r="F4" s="137" t="s">
        <v>87</v>
      </c>
      <c r="G4" s="137" t="s">
        <v>71</v>
      </c>
      <c r="H4" s="137" t="s">
        <v>88</v>
      </c>
      <c r="I4" s="137" t="s">
        <v>89</v>
      </c>
      <c r="J4" s="137" t="s">
        <v>90</v>
      </c>
    </row>
    <row r="5" ht="12.75" customHeight="1">
      <c r="A5" s="138" t="s">
        <v>67</v>
      </c>
      <c r="B5" s="139">
        <v>4011.5</v>
      </c>
      <c r="C5" s="141">
        <v>43710.0</v>
      </c>
      <c r="D5" s="144">
        <v>0.18</v>
      </c>
      <c r="E5" s="147">
        <f t="shared" ref="E5:E14" si="1">C5*(1-D5)</f>
        <v>35842.2</v>
      </c>
      <c r="F5" s="150">
        <v>636.0</v>
      </c>
      <c r="G5" s="153">
        <f t="shared" ref="G5:G14" si="2">IFERROR(B5*(1-D5)/F5, 0)</f>
        <v>5.172059748</v>
      </c>
      <c r="H5" s="147">
        <f t="shared" ref="H5:H14" si="3">C5*D5</f>
        <v>7867.8</v>
      </c>
      <c r="I5" s="150">
        <v>301.0</v>
      </c>
      <c r="J5" s="14">
        <f t="shared" ref="J5:J14" si="4">IFERROR(B5*D5/I5, 0)</f>
        <v>2.398903654</v>
      </c>
    </row>
    <row r="6" ht="12.75" customHeight="1">
      <c r="A6" s="46" t="s">
        <v>72</v>
      </c>
      <c r="B6" s="139">
        <v>0.0</v>
      </c>
      <c r="C6" s="106">
        <v>30471.0</v>
      </c>
      <c r="D6" s="105">
        <v>0.21</v>
      </c>
      <c r="E6" s="79">
        <f t="shared" si="1"/>
        <v>24072.09</v>
      </c>
      <c r="F6" s="157">
        <v>363.0</v>
      </c>
      <c r="G6" s="153">
        <f t="shared" si="2"/>
        <v>0</v>
      </c>
      <c r="H6" s="79">
        <f t="shared" si="3"/>
        <v>6398.91</v>
      </c>
      <c r="I6" s="157">
        <v>192.0</v>
      </c>
      <c r="J6" s="14">
        <f t="shared" si="4"/>
        <v>0</v>
      </c>
    </row>
    <row r="7" ht="12.75" customHeight="1">
      <c r="A7" s="46" t="s">
        <v>75</v>
      </c>
      <c r="B7" s="139">
        <v>1878.0</v>
      </c>
      <c r="C7" s="106">
        <v>2930.0</v>
      </c>
      <c r="D7" s="105">
        <v>0.88</v>
      </c>
      <c r="E7" s="79">
        <f t="shared" si="1"/>
        <v>351.6</v>
      </c>
      <c r="F7" s="157">
        <v>8.0</v>
      </c>
      <c r="G7" s="153">
        <f t="shared" si="2"/>
        <v>28.17</v>
      </c>
      <c r="H7" s="79">
        <f t="shared" si="3"/>
        <v>2578.4</v>
      </c>
      <c r="I7" s="157">
        <v>79.0</v>
      </c>
      <c r="J7" s="14">
        <f t="shared" si="4"/>
        <v>20.91949367</v>
      </c>
    </row>
    <row r="8" ht="12.75" customHeight="1">
      <c r="A8" s="46" t="s">
        <v>76</v>
      </c>
      <c r="B8" s="139">
        <v>0.0</v>
      </c>
      <c r="C8" s="106">
        <v>0.0</v>
      </c>
      <c r="D8" s="105">
        <v>0.0</v>
      </c>
      <c r="E8" s="79">
        <f t="shared" si="1"/>
        <v>0</v>
      </c>
      <c r="F8" s="157">
        <v>0.0</v>
      </c>
      <c r="G8" s="153">
        <f t="shared" si="2"/>
        <v>0</v>
      </c>
      <c r="H8" s="79">
        <f t="shared" si="3"/>
        <v>0</v>
      </c>
      <c r="I8" s="157">
        <v>0.0</v>
      </c>
      <c r="J8" s="14">
        <f t="shared" si="4"/>
        <v>0</v>
      </c>
    </row>
    <row r="9" ht="12.75" customHeight="1">
      <c r="A9" s="46" t="s">
        <v>77</v>
      </c>
      <c r="B9" s="139">
        <v>519.3</v>
      </c>
      <c r="C9" s="106">
        <v>11591.0</v>
      </c>
      <c r="D9" s="105">
        <v>0.35</v>
      </c>
      <c r="E9" s="79">
        <f t="shared" si="1"/>
        <v>7534.15</v>
      </c>
      <c r="F9" s="157">
        <v>128.0</v>
      </c>
      <c r="G9" s="153">
        <f t="shared" si="2"/>
        <v>2.637070313</v>
      </c>
      <c r="H9" s="79">
        <f t="shared" si="3"/>
        <v>4056.85</v>
      </c>
      <c r="I9" s="157">
        <v>80.0</v>
      </c>
      <c r="J9" s="14">
        <f t="shared" si="4"/>
        <v>2.2719375</v>
      </c>
    </row>
    <row r="10" ht="12.75" customHeight="1">
      <c r="A10" s="46" t="s">
        <v>78</v>
      </c>
      <c r="B10" s="139">
        <v>1792.05</v>
      </c>
      <c r="C10" s="106">
        <v>30294.0</v>
      </c>
      <c r="D10" s="105">
        <v>0.31</v>
      </c>
      <c r="E10" s="79">
        <f t="shared" si="1"/>
        <v>20902.86</v>
      </c>
      <c r="F10" s="157">
        <v>339.0</v>
      </c>
      <c r="G10" s="153">
        <f t="shared" si="2"/>
        <v>3.647535398</v>
      </c>
      <c r="H10" s="79">
        <f t="shared" si="3"/>
        <v>9391.14</v>
      </c>
      <c r="I10" s="157">
        <v>287.0</v>
      </c>
      <c r="J10" s="14">
        <f t="shared" si="4"/>
        <v>1.935663763</v>
      </c>
    </row>
    <row r="11" ht="12.75" customHeight="1">
      <c r="A11" s="46" t="s">
        <v>79</v>
      </c>
      <c r="B11" s="139">
        <v>469.31</v>
      </c>
      <c r="C11" s="106">
        <v>1601.0</v>
      </c>
      <c r="D11" s="105">
        <v>0.72</v>
      </c>
      <c r="E11" s="79">
        <f t="shared" si="1"/>
        <v>448.28</v>
      </c>
      <c r="F11" s="157">
        <v>4.0</v>
      </c>
      <c r="G11" s="153">
        <f t="shared" si="2"/>
        <v>32.8517</v>
      </c>
      <c r="H11" s="79">
        <f t="shared" si="3"/>
        <v>1152.72</v>
      </c>
      <c r="I11" s="157">
        <v>263.0</v>
      </c>
      <c r="J11" s="14">
        <f t="shared" si="4"/>
        <v>1.284803042</v>
      </c>
    </row>
    <row r="12" ht="12.75" customHeight="1">
      <c r="A12" s="46" t="s">
        <v>80</v>
      </c>
      <c r="B12" s="139">
        <v>125.09</v>
      </c>
      <c r="C12" s="106">
        <v>1031.0</v>
      </c>
      <c r="D12" s="105">
        <v>0.29</v>
      </c>
      <c r="E12" s="79">
        <f t="shared" si="1"/>
        <v>732.01</v>
      </c>
      <c r="F12" s="157">
        <v>14.0</v>
      </c>
      <c r="G12" s="153">
        <f t="shared" si="2"/>
        <v>6.34385</v>
      </c>
      <c r="H12" s="79">
        <f t="shared" si="3"/>
        <v>298.99</v>
      </c>
      <c r="I12" s="157">
        <v>9.0</v>
      </c>
      <c r="J12" s="14">
        <f t="shared" si="4"/>
        <v>4.030677778</v>
      </c>
    </row>
    <row r="13" ht="12.75" customHeight="1">
      <c r="A13" s="46" t="s">
        <v>81</v>
      </c>
      <c r="B13" s="139">
        <v>0.0</v>
      </c>
      <c r="C13" s="106">
        <v>0.0</v>
      </c>
      <c r="D13" s="105">
        <v>0.0</v>
      </c>
      <c r="E13" s="79">
        <f t="shared" si="1"/>
        <v>0</v>
      </c>
      <c r="F13" s="157">
        <v>0.0</v>
      </c>
      <c r="G13" s="153">
        <f t="shared" si="2"/>
        <v>0</v>
      </c>
      <c r="H13" s="79">
        <f t="shared" si="3"/>
        <v>0</v>
      </c>
      <c r="I13" s="157">
        <v>0.0</v>
      </c>
      <c r="J13" s="14">
        <f t="shared" si="4"/>
        <v>0</v>
      </c>
    </row>
    <row r="14" ht="12.75" customHeight="1">
      <c r="A14" s="46" t="s">
        <v>82</v>
      </c>
      <c r="B14" s="139">
        <v>829.7</v>
      </c>
      <c r="C14" s="106">
        <v>10104.0</v>
      </c>
      <c r="D14" s="105">
        <v>0.33</v>
      </c>
      <c r="E14" s="79">
        <f t="shared" si="1"/>
        <v>6769.68</v>
      </c>
      <c r="F14" s="157">
        <v>147.0</v>
      </c>
      <c r="G14" s="153">
        <f t="shared" si="2"/>
        <v>3.78162585</v>
      </c>
      <c r="H14" s="79">
        <f t="shared" si="3"/>
        <v>3334.32</v>
      </c>
      <c r="I14" s="157">
        <v>89.0</v>
      </c>
      <c r="J14" s="14">
        <f t="shared" si="4"/>
        <v>3.07641573</v>
      </c>
    </row>
    <row r="15" ht="12.75" customHeight="1">
      <c r="A15" s="46"/>
      <c r="B15" s="166"/>
      <c r="C15" s="79"/>
      <c r="D15" s="167"/>
      <c r="E15" s="79"/>
      <c r="F15" s="79"/>
      <c r="G15" s="14"/>
      <c r="H15" s="79"/>
      <c r="I15" s="79"/>
      <c r="J15" s="14"/>
    </row>
    <row r="16" ht="12.75" customHeight="1">
      <c r="A16" s="168" t="s">
        <v>91</v>
      </c>
      <c r="B16" s="169">
        <f t="shared" ref="B16:C16" si="5">SUM(B5:B14)</f>
        <v>9624.95</v>
      </c>
      <c r="C16" s="152">
        <f t="shared" si="5"/>
        <v>131732</v>
      </c>
      <c r="D16" s="170">
        <f>H16/C16</f>
        <v>0.2662916376</v>
      </c>
      <c r="E16" s="152">
        <f t="shared" ref="E16:F16" si="6">SUM(E5:E15)</f>
        <v>96652.87</v>
      </c>
      <c r="F16" s="172">
        <f t="shared" si="6"/>
        <v>1639</v>
      </c>
      <c r="G16" s="173">
        <f>SUMPRODUCT(G5:G14,F5:F14)/F16</f>
        <v>3.578382672</v>
      </c>
      <c r="H16" s="152">
        <f t="shared" ref="H16:I16" si="7">SUM(H5:H15)</f>
        <v>35079.13</v>
      </c>
      <c r="I16" s="172">
        <f t="shared" si="7"/>
        <v>1300</v>
      </c>
      <c r="J16" s="175">
        <f>SUMPRODUCT(J5:J14,I5:I14)/I16</f>
        <v>2.892292923</v>
      </c>
      <c r="K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ht="12.75" customHeight="1">
      <c r="A17" s="46"/>
      <c r="B17" s="166"/>
      <c r="C17" s="79"/>
      <c r="D17" s="167"/>
      <c r="E17" s="79"/>
      <c r="F17" s="79"/>
      <c r="G17" s="14"/>
      <c r="H17" s="79"/>
      <c r="I17" s="79"/>
      <c r="J17" s="14"/>
    </row>
    <row r="18" ht="12.75" customHeight="1">
      <c r="A18" s="46" t="s">
        <v>96</v>
      </c>
      <c r="B18" s="139">
        <v>0.0</v>
      </c>
      <c r="C18" s="106">
        <v>20754.0</v>
      </c>
      <c r="D18" s="105">
        <v>0.68</v>
      </c>
      <c r="E18" s="79">
        <f t="shared" ref="E18:E21" si="8">C18*(1-D18)</f>
        <v>6641.28</v>
      </c>
      <c r="F18" s="157">
        <v>124.0</v>
      </c>
      <c r="G18" s="153">
        <f t="shared" ref="G18:G21" si="9">IFERROR(B18*(1-D18)/F18, 0)</f>
        <v>0</v>
      </c>
      <c r="H18" s="79">
        <f t="shared" ref="H18:H21" si="10">C18*D18</f>
        <v>14112.72</v>
      </c>
      <c r="I18" s="157">
        <v>501.0</v>
      </c>
      <c r="J18" s="14">
        <f t="shared" ref="J18:J21" si="11">IFERROR(B18*D18/I18, 0)</f>
        <v>0</v>
      </c>
    </row>
    <row r="19" ht="12.75" customHeight="1">
      <c r="A19" s="46" t="s">
        <v>99</v>
      </c>
      <c r="B19" s="139">
        <v>906.1</v>
      </c>
      <c r="C19" s="106">
        <v>5515.0</v>
      </c>
      <c r="D19" s="105">
        <v>0.65</v>
      </c>
      <c r="E19" s="79">
        <f t="shared" si="8"/>
        <v>1930.25</v>
      </c>
      <c r="F19" s="157">
        <v>31.0</v>
      </c>
      <c r="G19" s="153">
        <f t="shared" si="9"/>
        <v>10.23016129</v>
      </c>
      <c r="H19" s="79">
        <f t="shared" si="10"/>
        <v>3584.75</v>
      </c>
      <c r="I19" s="157">
        <v>94.0</v>
      </c>
      <c r="J19" s="14">
        <f t="shared" si="11"/>
        <v>6.265585106</v>
      </c>
    </row>
    <row r="20" ht="12.75" customHeight="1">
      <c r="A20" s="46" t="s">
        <v>101</v>
      </c>
      <c r="B20" s="139">
        <v>0.0</v>
      </c>
      <c r="C20" s="106">
        <v>110244.0</v>
      </c>
      <c r="D20" s="105">
        <v>0.8</v>
      </c>
      <c r="E20" s="79">
        <f t="shared" si="8"/>
        <v>22048.8</v>
      </c>
      <c r="F20" s="157">
        <v>283.0</v>
      </c>
      <c r="G20" s="153">
        <f t="shared" si="9"/>
        <v>0</v>
      </c>
      <c r="H20" s="79">
        <f t="shared" si="10"/>
        <v>88195.2</v>
      </c>
      <c r="I20" s="157">
        <v>2702.0</v>
      </c>
      <c r="J20" s="14">
        <f t="shared" si="11"/>
        <v>0</v>
      </c>
    </row>
    <row r="21" ht="12.75" customHeight="1">
      <c r="A21" s="46" t="s">
        <v>102</v>
      </c>
      <c r="B21" s="139">
        <v>0.0</v>
      </c>
      <c r="C21" s="106">
        <v>0.0</v>
      </c>
      <c r="D21" s="105">
        <v>0.0</v>
      </c>
      <c r="E21" s="79">
        <f t="shared" si="8"/>
        <v>0</v>
      </c>
      <c r="F21" s="157">
        <v>0.0</v>
      </c>
      <c r="G21" s="153">
        <f t="shared" si="9"/>
        <v>0</v>
      </c>
      <c r="H21" s="79">
        <f t="shared" si="10"/>
        <v>0</v>
      </c>
      <c r="I21" s="157">
        <v>0.0</v>
      </c>
      <c r="J21" s="14">
        <f t="shared" si="11"/>
        <v>0</v>
      </c>
    </row>
    <row r="22" ht="12.75" customHeight="1">
      <c r="A22" s="46"/>
      <c r="B22" s="166"/>
      <c r="C22" s="79"/>
      <c r="D22" s="167"/>
      <c r="E22" s="79"/>
      <c r="F22" s="79"/>
      <c r="G22" s="14"/>
      <c r="H22" s="79"/>
      <c r="I22" s="79"/>
      <c r="J22" s="14"/>
    </row>
    <row r="23" ht="12.75" customHeight="1">
      <c r="A23" s="168" t="s">
        <v>103</v>
      </c>
      <c r="B23" s="169">
        <f t="shared" ref="B23:C23" si="12">SUM(B17:B22)</f>
        <v>906.1</v>
      </c>
      <c r="C23" s="152">
        <f t="shared" si="12"/>
        <v>136513</v>
      </c>
      <c r="D23" s="170">
        <f>H23/C23</f>
        <v>0.7756966003</v>
      </c>
      <c r="E23" s="152">
        <f t="shared" ref="E23:F23" si="13">SUM(E17:E22)</f>
        <v>30620.33</v>
      </c>
      <c r="F23" s="172">
        <f t="shared" si="13"/>
        <v>438</v>
      </c>
      <c r="G23" s="173">
        <f>SUMPRODUCT(G18:G21,F18:F21)/F23</f>
        <v>0.7240525114</v>
      </c>
      <c r="H23" s="152">
        <f t="shared" ref="H23:I23" si="14">SUM(H17:H22)</f>
        <v>105892.67</v>
      </c>
      <c r="I23" s="172">
        <f t="shared" si="14"/>
        <v>3297</v>
      </c>
      <c r="J23" s="175">
        <f>SUMPRODUCT(J18:J21,I18:I21)/I23</f>
        <v>0.1786366394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ht="12.75" customHeight="1">
      <c r="A24" s="46"/>
      <c r="B24" s="166"/>
      <c r="C24" s="79"/>
      <c r="D24" s="167"/>
      <c r="E24" s="79"/>
      <c r="F24" s="79"/>
      <c r="G24" s="14"/>
      <c r="H24" s="79"/>
      <c r="I24" s="79"/>
      <c r="J24" s="14"/>
    </row>
    <row r="25" ht="12.75" customHeight="1">
      <c r="A25" s="177" t="s">
        <v>105</v>
      </c>
      <c r="B25" s="178">
        <f t="shared" ref="B25:C25" si="15">B23+B16</f>
        <v>10531.05</v>
      </c>
      <c r="C25" s="179">
        <f t="shared" si="15"/>
        <v>268245</v>
      </c>
      <c r="D25" s="180">
        <f>H25/C25</f>
        <v>0.5255337471</v>
      </c>
      <c r="E25" s="179">
        <f t="shared" ref="E25:F25" si="16">E23+E16</f>
        <v>127273.2</v>
      </c>
      <c r="F25" s="172">
        <f t="shared" si="16"/>
        <v>2077</v>
      </c>
      <c r="G25" s="181">
        <f>(G16*F16+G23*F23)/F25</f>
        <v>2.97645845</v>
      </c>
      <c r="H25" s="179">
        <f t="shared" ref="H25:I25" si="17">H23+H16</f>
        <v>140971.8</v>
      </c>
      <c r="I25" s="172">
        <f t="shared" si="17"/>
        <v>4597</v>
      </c>
      <c r="J25" s="182">
        <f>B25*D25/I25</f>
        <v>1.203920419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ht="12.75" customHeight="1">
      <c r="B26" s="183"/>
      <c r="C26" s="184"/>
      <c r="D26" s="183"/>
      <c r="E26" s="183"/>
      <c r="F26" s="183"/>
      <c r="G26" s="183"/>
      <c r="H26" s="183"/>
      <c r="I26" s="183"/>
      <c r="J26" s="183"/>
    </row>
    <row r="27" ht="12.75" customHeight="1">
      <c r="B27" s="183"/>
      <c r="C27" s="184"/>
      <c r="D27" s="183"/>
      <c r="E27" s="183"/>
      <c r="F27" s="183"/>
      <c r="G27" s="183"/>
      <c r="H27" s="183"/>
      <c r="I27" s="183"/>
      <c r="J27" s="183"/>
    </row>
    <row r="28" ht="12.75" customHeight="1">
      <c r="B28" s="183"/>
      <c r="C28" s="183"/>
      <c r="D28" s="183"/>
      <c r="E28" s="183"/>
      <c r="F28" s="183"/>
      <c r="G28" s="183"/>
      <c r="H28" s="183"/>
      <c r="I28" s="183"/>
      <c r="J28" s="183"/>
    </row>
    <row r="29" ht="12.75" customHeight="1">
      <c r="B29" s="183"/>
      <c r="C29" s="183"/>
      <c r="D29" s="183"/>
      <c r="E29" s="183"/>
      <c r="F29" s="183"/>
      <c r="G29" s="183"/>
      <c r="H29" s="183"/>
      <c r="I29" s="183"/>
      <c r="J29" s="183"/>
    </row>
    <row r="30" ht="12.75" customHeight="1">
      <c r="B30" s="183"/>
      <c r="C30" s="183"/>
      <c r="D30" s="183"/>
      <c r="E30" s="183"/>
      <c r="F30" s="183"/>
      <c r="G30" s="183"/>
      <c r="H30" s="183"/>
      <c r="I30" s="183"/>
      <c r="J30" s="183"/>
    </row>
    <row r="31" ht="12.75" customHeight="1">
      <c r="B31" s="183"/>
      <c r="C31" s="183"/>
      <c r="D31" s="183"/>
      <c r="E31" s="183"/>
      <c r="F31" s="183"/>
      <c r="G31" s="183"/>
      <c r="H31" s="183"/>
      <c r="I31" s="183"/>
      <c r="J31" s="183"/>
    </row>
    <row r="32" ht="12.75" customHeight="1">
      <c r="B32" s="183"/>
      <c r="C32" s="183"/>
      <c r="D32" s="183"/>
      <c r="E32" s="183"/>
      <c r="F32" s="183"/>
      <c r="G32" s="183"/>
      <c r="H32" s="183"/>
      <c r="I32" s="183"/>
      <c r="J32" s="183"/>
    </row>
    <row r="33" ht="12.75" customHeight="1">
      <c r="B33" s="183"/>
      <c r="C33" s="183"/>
      <c r="D33" s="183"/>
      <c r="E33" s="183"/>
      <c r="F33" s="183"/>
      <c r="G33" s="183"/>
      <c r="H33" s="183"/>
      <c r="I33" s="183"/>
      <c r="J33" s="183"/>
    </row>
    <row r="34" ht="12.75" customHeight="1">
      <c r="B34" s="183"/>
      <c r="C34" s="183"/>
      <c r="D34" s="183"/>
      <c r="E34" s="183"/>
      <c r="F34" s="183"/>
      <c r="G34" s="183"/>
      <c r="H34" s="183"/>
      <c r="I34" s="183"/>
      <c r="J34" s="183"/>
    </row>
    <row r="35" ht="12.75" customHeight="1">
      <c r="B35" s="183"/>
      <c r="C35" s="183"/>
      <c r="D35" s="183"/>
      <c r="E35" s="183"/>
      <c r="F35" s="183"/>
      <c r="G35" s="183"/>
      <c r="H35" s="183"/>
      <c r="I35" s="183"/>
      <c r="J35" s="183"/>
    </row>
    <row r="36" ht="12.75" customHeight="1">
      <c r="B36" s="183"/>
      <c r="C36" s="183"/>
      <c r="D36" s="183"/>
      <c r="E36" s="183"/>
      <c r="F36" s="183"/>
      <c r="G36" s="183"/>
      <c r="H36" s="183"/>
      <c r="I36" s="183"/>
      <c r="J36" s="183"/>
    </row>
    <row r="37" ht="12.75" customHeight="1">
      <c r="B37" s="183"/>
      <c r="C37" s="183"/>
      <c r="D37" s="183"/>
      <c r="E37" s="183"/>
      <c r="F37" s="183"/>
      <c r="G37" s="183"/>
      <c r="H37" s="183"/>
      <c r="I37" s="183"/>
      <c r="J37" s="183"/>
    </row>
    <row r="38" ht="12.75" customHeight="1">
      <c r="B38" s="183"/>
      <c r="C38" s="183"/>
      <c r="D38" s="183"/>
      <c r="E38" s="183"/>
      <c r="F38" s="183"/>
      <c r="G38" s="183"/>
      <c r="H38" s="183"/>
      <c r="I38" s="183"/>
      <c r="J38" s="183"/>
    </row>
    <row r="39" ht="12.75" customHeight="1">
      <c r="B39" s="183"/>
      <c r="C39" s="183"/>
      <c r="D39" s="183"/>
      <c r="E39" s="183"/>
      <c r="F39" s="183"/>
      <c r="G39" s="183"/>
      <c r="H39" s="183"/>
      <c r="I39" s="183"/>
      <c r="J39" s="183"/>
    </row>
    <row r="40" ht="12.75" customHeight="1">
      <c r="B40" s="183"/>
      <c r="C40" s="183"/>
      <c r="D40" s="183"/>
      <c r="E40" s="183"/>
      <c r="F40" s="183"/>
      <c r="G40" s="183"/>
      <c r="H40" s="183"/>
      <c r="I40" s="183"/>
      <c r="J40" s="183"/>
    </row>
    <row r="41" ht="12.75" customHeight="1">
      <c r="B41" s="183"/>
      <c r="C41" s="183"/>
      <c r="D41" s="183"/>
      <c r="E41" s="183"/>
      <c r="F41" s="183"/>
      <c r="G41" s="183"/>
      <c r="H41" s="183"/>
      <c r="I41" s="183"/>
      <c r="J41" s="183"/>
    </row>
    <row r="42" ht="12.75" customHeight="1">
      <c r="B42" s="183"/>
      <c r="C42" s="183"/>
      <c r="D42" s="183"/>
      <c r="E42" s="183"/>
      <c r="F42" s="183"/>
      <c r="G42" s="183"/>
      <c r="H42" s="183"/>
      <c r="I42" s="183"/>
      <c r="J42" s="183"/>
    </row>
    <row r="43" ht="12.75" customHeight="1">
      <c r="B43" s="183"/>
      <c r="C43" s="183"/>
      <c r="D43" s="183"/>
      <c r="E43" s="183"/>
      <c r="F43" s="183"/>
      <c r="G43" s="183"/>
      <c r="H43" s="183"/>
      <c r="I43" s="183"/>
      <c r="J43" s="183"/>
    </row>
    <row r="44" ht="12.75" customHeight="1">
      <c r="B44" s="183"/>
      <c r="C44" s="183"/>
      <c r="D44" s="183"/>
      <c r="E44" s="183"/>
      <c r="F44" s="183"/>
      <c r="G44" s="183"/>
      <c r="H44" s="183"/>
      <c r="I44" s="183"/>
      <c r="J44" s="183"/>
    </row>
    <row r="45" ht="12.75" customHeight="1">
      <c r="B45" s="183"/>
      <c r="C45" s="183"/>
      <c r="D45" s="183"/>
      <c r="E45" s="183"/>
      <c r="F45" s="183"/>
      <c r="G45" s="183"/>
      <c r="H45" s="183"/>
      <c r="I45" s="183"/>
      <c r="J45" s="183"/>
    </row>
    <row r="46" ht="12.75" customHeight="1">
      <c r="B46" s="183"/>
      <c r="C46" s="183"/>
      <c r="D46" s="183"/>
      <c r="E46" s="183"/>
      <c r="F46" s="183"/>
      <c r="G46" s="183"/>
      <c r="H46" s="183"/>
      <c r="I46" s="183"/>
      <c r="J46" s="183"/>
    </row>
    <row r="47" ht="12.75" customHeight="1">
      <c r="B47" s="183"/>
      <c r="C47" s="183"/>
      <c r="D47" s="183"/>
      <c r="E47" s="183"/>
      <c r="F47" s="183"/>
      <c r="G47" s="183"/>
      <c r="H47" s="183"/>
      <c r="I47" s="183"/>
      <c r="J47" s="183"/>
    </row>
    <row r="48" ht="12.75" customHeight="1">
      <c r="B48" s="183"/>
      <c r="C48" s="183"/>
      <c r="D48" s="183"/>
      <c r="E48" s="183"/>
      <c r="F48" s="183"/>
      <c r="G48" s="183"/>
      <c r="H48" s="183"/>
      <c r="I48" s="183"/>
      <c r="J48" s="183"/>
    </row>
    <row r="49" ht="12.75" customHeight="1">
      <c r="B49" s="183"/>
      <c r="C49" s="183"/>
      <c r="D49" s="183"/>
      <c r="E49" s="183"/>
      <c r="F49" s="183"/>
      <c r="G49" s="183"/>
      <c r="H49" s="183"/>
      <c r="I49" s="183"/>
      <c r="J49" s="183"/>
    </row>
    <row r="50" ht="12.75" customHeight="1">
      <c r="B50" s="183"/>
      <c r="C50" s="183"/>
      <c r="D50" s="183"/>
      <c r="E50" s="183"/>
      <c r="F50" s="183"/>
      <c r="G50" s="183"/>
      <c r="H50" s="183"/>
      <c r="I50" s="183"/>
      <c r="J50" s="183"/>
    </row>
    <row r="51" ht="12.75" customHeight="1">
      <c r="B51" s="183"/>
      <c r="C51" s="183"/>
      <c r="D51" s="183"/>
      <c r="E51" s="183"/>
      <c r="F51" s="183"/>
      <c r="G51" s="183"/>
      <c r="H51" s="183"/>
      <c r="I51" s="183"/>
      <c r="J51" s="183"/>
    </row>
    <row r="52" ht="12.75" customHeight="1">
      <c r="B52" s="183"/>
      <c r="C52" s="183"/>
      <c r="D52" s="183"/>
      <c r="E52" s="183"/>
      <c r="F52" s="183"/>
      <c r="G52" s="183"/>
      <c r="H52" s="183"/>
      <c r="I52" s="183"/>
      <c r="J52" s="183"/>
    </row>
    <row r="53" ht="12.75" customHeight="1">
      <c r="B53" s="183"/>
      <c r="C53" s="183"/>
      <c r="D53" s="183"/>
      <c r="E53" s="183"/>
      <c r="F53" s="183"/>
      <c r="G53" s="183"/>
      <c r="H53" s="183"/>
      <c r="I53" s="183"/>
      <c r="J53" s="183"/>
    </row>
    <row r="54" ht="12.75" customHeight="1">
      <c r="B54" s="183"/>
      <c r="C54" s="183"/>
      <c r="D54" s="183"/>
      <c r="E54" s="183"/>
      <c r="F54" s="183"/>
      <c r="G54" s="183"/>
      <c r="H54" s="183"/>
      <c r="I54" s="183"/>
      <c r="J54" s="183"/>
    </row>
    <row r="55" ht="12.75" customHeight="1">
      <c r="B55" s="183"/>
      <c r="C55" s="183"/>
      <c r="D55" s="183"/>
      <c r="E55" s="183"/>
      <c r="F55" s="183"/>
      <c r="G55" s="183"/>
      <c r="H55" s="183"/>
      <c r="I55" s="183"/>
      <c r="J55" s="183"/>
    </row>
    <row r="56" ht="12.75" customHeight="1">
      <c r="B56" s="183"/>
      <c r="C56" s="183"/>
      <c r="D56" s="183"/>
      <c r="E56" s="183"/>
      <c r="F56" s="183"/>
      <c r="G56" s="183"/>
      <c r="H56" s="183"/>
      <c r="I56" s="183"/>
      <c r="J56" s="183"/>
    </row>
    <row r="57" ht="12.75" customHeight="1">
      <c r="B57" s="183"/>
      <c r="C57" s="183"/>
      <c r="D57" s="183"/>
      <c r="E57" s="183"/>
      <c r="F57" s="183"/>
      <c r="G57" s="183"/>
      <c r="H57" s="183"/>
      <c r="I57" s="183"/>
      <c r="J57" s="183"/>
    </row>
    <row r="58" ht="12.75" customHeight="1">
      <c r="B58" s="183"/>
      <c r="C58" s="183"/>
      <c r="D58" s="183"/>
      <c r="E58" s="183"/>
      <c r="F58" s="183"/>
      <c r="G58" s="183"/>
      <c r="H58" s="183"/>
      <c r="I58" s="183"/>
      <c r="J58" s="183"/>
    </row>
    <row r="59" ht="12.75" customHeight="1">
      <c r="B59" s="183"/>
      <c r="C59" s="183"/>
      <c r="D59" s="183"/>
      <c r="E59" s="183"/>
      <c r="F59" s="183"/>
      <c r="G59" s="183"/>
      <c r="H59" s="183"/>
      <c r="I59" s="183"/>
      <c r="J59" s="183"/>
    </row>
    <row r="60" ht="12.75" customHeight="1">
      <c r="B60" s="183"/>
      <c r="C60" s="183"/>
      <c r="D60" s="183"/>
      <c r="E60" s="183"/>
      <c r="F60" s="183"/>
      <c r="G60" s="183"/>
      <c r="H60" s="183"/>
      <c r="I60" s="183"/>
      <c r="J60" s="183"/>
    </row>
    <row r="61" ht="12.75" customHeight="1">
      <c r="B61" s="183"/>
      <c r="C61" s="183"/>
      <c r="D61" s="183"/>
      <c r="E61" s="183"/>
      <c r="F61" s="183"/>
      <c r="G61" s="183"/>
      <c r="H61" s="183"/>
      <c r="I61" s="183"/>
      <c r="J61" s="183"/>
    </row>
    <row r="62" ht="12.75" customHeight="1">
      <c r="B62" s="183"/>
      <c r="C62" s="183"/>
      <c r="D62" s="183"/>
      <c r="E62" s="183"/>
      <c r="F62" s="183"/>
      <c r="G62" s="183"/>
      <c r="H62" s="183"/>
      <c r="I62" s="183"/>
      <c r="J62" s="183"/>
    </row>
    <row r="63" ht="12.75" customHeight="1">
      <c r="B63" s="183"/>
      <c r="C63" s="183"/>
      <c r="D63" s="183"/>
      <c r="E63" s="183"/>
      <c r="F63" s="183"/>
      <c r="G63" s="183"/>
      <c r="H63" s="183"/>
      <c r="I63" s="183"/>
      <c r="J63" s="183"/>
    </row>
    <row r="64" ht="12.75" customHeight="1">
      <c r="B64" s="183"/>
      <c r="C64" s="183"/>
      <c r="D64" s="183"/>
      <c r="E64" s="183"/>
      <c r="F64" s="183"/>
      <c r="G64" s="183"/>
      <c r="H64" s="183"/>
      <c r="I64" s="183"/>
      <c r="J64" s="183"/>
    </row>
    <row r="65" ht="12.75" customHeight="1">
      <c r="B65" s="183"/>
      <c r="C65" s="183"/>
      <c r="D65" s="183"/>
      <c r="E65" s="183"/>
      <c r="F65" s="183"/>
      <c r="G65" s="183"/>
      <c r="H65" s="183"/>
      <c r="I65" s="183"/>
      <c r="J65" s="183"/>
    </row>
    <row r="66" ht="12.75" customHeight="1">
      <c r="B66" s="183"/>
      <c r="C66" s="183"/>
      <c r="D66" s="183"/>
      <c r="E66" s="183"/>
      <c r="F66" s="183"/>
      <c r="G66" s="183"/>
      <c r="H66" s="183"/>
      <c r="I66" s="183"/>
      <c r="J66" s="183"/>
    </row>
    <row r="67" ht="12.75" customHeight="1">
      <c r="B67" s="183"/>
      <c r="C67" s="183"/>
      <c r="D67" s="183"/>
      <c r="E67" s="183"/>
      <c r="F67" s="183"/>
      <c r="G67" s="183"/>
      <c r="H67" s="183"/>
      <c r="I67" s="183"/>
      <c r="J67" s="183"/>
    </row>
    <row r="68" ht="12.75" customHeight="1">
      <c r="B68" s="183"/>
      <c r="C68" s="183"/>
      <c r="D68" s="183"/>
      <c r="E68" s="183"/>
      <c r="F68" s="183"/>
      <c r="G68" s="183"/>
      <c r="H68" s="183"/>
      <c r="I68" s="183"/>
      <c r="J68" s="183"/>
    </row>
    <row r="69" ht="12.75" customHeight="1">
      <c r="B69" s="183"/>
      <c r="C69" s="183"/>
      <c r="D69" s="183"/>
      <c r="E69" s="183"/>
      <c r="F69" s="183"/>
      <c r="G69" s="183"/>
      <c r="H69" s="183"/>
      <c r="I69" s="183"/>
      <c r="J69" s="183"/>
    </row>
    <row r="70" ht="12.75" customHeight="1">
      <c r="B70" s="183"/>
      <c r="C70" s="183"/>
      <c r="D70" s="183"/>
      <c r="E70" s="183"/>
      <c r="F70" s="183"/>
      <c r="G70" s="183"/>
      <c r="H70" s="183"/>
      <c r="I70" s="183"/>
      <c r="J70" s="183"/>
    </row>
    <row r="71" ht="12.75" customHeight="1">
      <c r="B71" s="183"/>
      <c r="C71" s="183"/>
      <c r="D71" s="183"/>
      <c r="E71" s="183"/>
      <c r="F71" s="183"/>
      <c r="G71" s="183"/>
      <c r="H71" s="183"/>
      <c r="I71" s="183"/>
      <c r="J71" s="183"/>
    </row>
    <row r="72" ht="12.75" customHeight="1">
      <c r="B72" s="183"/>
      <c r="C72" s="183"/>
      <c r="D72" s="183"/>
      <c r="E72" s="183"/>
      <c r="F72" s="183"/>
      <c r="G72" s="183"/>
      <c r="H72" s="183"/>
      <c r="I72" s="183"/>
      <c r="J72" s="183"/>
    </row>
    <row r="73" ht="12.75" customHeight="1">
      <c r="B73" s="183"/>
      <c r="C73" s="183"/>
      <c r="D73" s="183"/>
      <c r="E73" s="183"/>
      <c r="F73" s="183"/>
      <c r="G73" s="183"/>
      <c r="H73" s="183"/>
      <c r="I73" s="183"/>
      <c r="J73" s="183"/>
    </row>
    <row r="74" ht="12.75" customHeight="1">
      <c r="B74" s="183"/>
      <c r="C74" s="183"/>
      <c r="D74" s="183"/>
      <c r="E74" s="183"/>
      <c r="F74" s="183"/>
      <c r="G74" s="183"/>
      <c r="H74" s="183"/>
      <c r="I74" s="183"/>
      <c r="J74" s="183"/>
    </row>
    <row r="75" ht="12.75" customHeight="1">
      <c r="B75" s="183"/>
      <c r="C75" s="183"/>
      <c r="D75" s="183"/>
      <c r="E75" s="183"/>
      <c r="F75" s="183"/>
      <c r="G75" s="183"/>
      <c r="H75" s="183"/>
      <c r="I75" s="183"/>
      <c r="J75" s="183"/>
    </row>
    <row r="76" ht="12.75" customHeight="1">
      <c r="B76" s="183"/>
      <c r="C76" s="183"/>
      <c r="D76" s="183"/>
      <c r="E76" s="183"/>
      <c r="F76" s="183"/>
      <c r="G76" s="183"/>
      <c r="H76" s="183"/>
      <c r="I76" s="183"/>
      <c r="J76" s="183"/>
    </row>
    <row r="77" ht="12.75" customHeight="1">
      <c r="B77" s="183"/>
      <c r="C77" s="183"/>
      <c r="D77" s="183"/>
      <c r="E77" s="183"/>
      <c r="F77" s="183"/>
      <c r="G77" s="183"/>
      <c r="H77" s="183"/>
      <c r="I77" s="183"/>
      <c r="J77" s="183"/>
    </row>
    <row r="78" ht="12.75" customHeight="1">
      <c r="B78" s="183"/>
      <c r="C78" s="183"/>
      <c r="D78" s="183"/>
      <c r="E78" s="183"/>
      <c r="F78" s="183"/>
      <c r="G78" s="183"/>
      <c r="H78" s="183"/>
      <c r="I78" s="183"/>
      <c r="J78" s="183"/>
    </row>
    <row r="79" ht="12.75" customHeight="1">
      <c r="B79" s="183"/>
      <c r="C79" s="183"/>
      <c r="D79" s="183"/>
      <c r="E79" s="183"/>
      <c r="F79" s="183"/>
      <c r="G79" s="183"/>
      <c r="H79" s="183"/>
      <c r="I79" s="183"/>
      <c r="J79" s="183"/>
    </row>
    <row r="80" ht="12.75" customHeight="1">
      <c r="B80" s="183"/>
      <c r="C80" s="183"/>
      <c r="D80" s="183"/>
      <c r="E80" s="183"/>
      <c r="F80" s="183"/>
      <c r="G80" s="183"/>
      <c r="H80" s="183"/>
      <c r="I80" s="183"/>
      <c r="J80" s="183"/>
    </row>
    <row r="81" ht="12.75" customHeight="1">
      <c r="B81" s="183"/>
      <c r="C81" s="183"/>
      <c r="D81" s="183"/>
      <c r="E81" s="183"/>
      <c r="F81" s="183"/>
      <c r="G81" s="183"/>
      <c r="H81" s="183"/>
      <c r="I81" s="183"/>
      <c r="J81" s="183"/>
    </row>
    <row r="82" ht="12.75" customHeight="1">
      <c r="B82" s="183"/>
      <c r="C82" s="183"/>
      <c r="D82" s="183"/>
      <c r="E82" s="183"/>
      <c r="F82" s="183"/>
      <c r="G82" s="183"/>
      <c r="H82" s="183"/>
      <c r="I82" s="183"/>
      <c r="J82" s="183"/>
    </row>
    <row r="83" ht="12.75" customHeight="1">
      <c r="B83" s="183"/>
      <c r="C83" s="183"/>
      <c r="D83" s="183"/>
      <c r="E83" s="183"/>
      <c r="F83" s="183"/>
      <c r="G83" s="183"/>
      <c r="H83" s="183"/>
      <c r="I83" s="183"/>
      <c r="J83" s="183"/>
    </row>
    <row r="84" ht="12.75" customHeight="1">
      <c r="B84" s="183"/>
      <c r="C84" s="183"/>
      <c r="D84" s="183"/>
      <c r="E84" s="183"/>
      <c r="F84" s="183"/>
      <c r="G84" s="183"/>
      <c r="H84" s="183"/>
      <c r="I84" s="183"/>
      <c r="J84" s="183"/>
    </row>
    <row r="85" ht="12.75" customHeight="1">
      <c r="B85" s="183"/>
      <c r="C85" s="183"/>
      <c r="D85" s="183"/>
      <c r="E85" s="183"/>
      <c r="F85" s="183"/>
      <c r="G85" s="183"/>
      <c r="H85" s="183"/>
      <c r="I85" s="183"/>
      <c r="J85" s="183"/>
    </row>
    <row r="86" ht="12.75" customHeight="1">
      <c r="B86" s="183"/>
      <c r="C86" s="183"/>
      <c r="D86" s="183"/>
      <c r="E86" s="183"/>
      <c r="F86" s="183"/>
      <c r="G86" s="183"/>
      <c r="H86" s="183"/>
      <c r="I86" s="183"/>
      <c r="J86" s="183"/>
    </row>
    <row r="87" ht="12.75" customHeight="1">
      <c r="B87" s="183"/>
      <c r="C87" s="183"/>
      <c r="D87" s="183"/>
      <c r="E87" s="183"/>
      <c r="F87" s="183"/>
      <c r="G87" s="183"/>
      <c r="H87" s="183"/>
      <c r="I87" s="183"/>
      <c r="J87" s="183"/>
    </row>
    <row r="88" ht="12.75" customHeight="1">
      <c r="B88" s="183"/>
      <c r="C88" s="183"/>
      <c r="D88" s="183"/>
      <c r="E88" s="183"/>
      <c r="F88" s="183"/>
      <c r="G88" s="183"/>
      <c r="H88" s="183"/>
      <c r="I88" s="183"/>
      <c r="J88" s="183"/>
    </row>
    <row r="89" ht="12.75" customHeight="1">
      <c r="B89" s="183"/>
      <c r="C89" s="183"/>
      <c r="D89" s="183"/>
      <c r="E89" s="183"/>
      <c r="F89" s="183"/>
      <c r="G89" s="183"/>
      <c r="H89" s="183"/>
      <c r="I89" s="183"/>
      <c r="J89" s="183"/>
    </row>
    <row r="90" ht="12.75" customHeight="1">
      <c r="B90" s="183"/>
      <c r="C90" s="183"/>
      <c r="D90" s="183"/>
      <c r="E90" s="183"/>
      <c r="F90" s="183"/>
      <c r="G90" s="183"/>
      <c r="H90" s="183"/>
      <c r="I90" s="183"/>
      <c r="J90" s="183"/>
    </row>
    <row r="91" ht="12.75" customHeight="1">
      <c r="B91" s="183"/>
      <c r="C91" s="183"/>
      <c r="D91" s="183"/>
      <c r="E91" s="183"/>
      <c r="F91" s="183"/>
      <c r="G91" s="183"/>
      <c r="H91" s="183"/>
      <c r="I91" s="183"/>
      <c r="J91" s="183"/>
    </row>
    <row r="92" ht="12.75" customHeight="1">
      <c r="B92" s="183"/>
      <c r="C92" s="183"/>
      <c r="D92" s="183"/>
      <c r="E92" s="183"/>
      <c r="F92" s="183"/>
      <c r="G92" s="183"/>
      <c r="H92" s="183"/>
      <c r="I92" s="183"/>
      <c r="J92" s="183"/>
    </row>
    <row r="93" ht="12.75" customHeight="1">
      <c r="B93" s="183"/>
      <c r="C93" s="183"/>
      <c r="D93" s="183"/>
      <c r="E93" s="183"/>
      <c r="F93" s="183"/>
      <c r="G93" s="183"/>
      <c r="H93" s="183"/>
      <c r="I93" s="183"/>
      <c r="J93" s="183"/>
    </row>
    <row r="94" ht="12.75" customHeight="1">
      <c r="B94" s="183"/>
      <c r="C94" s="183"/>
      <c r="D94" s="183"/>
      <c r="E94" s="183"/>
      <c r="F94" s="183"/>
      <c r="G94" s="183"/>
      <c r="H94" s="183"/>
      <c r="I94" s="183"/>
      <c r="J94" s="183"/>
    </row>
    <row r="95" ht="12.75" customHeight="1">
      <c r="B95" s="183"/>
      <c r="C95" s="183"/>
      <c r="D95" s="183"/>
      <c r="E95" s="183"/>
      <c r="F95" s="183"/>
      <c r="G95" s="183"/>
      <c r="H95" s="183"/>
      <c r="I95" s="183"/>
      <c r="J95" s="183"/>
    </row>
    <row r="96" ht="12.75" customHeight="1">
      <c r="B96" s="183"/>
      <c r="C96" s="183"/>
      <c r="D96" s="183"/>
      <c r="E96" s="183"/>
      <c r="F96" s="183"/>
      <c r="G96" s="183"/>
      <c r="H96" s="183"/>
      <c r="I96" s="183"/>
      <c r="J96" s="183"/>
    </row>
    <row r="97" ht="12.75" customHeight="1">
      <c r="B97" s="183"/>
      <c r="C97" s="183"/>
      <c r="D97" s="183"/>
      <c r="E97" s="183"/>
      <c r="F97" s="183"/>
      <c r="G97" s="183"/>
      <c r="H97" s="183"/>
      <c r="I97" s="183"/>
      <c r="J97" s="183"/>
    </row>
    <row r="98" ht="12.75" customHeight="1">
      <c r="B98" s="183"/>
      <c r="C98" s="183"/>
      <c r="D98" s="183"/>
      <c r="E98" s="183"/>
      <c r="F98" s="183"/>
      <c r="G98" s="183"/>
      <c r="H98" s="183"/>
      <c r="I98" s="183"/>
      <c r="J98" s="183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10" width="8.43"/>
    <col customWidth="1" min="11" max="30" width="17.29"/>
  </cols>
  <sheetData>
    <row r="1" ht="12.75" customHeight="1">
      <c r="A1" s="1" t="s">
        <v>83</v>
      </c>
      <c r="B1" s="133"/>
      <c r="C1" s="133"/>
      <c r="D1" s="133"/>
      <c r="E1" s="133"/>
      <c r="F1" s="134"/>
      <c r="G1" s="135"/>
      <c r="H1" s="58"/>
      <c r="I1" s="58"/>
      <c r="J1" s="135"/>
      <c r="K1" s="3"/>
    </row>
    <row r="2" ht="12.75" customHeight="1">
      <c r="A2" s="8" t="str">
        <f>CLTV!A2</f>
        <v>For more information about this template, see www.startupdocs.se by Erik Byrenius. Latest update: 2015-12-03. See sheet "Summary" for more instructions.</v>
      </c>
      <c r="B2" s="136"/>
      <c r="C2" s="136"/>
      <c r="D2" s="136"/>
      <c r="E2" s="136"/>
      <c r="F2" s="136"/>
      <c r="G2" s="136"/>
      <c r="H2" s="136"/>
      <c r="I2" s="136"/>
      <c r="J2" s="136"/>
      <c r="K2" s="10"/>
      <c r="L2" s="10"/>
      <c r="M2" s="10"/>
      <c r="N2" s="1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ht="12.75" customHeight="1">
      <c r="A4" s="48"/>
      <c r="B4" s="137" t="s">
        <v>39</v>
      </c>
      <c r="C4" s="137" t="s">
        <v>84</v>
      </c>
      <c r="D4" s="137" t="s">
        <v>85</v>
      </c>
      <c r="E4" s="137" t="s">
        <v>86</v>
      </c>
      <c r="F4" s="137" t="s">
        <v>87</v>
      </c>
      <c r="G4" s="137" t="s">
        <v>71</v>
      </c>
      <c r="H4" s="137" t="s">
        <v>88</v>
      </c>
      <c r="I4" s="137" t="s">
        <v>89</v>
      </c>
      <c r="J4" s="137" t="s">
        <v>90</v>
      </c>
    </row>
    <row r="5" ht="12.75" customHeight="1">
      <c r="A5" s="138" t="s">
        <v>67</v>
      </c>
      <c r="B5" s="139">
        <v>4280.0</v>
      </c>
      <c r="C5" s="141">
        <v>55930.0</v>
      </c>
      <c r="D5" s="144">
        <v>0.19</v>
      </c>
      <c r="E5" s="147">
        <f t="shared" ref="E5:E14" si="1">C5*(1-D5)</f>
        <v>45303.3</v>
      </c>
      <c r="F5" s="150">
        <v>728.0</v>
      </c>
      <c r="G5" s="153">
        <f t="shared" ref="G5:G14" si="2">IFERROR(B5*(1-D5)/F5, 0)</f>
        <v>4.762087912</v>
      </c>
      <c r="H5" s="147">
        <f t="shared" ref="H5:H14" si="3">C5*D5</f>
        <v>10626.7</v>
      </c>
      <c r="I5" s="150">
        <v>269.0</v>
      </c>
      <c r="J5" s="14">
        <f t="shared" ref="J5:J14" si="4">IFERROR(B5*D5/I5, 0)</f>
        <v>3.023048327</v>
      </c>
    </row>
    <row r="6" ht="12.75" customHeight="1">
      <c r="A6" s="46" t="s">
        <v>72</v>
      </c>
      <c r="B6" s="139">
        <v>0.0</v>
      </c>
      <c r="C6" s="106">
        <v>30372.0</v>
      </c>
      <c r="D6" s="105">
        <v>0.23</v>
      </c>
      <c r="E6" s="79">
        <f t="shared" si="1"/>
        <v>23386.44</v>
      </c>
      <c r="F6" s="157">
        <v>422.0</v>
      </c>
      <c r="G6" s="153">
        <f t="shared" si="2"/>
        <v>0</v>
      </c>
      <c r="H6" s="79">
        <f t="shared" si="3"/>
        <v>6985.56</v>
      </c>
      <c r="I6" s="157">
        <v>198.0</v>
      </c>
      <c r="J6" s="14">
        <f t="shared" si="4"/>
        <v>0</v>
      </c>
    </row>
    <row r="7" ht="12.75" customHeight="1">
      <c r="A7" s="46" t="s">
        <v>75</v>
      </c>
      <c r="B7" s="139">
        <v>1981.4</v>
      </c>
      <c r="C7" s="106">
        <v>2777.0</v>
      </c>
      <c r="D7" s="105">
        <v>0.83</v>
      </c>
      <c r="E7" s="79">
        <f t="shared" si="1"/>
        <v>472.09</v>
      </c>
      <c r="F7" s="157">
        <v>8.0</v>
      </c>
      <c r="G7" s="153">
        <f t="shared" si="2"/>
        <v>42.10475</v>
      </c>
      <c r="H7" s="79">
        <f t="shared" si="3"/>
        <v>2304.91</v>
      </c>
      <c r="I7" s="157">
        <v>64.0</v>
      </c>
      <c r="J7" s="14">
        <f t="shared" si="4"/>
        <v>25.69628125</v>
      </c>
    </row>
    <row r="8" ht="12.75" customHeight="1">
      <c r="A8" s="46" t="s">
        <v>76</v>
      </c>
      <c r="B8" s="139">
        <v>0.0</v>
      </c>
      <c r="C8" s="106">
        <v>0.0</v>
      </c>
      <c r="D8" s="105">
        <v>0.0</v>
      </c>
      <c r="E8" s="79">
        <f t="shared" si="1"/>
        <v>0</v>
      </c>
      <c r="F8" s="157">
        <v>0.0</v>
      </c>
      <c r="G8" s="153">
        <f t="shared" si="2"/>
        <v>0</v>
      </c>
      <c r="H8" s="79">
        <f t="shared" si="3"/>
        <v>0</v>
      </c>
      <c r="I8" s="157">
        <v>0.0</v>
      </c>
      <c r="J8" s="14">
        <f t="shared" si="4"/>
        <v>0</v>
      </c>
    </row>
    <row r="9" ht="12.75" customHeight="1">
      <c r="A9" s="46" t="s">
        <v>77</v>
      </c>
      <c r="B9" s="139">
        <v>463.55</v>
      </c>
      <c r="C9" s="106">
        <v>8971.0</v>
      </c>
      <c r="D9" s="105">
        <v>0.36</v>
      </c>
      <c r="E9" s="79">
        <f t="shared" si="1"/>
        <v>5741.44</v>
      </c>
      <c r="F9" s="157">
        <v>132.0</v>
      </c>
      <c r="G9" s="153">
        <f t="shared" si="2"/>
        <v>2.247515152</v>
      </c>
      <c r="H9" s="79">
        <f t="shared" si="3"/>
        <v>3229.56</v>
      </c>
      <c r="I9" s="157">
        <v>96.0</v>
      </c>
      <c r="J9" s="14">
        <f t="shared" si="4"/>
        <v>1.7383125</v>
      </c>
    </row>
    <row r="10" ht="12.75" customHeight="1">
      <c r="A10" s="46" t="s">
        <v>78</v>
      </c>
      <c r="B10" s="139">
        <v>1770.45</v>
      </c>
      <c r="C10" s="106">
        <v>29292.0</v>
      </c>
      <c r="D10" s="105">
        <v>0.27</v>
      </c>
      <c r="E10" s="79">
        <f t="shared" si="1"/>
        <v>21383.16</v>
      </c>
      <c r="F10" s="157">
        <v>430.0</v>
      </c>
      <c r="G10" s="153">
        <f t="shared" si="2"/>
        <v>3.005647674</v>
      </c>
      <c r="H10" s="79">
        <f t="shared" si="3"/>
        <v>7908.84</v>
      </c>
      <c r="I10" s="157">
        <v>277.0</v>
      </c>
      <c r="J10" s="14">
        <f t="shared" si="4"/>
        <v>1.725709386</v>
      </c>
    </row>
    <row r="11" ht="12.75" customHeight="1">
      <c r="A11" s="46" t="s">
        <v>79</v>
      </c>
      <c r="B11" s="139">
        <v>512.6</v>
      </c>
      <c r="C11" s="106">
        <v>2216.0</v>
      </c>
      <c r="D11" s="105">
        <v>0.84</v>
      </c>
      <c r="E11" s="79">
        <f t="shared" si="1"/>
        <v>354.56</v>
      </c>
      <c r="F11" s="157">
        <v>4.0</v>
      </c>
      <c r="G11" s="153">
        <f t="shared" si="2"/>
        <v>20.504</v>
      </c>
      <c r="H11" s="79">
        <f t="shared" si="3"/>
        <v>1861.44</v>
      </c>
      <c r="I11" s="157">
        <v>255.0</v>
      </c>
      <c r="J11" s="14">
        <f t="shared" si="4"/>
        <v>1.688564706</v>
      </c>
    </row>
    <row r="12" ht="12.75" customHeight="1">
      <c r="A12" s="46" t="s">
        <v>80</v>
      </c>
      <c r="B12" s="139">
        <v>135.61</v>
      </c>
      <c r="C12" s="106">
        <v>998.0</v>
      </c>
      <c r="D12" s="105">
        <v>0.25</v>
      </c>
      <c r="E12" s="79">
        <f t="shared" si="1"/>
        <v>748.5</v>
      </c>
      <c r="F12" s="157">
        <v>14.0</v>
      </c>
      <c r="G12" s="153">
        <f t="shared" si="2"/>
        <v>7.264821429</v>
      </c>
      <c r="H12" s="79">
        <f t="shared" si="3"/>
        <v>249.5</v>
      </c>
      <c r="I12" s="157">
        <v>10.0</v>
      </c>
      <c r="J12" s="14">
        <f t="shared" si="4"/>
        <v>3.39025</v>
      </c>
    </row>
    <row r="13" ht="12.75" customHeight="1">
      <c r="A13" s="46" t="s">
        <v>81</v>
      </c>
      <c r="B13" s="139">
        <v>0.0</v>
      </c>
      <c r="C13" s="106">
        <v>0.0</v>
      </c>
      <c r="D13" s="105">
        <v>0.0</v>
      </c>
      <c r="E13" s="79">
        <f t="shared" si="1"/>
        <v>0</v>
      </c>
      <c r="F13" s="157">
        <v>0.0</v>
      </c>
      <c r="G13" s="153">
        <f t="shared" si="2"/>
        <v>0</v>
      </c>
      <c r="H13" s="79">
        <f t="shared" si="3"/>
        <v>0</v>
      </c>
      <c r="I13" s="157">
        <v>0.0</v>
      </c>
      <c r="J13" s="14">
        <f t="shared" si="4"/>
        <v>0</v>
      </c>
    </row>
    <row r="14" ht="12.75" customHeight="1">
      <c r="A14" s="46" t="s">
        <v>82</v>
      </c>
      <c r="B14" s="139">
        <v>882.2</v>
      </c>
      <c r="C14" s="106">
        <v>9926.0</v>
      </c>
      <c r="D14" s="105">
        <v>0.3</v>
      </c>
      <c r="E14" s="79">
        <f t="shared" si="1"/>
        <v>6948.2</v>
      </c>
      <c r="F14" s="157">
        <v>122.0</v>
      </c>
      <c r="G14" s="153">
        <f t="shared" si="2"/>
        <v>5.061803279</v>
      </c>
      <c r="H14" s="79">
        <f t="shared" si="3"/>
        <v>2977.8</v>
      </c>
      <c r="I14" s="157">
        <v>108.0</v>
      </c>
      <c r="J14" s="14">
        <f t="shared" si="4"/>
        <v>2.450555556</v>
      </c>
    </row>
    <row r="15" ht="12.75" customHeight="1">
      <c r="A15" s="46"/>
      <c r="B15" s="166"/>
      <c r="C15" s="79"/>
      <c r="D15" s="167"/>
      <c r="E15" s="79"/>
      <c r="F15" s="79"/>
      <c r="G15" s="14"/>
      <c r="H15" s="79"/>
      <c r="I15" s="79"/>
      <c r="J15" s="14"/>
    </row>
    <row r="16" ht="12.75" customHeight="1">
      <c r="A16" s="168" t="s">
        <v>91</v>
      </c>
      <c r="B16" s="169">
        <f t="shared" ref="B16:C16" si="5">SUM(B5:B14)</f>
        <v>10025.81</v>
      </c>
      <c r="C16" s="152">
        <f t="shared" si="5"/>
        <v>140482</v>
      </c>
      <c r="D16" s="170">
        <f>H16/C16</f>
        <v>0.2572878376</v>
      </c>
      <c r="E16" s="152">
        <f t="shared" ref="E16:F16" si="6">SUM(E5:E15)</f>
        <v>104337.69</v>
      </c>
      <c r="F16" s="172">
        <f t="shared" si="6"/>
        <v>1860</v>
      </c>
      <c r="G16" s="173">
        <f>SUMPRODUCT(G5:G14,F5:F14)/F16</f>
        <v>3.330108602</v>
      </c>
      <c r="H16" s="152">
        <f t="shared" ref="H16:I16" si="7">SUM(H5:H15)</f>
        <v>36144.31</v>
      </c>
      <c r="I16" s="172">
        <f t="shared" si="7"/>
        <v>1277</v>
      </c>
      <c r="J16" s="175">
        <f>SUMPRODUCT(J5:J14,I5:I14)/I16</f>
        <v>3.000632733</v>
      </c>
      <c r="K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ht="12.75" customHeight="1">
      <c r="A17" s="46"/>
      <c r="B17" s="166"/>
      <c r="C17" s="79"/>
      <c r="D17" s="167"/>
      <c r="E17" s="79"/>
      <c r="F17" s="79"/>
      <c r="G17" s="14"/>
      <c r="H17" s="79"/>
      <c r="I17" s="79"/>
      <c r="J17" s="14"/>
    </row>
    <row r="18" ht="12.75" customHeight="1">
      <c r="A18" s="46" t="s">
        <v>96</v>
      </c>
      <c r="B18" s="139">
        <v>0.0</v>
      </c>
      <c r="C18" s="106">
        <v>23188.0</v>
      </c>
      <c r="D18" s="105">
        <v>0.82</v>
      </c>
      <c r="E18" s="79">
        <f t="shared" ref="E18:E21" si="8">C18*(1-D18)</f>
        <v>4173.84</v>
      </c>
      <c r="F18" s="157">
        <v>131.0</v>
      </c>
      <c r="G18" s="153">
        <f t="shared" ref="G18:G21" si="9">IFERROR(B18*(1-D18)/F18, 0)</f>
        <v>0</v>
      </c>
      <c r="H18" s="79">
        <f t="shared" ref="H18:H21" si="10">C18*D18</f>
        <v>19014.16</v>
      </c>
      <c r="I18" s="157">
        <v>499.0</v>
      </c>
      <c r="J18" s="14">
        <f t="shared" ref="J18:J21" si="11">IFERROR(B18*D18/I18, 0)</f>
        <v>0</v>
      </c>
    </row>
    <row r="19" ht="12.75" customHeight="1">
      <c r="A19" s="46" t="s">
        <v>99</v>
      </c>
      <c r="B19" s="139">
        <v>1037.7</v>
      </c>
      <c r="C19" s="106">
        <v>4280.0</v>
      </c>
      <c r="D19" s="105">
        <v>0.73</v>
      </c>
      <c r="E19" s="79">
        <f t="shared" si="8"/>
        <v>1155.6</v>
      </c>
      <c r="F19" s="157">
        <v>28.0</v>
      </c>
      <c r="G19" s="153">
        <f t="shared" si="9"/>
        <v>10.00639286</v>
      </c>
      <c r="H19" s="79">
        <f t="shared" si="10"/>
        <v>3124.4</v>
      </c>
      <c r="I19" s="157">
        <v>110.0</v>
      </c>
      <c r="J19" s="14">
        <f t="shared" si="11"/>
        <v>6.886554545</v>
      </c>
    </row>
    <row r="20" ht="12.75" customHeight="1">
      <c r="A20" s="46" t="s">
        <v>101</v>
      </c>
      <c r="B20" s="139">
        <v>0.0</v>
      </c>
      <c r="C20" s="106">
        <v>129792.0</v>
      </c>
      <c r="D20" s="105">
        <v>0.81</v>
      </c>
      <c r="E20" s="79">
        <f t="shared" si="8"/>
        <v>24660.48</v>
      </c>
      <c r="F20" s="157">
        <v>327.0</v>
      </c>
      <c r="G20" s="153">
        <f t="shared" si="9"/>
        <v>0</v>
      </c>
      <c r="H20" s="79">
        <f t="shared" si="10"/>
        <v>105131.52</v>
      </c>
      <c r="I20" s="157">
        <v>2940.0</v>
      </c>
      <c r="J20" s="14">
        <f t="shared" si="11"/>
        <v>0</v>
      </c>
    </row>
    <row r="21" ht="12.75" customHeight="1">
      <c r="A21" s="46" t="s">
        <v>102</v>
      </c>
      <c r="B21" s="139">
        <v>0.0</v>
      </c>
      <c r="C21" s="106">
        <v>0.0</v>
      </c>
      <c r="D21" s="105">
        <v>0.0</v>
      </c>
      <c r="E21" s="79">
        <f t="shared" si="8"/>
        <v>0</v>
      </c>
      <c r="F21" s="157">
        <v>0.0</v>
      </c>
      <c r="G21" s="153">
        <f t="shared" si="9"/>
        <v>0</v>
      </c>
      <c r="H21" s="79">
        <f t="shared" si="10"/>
        <v>0</v>
      </c>
      <c r="I21" s="157">
        <v>0.0</v>
      </c>
      <c r="J21" s="14">
        <f t="shared" si="11"/>
        <v>0</v>
      </c>
    </row>
    <row r="22" ht="12.75" customHeight="1">
      <c r="A22" s="46"/>
      <c r="B22" s="166"/>
      <c r="C22" s="79"/>
      <c r="D22" s="167"/>
      <c r="E22" s="79"/>
      <c r="F22" s="79"/>
      <c r="G22" s="14"/>
      <c r="H22" s="79"/>
      <c r="I22" s="79"/>
      <c r="J22" s="14"/>
    </row>
    <row r="23" ht="12.75" customHeight="1">
      <c r="A23" s="168" t="s">
        <v>103</v>
      </c>
      <c r="B23" s="169">
        <f t="shared" ref="B23:C23" si="12">SUM(B17:B22)</f>
        <v>1037.7</v>
      </c>
      <c r="C23" s="152">
        <f t="shared" si="12"/>
        <v>157260</v>
      </c>
      <c r="D23" s="170">
        <f>H23/C23</f>
        <v>0.8092972148</v>
      </c>
      <c r="E23" s="152">
        <f t="shared" ref="E23:F23" si="13">SUM(E17:E22)</f>
        <v>29989.92</v>
      </c>
      <c r="F23" s="172">
        <f t="shared" si="13"/>
        <v>486</v>
      </c>
      <c r="G23" s="173">
        <f>SUMPRODUCT(G18:G21,F18:F21)/F23</f>
        <v>0.5765</v>
      </c>
      <c r="H23" s="152">
        <f t="shared" ref="H23:I23" si="14">SUM(H17:H22)</f>
        <v>127270.08</v>
      </c>
      <c r="I23" s="172">
        <f t="shared" si="14"/>
        <v>3549</v>
      </c>
      <c r="J23" s="175">
        <f>SUMPRODUCT(J18:J21,I18:I21)/I23</f>
        <v>0.2134463229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ht="12.75" customHeight="1">
      <c r="A24" s="46"/>
      <c r="B24" s="166"/>
      <c r="C24" s="79"/>
      <c r="D24" s="167"/>
      <c r="E24" s="79"/>
      <c r="F24" s="79"/>
      <c r="G24" s="14"/>
      <c r="H24" s="79"/>
      <c r="I24" s="79"/>
      <c r="J24" s="14"/>
    </row>
    <row r="25" ht="12.75" customHeight="1">
      <c r="A25" s="177" t="s">
        <v>105</v>
      </c>
      <c r="B25" s="178">
        <f t="shared" ref="B25:C25" si="15">B23+B16</f>
        <v>11063.51</v>
      </c>
      <c r="C25" s="179">
        <f t="shared" si="15"/>
        <v>297742</v>
      </c>
      <c r="D25" s="180">
        <f>H25/C25</f>
        <v>0.5488456113</v>
      </c>
      <c r="E25" s="179">
        <f t="shared" ref="E25:F25" si="16">E23+E16</f>
        <v>134327.61</v>
      </c>
      <c r="F25" s="172">
        <f t="shared" si="16"/>
        <v>2346</v>
      </c>
      <c r="G25" s="181">
        <f>(G16*F16+G23*F23)/F25</f>
        <v>2.759667945</v>
      </c>
      <c r="H25" s="179">
        <f t="shared" ref="H25:I25" si="17">H23+H16</f>
        <v>163414.39</v>
      </c>
      <c r="I25" s="172">
        <f t="shared" si="17"/>
        <v>4826</v>
      </c>
      <c r="J25" s="182">
        <f>B25*D25/I25</f>
        <v>1.25821776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ht="12.75" customHeight="1">
      <c r="B26" s="183"/>
      <c r="C26" s="184"/>
      <c r="D26" s="183"/>
      <c r="E26" s="183"/>
      <c r="F26" s="183"/>
      <c r="G26" s="183"/>
      <c r="H26" s="183"/>
      <c r="I26" s="183"/>
      <c r="J26" s="183"/>
    </row>
    <row r="27" ht="12.75" customHeight="1">
      <c r="B27" s="183"/>
      <c r="C27" s="184"/>
      <c r="D27" s="183"/>
      <c r="E27" s="183"/>
      <c r="F27" s="183"/>
      <c r="G27" s="183"/>
      <c r="H27" s="183"/>
      <c r="I27" s="183"/>
      <c r="J27" s="183"/>
    </row>
    <row r="28" ht="12.75" customHeight="1">
      <c r="B28" s="183"/>
      <c r="C28" s="183"/>
      <c r="D28" s="183"/>
      <c r="E28" s="183"/>
      <c r="F28" s="183"/>
      <c r="G28" s="183"/>
      <c r="H28" s="183"/>
      <c r="I28" s="183"/>
      <c r="J28" s="183"/>
    </row>
    <row r="29" ht="12.75" customHeight="1">
      <c r="B29" s="183"/>
      <c r="C29" s="183"/>
      <c r="D29" s="183"/>
      <c r="E29" s="183"/>
      <c r="F29" s="183"/>
      <c r="G29" s="183"/>
      <c r="H29" s="183"/>
      <c r="I29" s="183"/>
      <c r="J29" s="183"/>
    </row>
    <row r="30" ht="12.75" customHeight="1">
      <c r="B30" s="183"/>
      <c r="C30" s="183"/>
      <c r="D30" s="183"/>
      <c r="E30" s="183"/>
      <c r="F30" s="183"/>
      <c r="G30" s="183"/>
      <c r="H30" s="183"/>
      <c r="I30" s="183"/>
      <c r="J30" s="183"/>
    </row>
    <row r="31" ht="12.75" customHeight="1">
      <c r="B31" s="183"/>
      <c r="C31" s="183"/>
      <c r="D31" s="183"/>
      <c r="E31" s="183"/>
      <c r="F31" s="183"/>
      <c r="G31" s="183"/>
      <c r="H31" s="183"/>
      <c r="I31" s="183"/>
      <c r="J31" s="183"/>
    </row>
    <row r="32" ht="12.75" customHeight="1">
      <c r="B32" s="183"/>
      <c r="C32" s="183"/>
      <c r="D32" s="183"/>
      <c r="E32" s="183"/>
      <c r="F32" s="183"/>
      <c r="G32" s="183"/>
      <c r="H32" s="183"/>
      <c r="I32" s="183"/>
      <c r="J32" s="183"/>
    </row>
    <row r="33" ht="12.75" customHeight="1">
      <c r="B33" s="183"/>
      <c r="C33" s="183"/>
      <c r="D33" s="183"/>
      <c r="E33" s="183"/>
      <c r="F33" s="183"/>
      <c r="G33" s="183"/>
      <c r="H33" s="183"/>
      <c r="I33" s="183"/>
      <c r="J33" s="183"/>
    </row>
    <row r="34" ht="12.75" customHeight="1">
      <c r="B34" s="183"/>
      <c r="C34" s="183"/>
      <c r="D34" s="183"/>
      <c r="E34" s="183"/>
      <c r="F34" s="183"/>
      <c r="G34" s="183"/>
      <c r="H34" s="183"/>
      <c r="I34" s="183"/>
      <c r="J34" s="183"/>
    </row>
    <row r="35" ht="12.75" customHeight="1">
      <c r="B35" s="183"/>
      <c r="C35" s="183"/>
      <c r="D35" s="183"/>
      <c r="E35" s="183"/>
      <c r="F35" s="183"/>
      <c r="G35" s="183"/>
      <c r="H35" s="183"/>
      <c r="I35" s="183"/>
      <c r="J35" s="183"/>
    </row>
    <row r="36" ht="12.75" customHeight="1">
      <c r="B36" s="183"/>
      <c r="C36" s="183"/>
      <c r="D36" s="183"/>
      <c r="E36" s="183"/>
      <c r="F36" s="183"/>
      <c r="G36" s="183"/>
      <c r="H36" s="183"/>
      <c r="I36" s="183"/>
      <c r="J36" s="183"/>
    </row>
    <row r="37" ht="12.75" customHeight="1">
      <c r="B37" s="183"/>
      <c r="C37" s="183"/>
      <c r="D37" s="183"/>
      <c r="E37" s="183"/>
      <c r="F37" s="183"/>
      <c r="G37" s="183"/>
      <c r="H37" s="183"/>
      <c r="I37" s="183"/>
      <c r="J37" s="183"/>
    </row>
    <row r="38" ht="12.75" customHeight="1">
      <c r="B38" s="183"/>
      <c r="C38" s="183"/>
      <c r="D38" s="183"/>
      <c r="E38" s="183"/>
      <c r="F38" s="183"/>
      <c r="G38" s="183"/>
      <c r="H38" s="183"/>
      <c r="I38" s="183"/>
      <c r="J38" s="183"/>
    </row>
    <row r="39" ht="12.75" customHeight="1">
      <c r="B39" s="183"/>
      <c r="C39" s="183"/>
      <c r="D39" s="183"/>
      <c r="E39" s="183"/>
      <c r="F39" s="183"/>
      <c r="G39" s="183"/>
      <c r="H39" s="183"/>
      <c r="I39" s="183"/>
      <c r="J39" s="183"/>
    </row>
    <row r="40" ht="12.75" customHeight="1">
      <c r="B40" s="183"/>
      <c r="C40" s="183"/>
      <c r="D40" s="183"/>
      <c r="E40" s="183"/>
      <c r="F40" s="183"/>
      <c r="G40" s="183"/>
      <c r="H40" s="183"/>
      <c r="I40" s="183"/>
      <c r="J40" s="183"/>
    </row>
    <row r="41" ht="12.75" customHeight="1">
      <c r="B41" s="183"/>
      <c r="C41" s="183"/>
      <c r="D41" s="183"/>
      <c r="E41" s="183"/>
      <c r="F41" s="183"/>
      <c r="G41" s="183"/>
      <c r="H41" s="183"/>
      <c r="I41" s="183"/>
      <c r="J41" s="183"/>
    </row>
    <row r="42" ht="12.75" customHeight="1">
      <c r="B42" s="183"/>
      <c r="C42" s="183"/>
      <c r="D42" s="183"/>
      <c r="E42" s="183"/>
      <c r="F42" s="183"/>
      <c r="G42" s="183"/>
      <c r="H42" s="183"/>
      <c r="I42" s="183"/>
      <c r="J42" s="183"/>
    </row>
    <row r="43" ht="12.75" customHeight="1">
      <c r="B43" s="183"/>
      <c r="C43" s="183"/>
      <c r="D43" s="183"/>
      <c r="E43" s="183"/>
      <c r="F43" s="183"/>
      <c r="G43" s="183"/>
      <c r="H43" s="183"/>
      <c r="I43" s="183"/>
      <c r="J43" s="183"/>
    </row>
    <row r="44" ht="12.75" customHeight="1">
      <c r="B44" s="183"/>
      <c r="C44" s="183"/>
      <c r="D44" s="183"/>
      <c r="E44" s="183"/>
      <c r="F44" s="183"/>
      <c r="G44" s="183"/>
      <c r="H44" s="183"/>
      <c r="I44" s="183"/>
      <c r="J44" s="183"/>
    </row>
    <row r="45" ht="12.75" customHeight="1">
      <c r="B45" s="183"/>
      <c r="C45" s="183"/>
      <c r="D45" s="183"/>
      <c r="E45" s="183"/>
      <c r="F45" s="183"/>
      <c r="G45" s="183"/>
      <c r="H45" s="183"/>
      <c r="I45" s="183"/>
      <c r="J45" s="183"/>
    </row>
    <row r="46" ht="12.75" customHeight="1">
      <c r="B46" s="183"/>
      <c r="C46" s="183"/>
      <c r="D46" s="183"/>
      <c r="E46" s="183"/>
      <c r="F46" s="183"/>
      <c r="G46" s="183"/>
      <c r="H46" s="183"/>
      <c r="I46" s="183"/>
      <c r="J46" s="183"/>
    </row>
    <row r="47" ht="12.75" customHeight="1">
      <c r="B47" s="183"/>
      <c r="C47" s="183"/>
      <c r="D47" s="183"/>
      <c r="E47" s="183"/>
      <c r="F47" s="183"/>
      <c r="G47" s="183"/>
      <c r="H47" s="183"/>
      <c r="I47" s="183"/>
      <c r="J47" s="183"/>
    </row>
    <row r="48" ht="12.75" customHeight="1">
      <c r="B48" s="183"/>
      <c r="C48" s="183"/>
      <c r="D48" s="183"/>
      <c r="E48" s="183"/>
      <c r="F48" s="183"/>
      <c r="G48" s="183"/>
      <c r="H48" s="183"/>
      <c r="I48" s="183"/>
      <c r="J48" s="183"/>
    </row>
    <row r="49" ht="12.75" customHeight="1">
      <c r="B49" s="183"/>
      <c r="C49" s="183"/>
      <c r="D49" s="183"/>
      <c r="E49" s="183"/>
      <c r="F49" s="183"/>
      <c r="G49" s="183"/>
      <c r="H49" s="183"/>
      <c r="I49" s="183"/>
      <c r="J49" s="183"/>
    </row>
    <row r="50" ht="12.75" customHeight="1">
      <c r="B50" s="183"/>
      <c r="C50" s="183"/>
      <c r="D50" s="183"/>
      <c r="E50" s="183"/>
      <c r="F50" s="183"/>
      <c r="G50" s="183"/>
      <c r="H50" s="183"/>
      <c r="I50" s="183"/>
      <c r="J50" s="183"/>
    </row>
    <row r="51" ht="12.75" customHeight="1">
      <c r="B51" s="183"/>
      <c r="C51" s="183"/>
      <c r="D51" s="183"/>
      <c r="E51" s="183"/>
      <c r="F51" s="183"/>
      <c r="G51" s="183"/>
      <c r="H51" s="183"/>
      <c r="I51" s="183"/>
      <c r="J51" s="183"/>
    </row>
    <row r="52" ht="12.75" customHeight="1">
      <c r="B52" s="183"/>
      <c r="C52" s="183"/>
      <c r="D52" s="183"/>
      <c r="E52" s="183"/>
      <c r="F52" s="183"/>
      <c r="G52" s="183"/>
      <c r="H52" s="183"/>
      <c r="I52" s="183"/>
      <c r="J52" s="183"/>
    </row>
    <row r="53" ht="12.75" customHeight="1">
      <c r="B53" s="183"/>
      <c r="C53" s="183"/>
      <c r="D53" s="183"/>
      <c r="E53" s="183"/>
      <c r="F53" s="183"/>
      <c r="G53" s="183"/>
      <c r="H53" s="183"/>
      <c r="I53" s="183"/>
      <c r="J53" s="183"/>
    </row>
    <row r="54" ht="12.75" customHeight="1">
      <c r="B54" s="183"/>
      <c r="C54" s="183"/>
      <c r="D54" s="183"/>
      <c r="E54" s="183"/>
      <c r="F54" s="183"/>
      <c r="G54" s="183"/>
      <c r="H54" s="183"/>
      <c r="I54" s="183"/>
      <c r="J54" s="183"/>
    </row>
    <row r="55" ht="12.75" customHeight="1">
      <c r="B55" s="183"/>
      <c r="C55" s="183"/>
      <c r="D55" s="183"/>
      <c r="E55" s="183"/>
      <c r="F55" s="183"/>
      <c r="G55" s="183"/>
      <c r="H55" s="183"/>
      <c r="I55" s="183"/>
      <c r="J55" s="183"/>
    </row>
    <row r="56" ht="12.75" customHeight="1">
      <c r="B56" s="183"/>
      <c r="C56" s="183"/>
      <c r="D56" s="183"/>
      <c r="E56" s="183"/>
      <c r="F56" s="183"/>
      <c r="G56" s="183"/>
      <c r="H56" s="183"/>
      <c r="I56" s="183"/>
      <c r="J56" s="183"/>
    </row>
    <row r="57" ht="12.75" customHeight="1">
      <c r="B57" s="183"/>
      <c r="C57" s="183"/>
      <c r="D57" s="183"/>
      <c r="E57" s="183"/>
      <c r="F57" s="183"/>
      <c r="G57" s="183"/>
      <c r="H57" s="183"/>
      <c r="I57" s="183"/>
      <c r="J57" s="183"/>
    </row>
    <row r="58" ht="12.75" customHeight="1">
      <c r="B58" s="183"/>
      <c r="C58" s="183"/>
      <c r="D58" s="183"/>
      <c r="E58" s="183"/>
      <c r="F58" s="183"/>
      <c r="G58" s="183"/>
      <c r="H58" s="183"/>
      <c r="I58" s="183"/>
      <c r="J58" s="183"/>
    </row>
    <row r="59" ht="12.75" customHeight="1">
      <c r="B59" s="183"/>
      <c r="C59" s="183"/>
      <c r="D59" s="183"/>
      <c r="E59" s="183"/>
      <c r="F59" s="183"/>
      <c r="G59" s="183"/>
      <c r="H59" s="183"/>
      <c r="I59" s="183"/>
      <c r="J59" s="183"/>
    </row>
    <row r="60" ht="12.75" customHeight="1">
      <c r="B60" s="183"/>
      <c r="C60" s="183"/>
      <c r="D60" s="183"/>
      <c r="E60" s="183"/>
      <c r="F60" s="183"/>
      <c r="G60" s="183"/>
      <c r="H60" s="183"/>
      <c r="I60" s="183"/>
      <c r="J60" s="183"/>
    </row>
    <row r="61" ht="12.75" customHeight="1">
      <c r="B61" s="183"/>
      <c r="C61" s="183"/>
      <c r="D61" s="183"/>
      <c r="E61" s="183"/>
      <c r="F61" s="183"/>
      <c r="G61" s="183"/>
      <c r="H61" s="183"/>
      <c r="I61" s="183"/>
      <c r="J61" s="183"/>
    </row>
    <row r="62" ht="12.75" customHeight="1">
      <c r="B62" s="183"/>
      <c r="C62" s="183"/>
      <c r="D62" s="183"/>
      <c r="E62" s="183"/>
      <c r="F62" s="183"/>
      <c r="G62" s="183"/>
      <c r="H62" s="183"/>
      <c r="I62" s="183"/>
      <c r="J62" s="183"/>
    </row>
    <row r="63" ht="12.75" customHeight="1">
      <c r="B63" s="183"/>
      <c r="C63" s="183"/>
      <c r="D63" s="183"/>
      <c r="E63" s="183"/>
      <c r="F63" s="183"/>
      <c r="G63" s="183"/>
      <c r="H63" s="183"/>
      <c r="I63" s="183"/>
      <c r="J63" s="183"/>
    </row>
    <row r="64" ht="12.75" customHeight="1">
      <c r="B64" s="183"/>
      <c r="C64" s="183"/>
      <c r="D64" s="183"/>
      <c r="E64" s="183"/>
      <c r="F64" s="183"/>
      <c r="G64" s="183"/>
      <c r="H64" s="183"/>
      <c r="I64" s="183"/>
      <c r="J64" s="183"/>
    </row>
    <row r="65" ht="12.75" customHeight="1">
      <c r="B65" s="183"/>
      <c r="C65" s="183"/>
      <c r="D65" s="183"/>
      <c r="E65" s="183"/>
      <c r="F65" s="183"/>
      <c r="G65" s="183"/>
      <c r="H65" s="183"/>
      <c r="I65" s="183"/>
      <c r="J65" s="183"/>
    </row>
    <row r="66" ht="12.75" customHeight="1">
      <c r="B66" s="183"/>
      <c r="C66" s="183"/>
      <c r="D66" s="183"/>
      <c r="E66" s="183"/>
      <c r="F66" s="183"/>
      <c r="G66" s="183"/>
      <c r="H66" s="183"/>
      <c r="I66" s="183"/>
      <c r="J66" s="183"/>
    </row>
    <row r="67" ht="12.75" customHeight="1">
      <c r="B67" s="183"/>
      <c r="C67" s="183"/>
      <c r="D67" s="183"/>
      <c r="E67" s="183"/>
      <c r="F67" s="183"/>
      <c r="G67" s="183"/>
      <c r="H67" s="183"/>
      <c r="I67" s="183"/>
      <c r="J67" s="183"/>
    </row>
    <row r="68" ht="12.75" customHeight="1">
      <c r="B68" s="183"/>
      <c r="C68" s="183"/>
      <c r="D68" s="183"/>
      <c r="E68" s="183"/>
      <c r="F68" s="183"/>
      <c r="G68" s="183"/>
      <c r="H68" s="183"/>
      <c r="I68" s="183"/>
      <c r="J68" s="183"/>
    </row>
    <row r="69" ht="12.75" customHeight="1">
      <c r="B69" s="183"/>
      <c r="C69" s="183"/>
      <c r="D69" s="183"/>
      <c r="E69" s="183"/>
      <c r="F69" s="183"/>
      <c r="G69" s="183"/>
      <c r="H69" s="183"/>
      <c r="I69" s="183"/>
      <c r="J69" s="183"/>
    </row>
    <row r="70" ht="12.75" customHeight="1">
      <c r="B70" s="183"/>
      <c r="C70" s="183"/>
      <c r="D70" s="183"/>
      <c r="E70" s="183"/>
      <c r="F70" s="183"/>
      <c r="G70" s="183"/>
      <c r="H70" s="183"/>
      <c r="I70" s="183"/>
      <c r="J70" s="183"/>
    </row>
    <row r="71" ht="12.75" customHeight="1">
      <c r="B71" s="183"/>
      <c r="C71" s="183"/>
      <c r="D71" s="183"/>
      <c r="E71" s="183"/>
      <c r="F71" s="183"/>
      <c r="G71" s="183"/>
      <c r="H71" s="183"/>
      <c r="I71" s="183"/>
      <c r="J71" s="183"/>
    </row>
    <row r="72" ht="12.75" customHeight="1">
      <c r="B72" s="183"/>
      <c r="C72" s="183"/>
      <c r="D72" s="183"/>
      <c r="E72" s="183"/>
      <c r="F72" s="183"/>
      <c r="G72" s="183"/>
      <c r="H72" s="183"/>
      <c r="I72" s="183"/>
      <c r="J72" s="183"/>
    </row>
    <row r="73" ht="12.75" customHeight="1">
      <c r="B73" s="183"/>
      <c r="C73" s="183"/>
      <c r="D73" s="183"/>
      <c r="E73" s="183"/>
      <c r="F73" s="183"/>
      <c r="G73" s="183"/>
      <c r="H73" s="183"/>
      <c r="I73" s="183"/>
      <c r="J73" s="183"/>
    </row>
    <row r="74" ht="12.75" customHeight="1">
      <c r="B74" s="183"/>
      <c r="C74" s="183"/>
      <c r="D74" s="183"/>
      <c r="E74" s="183"/>
      <c r="F74" s="183"/>
      <c r="G74" s="183"/>
      <c r="H74" s="183"/>
      <c r="I74" s="183"/>
      <c r="J74" s="183"/>
    </row>
    <row r="75" ht="12.75" customHeight="1">
      <c r="B75" s="183"/>
      <c r="C75" s="183"/>
      <c r="D75" s="183"/>
      <c r="E75" s="183"/>
      <c r="F75" s="183"/>
      <c r="G75" s="183"/>
      <c r="H75" s="183"/>
      <c r="I75" s="183"/>
      <c r="J75" s="183"/>
    </row>
    <row r="76" ht="12.75" customHeight="1">
      <c r="B76" s="183"/>
      <c r="C76" s="183"/>
      <c r="D76" s="183"/>
      <c r="E76" s="183"/>
      <c r="F76" s="183"/>
      <c r="G76" s="183"/>
      <c r="H76" s="183"/>
      <c r="I76" s="183"/>
      <c r="J76" s="183"/>
    </row>
    <row r="77" ht="12.75" customHeight="1">
      <c r="B77" s="183"/>
      <c r="C77" s="183"/>
      <c r="D77" s="183"/>
      <c r="E77" s="183"/>
      <c r="F77" s="183"/>
      <c r="G77" s="183"/>
      <c r="H77" s="183"/>
      <c r="I77" s="183"/>
      <c r="J77" s="183"/>
    </row>
    <row r="78" ht="12.75" customHeight="1">
      <c r="B78" s="183"/>
      <c r="C78" s="183"/>
      <c r="D78" s="183"/>
      <c r="E78" s="183"/>
      <c r="F78" s="183"/>
      <c r="G78" s="183"/>
      <c r="H78" s="183"/>
      <c r="I78" s="183"/>
      <c r="J78" s="183"/>
    </row>
    <row r="79" ht="12.75" customHeight="1">
      <c r="B79" s="183"/>
      <c r="C79" s="183"/>
      <c r="D79" s="183"/>
      <c r="E79" s="183"/>
      <c r="F79" s="183"/>
      <c r="G79" s="183"/>
      <c r="H79" s="183"/>
      <c r="I79" s="183"/>
      <c r="J79" s="183"/>
    </row>
    <row r="80" ht="12.75" customHeight="1">
      <c r="B80" s="183"/>
      <c r="C80" s="183"/>
      <c r="D80" s="183"/>
      <c r="E80" s="183"/>
      <c r="F80" s="183"/>
      <c r="G80" s="183"/>
      <c r="H80" s="183"/>
      <c r="I80" s="183"/>
      <c r="J80" s="183"/>
    </row>
    <row r="81" ht="12.75" customHeight="1">
      <c r="B81" s="183"/>
      <c r="C81" s="183"/>
      <c r="D81" s="183"/>
      <c r="E81" s="183"/>
      <c r="F81" s="183"/>
      <c r="G81" s="183"/>
      <c r="H81" s="183"/>
      <c r="I81" s="183"/>
      <c r="J81" s="183"/>
    </row>
    <row r="82" ht="12.75" customHeight="1">
      <c r="B82" s="183"/>
      <c r="C82" s="183"/>
      <c r="D82" s="183"/>
      <c r="E82" s="183"/>
      <c r="F82" s="183"/>
      <c r="G82" s="183"/>
      <c r="H82" s="183"/>
      <c r="I82" s="183"/>
      <c r="J82" s="183"/>
    </row>
    <row r="83" ht="12.75" customHeight="1">
      <c r="B83" s="183"/>
      <c r="C83" s="183"/>
      <c r="D83" s="183"/>
      <c r="E83" s="183"/>
      <c r="F83" s="183"/>
      <c r="G83" s="183"/>
      <c r="H83" s="183"/>
      <c r="I83" s="183"/>
      <c r="J83" s="183"/>
    </row>
    <row r="84" ht="12.75" customHeight="1">
      <c r="B84" s="183"/>
      <c r="C84" s="183"/>
      <c r="D84" s="183"/>
      <c r="E84" s="183"/>
      <c r="F84" s="183"/>
      <c r="G84" s="183"/>
      <c r="H84" s="183"/>
      <c r="I84" s="183"/>
      <c r="J84" s="183"/>
    </row>
    <row r="85" ht="12.75" customHeight="1">
      <c r="B85" s="183"/>
      <c r="C85" s="183"/>
      <c r="D85" s="183"/>
      <c r="E85" s="183"/>
      <c r="F85" s="183"/>
      <c r="G85" s="183"/>
      <c r="H85" s="183"/>
      <c r="I85" s="183"/>
      <c r="J85" s="183"/>
    </row>
    <row r="86" ht="12.75" customHeight="1">
      <c r="B86" s="183"/>
      <c r="C86" s="183"/>
      <c r="D86" s="183"/>
      <c r="E86" s="183"/>
      <c r="F86" s="183"/>
      <c r="G86" s="183"/>
      <c r="H86" s="183"/>
      <c r="I86" s="183"/>
      <c r="J86" s="183"/>
    </row>
    <row r="87" ht="12.75" customHeight="1">
      <c r="B87" s="183"/>
      <c r="C87" s="183"/>
      <c r="D87" s="183"/>
      <c r="E87" s="183"/>
      <c r="F87" s="183"/>
      <c r="G87" s="183"/>
      <c r="H87" s="183"/>
      <c r="I87" s="183"/>
      <c r="J87" s="183"/>
    </row>
    <row r="88" ht="12.75" customHeight="1">
      <c r="B88" s="183"/>
      <c r="C88" s="183"/>
      <c r="D88" s="183"/>
      <c r="E88" s="183"/>
      <c r="F88" s="183"/>
      <c r="G88" s="183"/>
      <c r="H88" s="183"/>
      <c r="I88" s="183"/>
      <c r="J88" s="183"/>
    </row>
    <row r="89" ht="12.75" customHeight="1">
      <c r="B89" s="183"/>
      <c r="C89" s="183"/>
      <c r="D89" s="183"/>
      <c r="E89" s="183"/>
      <c r="F89" s="183"/>
      <c r="G89" s="183"/>
      <c r="H89" s="183"/>
      <c r="I89" s="183"/>
      <c r="J89" s="183"/>
    </row>
    <row r="90" ht="12.75" customHeight="1">
      <c r="B90" s="183"/>
      <c r="C90" s="183"/>
      <c r="D90" s="183"/>
      <c r="E90" s="183"/>
      <c r="F90" s="183"/>
      <c r="G90" s="183"/>
      <c r="H90" s="183"/>
      <c r="I90" s="183"/>
      <c r="J90" s="183"/>
    </row>
    <row r="91" ht="12.75" customHeight="1">
      <c r="B91" s="183"/>
      <c r="C91" s="183"/>
      <c r="D91" s="183"/>
      <c r="E91" s="183"/>
      <c r="F91" s="183"/>
      <c r="G91" s="183"/>
      <c r="H91" s="183"/>
      <c r="I91" s="183"/>
      <c r="J91" s="183"/>
    </row>
    <row r="92" ht="12.75" customHeight="1">
      <c r="B92" s="183"/>
      <c r="C92" s="183"/>
      <c r="D92" s="183"/>
      <c r="E92" s="183"/>
      <c r="F92" s="183"/>
      <c r="G92" s="183"/>
      <c r="H92" s="183"/>
      <c r="I92" s="183"/>
      <c r="J92" s="183"/>
    </row>
    <row r="93" ht="12.75" customHeight="1">
      <c r="B93" s="183"/>
      <c r="C93" s="183"/>
      <c r="D93" s="183"/>
      <c r="E93" s="183"/>
      <c r="F93" s="183"/>
      <c r="G93" s="183"/>
      <c r="H93" s="183"/>
      <c r="I93" s="183"/>
      <c r="J93" s="183"/>
    </row>
    <row r="94" ht="12.75" customHeight="1">
      <c r="B94" s="183"/>
      <c r="C94" s="183"/>
      <c r="D94" s="183"/>
      <c r="E94" s="183"/>
      <c r="F94" s="183"/>
      <c r="G94" s="183"/>
      <c r="H94" s="183"/>
      <c r="I94" s="183"/>
      <c r="J94" s="183"/>
    </row>
    <row r="95" ht="12.75" customHeight="1">
      <c r="B95" s="183"/>
      <c r="C95" s="183"/>
      <c r="D95" s="183"/>
      <c r="E95" s="183"/>
      <c r="F95" s="183"/>
      <c r="G95" s="183"/>
      <c r="H95" s="183"/>
      <c r="I95" s="183"/>
      <c r="J95" s="183"/>
    </row>
    <row r="96" ht="12.75" customHeight="1">
      <c r="B96" s="183"/>
      <c r="C96" s="183"/>
      <c r="D96" s="183"/>
      <c r="E96" s="183"/>
      <c r="F96" s="183"/>
      <c r="G96" s="183"/>
      <c r="H96" s="183"/>
      <c r="I96" s="183"/>
      <c r="J96" s="183"/>
    </row>
    <row r="97" ht="12.75" customHeight="1">
      <c r="B97" s="183"/>
      <c r="C97" s="183"/>
      <c r="D97" s="183"/>
      <c r="E97" s="183"/>
      <c r="F97" s="183"/>
      <c r="G97" s="183"/>
      <c r="H97" s="183"/>
      <c r="I97" s="183"/>
      <c r="J97" s="183"/>
    </row>
    <row r="98" ht="12.75" customHeight="1">
      <c r="B98" s="183"/>
      <c r="C98" s="183"/>
      <c r="D98" s="183"/>
      <c r="E98" s="183"/>
      <c r="F98" s="183"/>
      <c r="G98" s="183"/>
      <c r="H98" s="183"/>
      <c r="I98" s="183"/>
      <c r="J98" s="183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3.14"/>
    <col customWidth="1" min="2" max="10" width="8.43"/>
    <col customWidth="1" min="11" max="30" width="17.29"/>
  </cols>
  <sheetData>
    <row r="1" ht="12.75" customHeight="1">
      <c r="A1" s="1" t="s">
        <v>83</v>
      </c>
      <c r="B1" s="133"/>
      <c r="C1" s="133"/>
      <c r="D1" s="133"/>
      <c r="E1" s="133"/>
      <c r="F1" s="134"/>
      <c r="G1" s="135"/>
      <c r="H1" s="58"/>
      <c r="I1" s="58"/>
      <c r="J1" s="135"/>
      <c r="K1" s="3"/>
    </row>
    <row r="2" ht="12.75" customHeight="1">
      <c r="A2" s="8" t="str">
        <f>CLTV!A2</f>
        <v>For more information about this template, see www.startupdocs.se by Erik Byrenius. Latest update: 2015-12-03. See sheet "Summary" for more instructions.</v>
      </c>
      <c r="B2" s="136"/>
      <c r="C2" s="136"/>
      <c r="D2" s="136"/>
      <c r="E2" s="136"/>
      <c r="F2" s="136"/>
      <c r="G2" s="136"/>
      <c r="H2" s="136"/>
      <c r="I2" s="136"/>
      <c r="J2" s="136"/>
      <c r="K2" s="10"/>
      <c r="L2" s="10"/>
      <c r="M2" s="10"/>
      <c r="N2" s="10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</row>
    <row r="4" ht="12.75" customHeight="1">
      <c r="A4" s="48"/>
      <c r="B4" s="137" t="s">
        <v>39</v>
      </c>
      <c r="C4" s="137" t="s">
        <v>84</v>
      </c>
      <c r="D4" s="137" t="s">
        <v>85</v>
      </c>
      <c r="E4" s="137" t="s">
        <v>86</v>
      </c>
      <c r="F4" s="137" t="s">
        <v>87</v>
      </c>
      <c r="G4" s="137" t="s">
        <v>71</v>
      </c>
      <c r="H4" s="137" t="s">
        <v>88</v>
      </c>
      <c r="I4" s="137" t="s">
        <v>89</v>
      </c>
      <c r="J4" s="137" t="s">
        <v>90</v>
      </c>
    </row>
    <row r="5" ht="12.75" customHeight="1">
      <c r="A5" s="138" t="s">
        <v>67</v>
      </c>
      <c r="B5" s="139">
        <v>4466.5</v>
      </c>
      <c r="C5" s="141">
        <v>55040.0</v>
      </c>
      <c r="D5" s="144">
        <v>0.16</v>
      </c>
      <c r="E5" s="147">
        <f t="shared" ref="E5:E14" si="1">C5*(1-D5)</f>
        <v>46233.6</v>
      </c>
      <c r="F5" s="150">
        <v>701.0</v>
      </c>
      <c r="G5" s="153">
        <f t="shared" ref="G5:G14" si="2">IFERROR(B5*(1-D5)/F5, 0)</f>
        <v>5.352154066</v>
      </c>
      <c r="H5" s="147">
        <f t="shared" ref="H5:H14" si="3">C5*D5</f>
        <v>8806.4</v>
      </c>
      <c r="I5" s="150">
        <v>250.0</v>
      </c>
      <c r="J5" s="14">
        <f t="shared" ref="J5:J14" si="4">IFERROR(B5*D5/I5, 0)</f>
        <v>2.85856</v>
      </c>
    </row>
    <row r="6" ht="12.75" customHeight="1">
      <c r="A6" s="46" t="s">
        <v>72</v>
      </c>
      <c r="B6" s="139">
        <v>0.0</v>
      </c>
      <c r="C6" s="106">
        <v>25707.0</v>
      </c>
      <c r="D6" s="105">
        <v>0.19</v>
      </c>
      <c r="E6" s="79">
        <f t="shared" si="1"/>
        <v>20822.67</v>
      </c>
      <c r="F6" s="157">
        <v>484.0</v>
      </c>
      <c r="G6" s="153">
        <f t="shared" si="2"/>
        <v>0</v>
      </c>
      <c r="H6" s="79">
        <f t="shared" si="3"/>
        <v>4884.33</v>
      </c>
      <c r="I6" s="157">
        <v>196.0</v>
      </c>
      <c r="J6" s="14">
        <f t="shared" si="4"/>
        <v>0</v>
      </c>
    </row>
    <row r="7" ht="12.75" customHeight="1">
      <c r="A7" s="46" t="s">
        <v>75</v>
      </c>
      <c r="B7" s="139">
        <v>1629.8</v>
      </c>
      <c r="C7" s="106">
        <v>3272.0</v>
      </c>
      <c r="D7" s="105">
        <v>0.88</v>
      </c>
      <c r="E7" s="79">
        <f t="shared" si="1"/>
        <v>392.64</v>
      </c>
      <c r="F7" s="157">
        <v>7.0</v>
      </c>
      <c r="G7" s="153">
        <f t="shared" si="2"/>
        <v>27.93942857</v>
      </c>
      <c r="H7" s="79">
        <f t="shared" si="3"/>
        <v>2879.36</v>
      </c>
      <c r="I7" s="157">
        <v>62.0</v>
      </c>
      <c r="J7" s="14">
        <f t="shared" si="4"/>
        <v>23.13264516</v>
      </c>
    </row>
    <row r="8" ht="12.75" customHeight="1">
      <c r="A8" s="46" t="s">
        <v>76</v>
      </c>
      <c r="B8" s="139">
        <v>0.0</v>
      </c>
      <c r="C8" s="106">
        <v>0.0</v>
      </c>
      <c r="D8" s="105">
        <v>0.0</v>
      </c>
      <c r="E8" s="79">
        <f t="shared" si="1"/>
        <v>0</v>
      </c>
      <c r="F8" s="157">
        <v>0.0</v>
      </c>
      <c r="G8" s="153">
        <f t="shared" si="2"/>
        <v>0</v>
      </c>
      <c r="H8" s="79">
        <f t="shared" si="3"/>
        <v>0</v>
      </c>
      <c r="I8" s="157">
        <v>0.0</v>
      </c>
      <c r="J8" s="14">
        <f t="shared" si="4"/>
        <v>0</v>
      </c>
    </row>
    <row r="9" ht="12.75" customHeight="1">
      <c r="A9" s="46" t="s">
        <v>77</v>
      </c>
      <c r="B9" s="139">
        <v>525.65</v>
      </c>
      <c r="C9" s="106">
        <v>9791.0</v>
      </c>
      <c r="D9" s="105">
        <v>0.3</v>
      </c>
      <c r="E9" s="79">
        <f t="shared" si="1"/>
        <v>6853.7</v>
      </c>
      <c r="F9" s="157">
        <v>135.0</v>
      </c>
      <c r="G9" s="153">
        <f t="shared" si="2"/>
        <v>2.725592593</v>
      </c>
      <c r="H9" s="79">
        <f t="shared" si="3"/>
        <v>2937.3</v>
      </c>
      <c r="I9" s="157">
        <v>81.0</v>
      </c>
      <c r="J9" s="14">
        <f t="shared" si="4"/>
        <v>1.946851852</v>
      </c>
    </row>
    <row r="10" ht="12.75" customHeight="1">
      <c r="A10" s="46" t="s">
        <v>78</v>
      </c>
      <c r="B10" s="139">
        <v>1344.15</v>
      </c>
      <c r="C10" s="106">
        <v>26226.0</v>
      </c>
      <c r="D10" s="105">
        <v>0.32</v>
      </c>
      <c r="E10" s="79">
        <f t="shared" si="1"/>
        <v>17833.68</v>
      </c>
      <c r="F10" s="157">
        <v>400.0</v>
      </c>
      <c r="G10" s="153">
        <f t="shared" si="2"/>
        <v>2.285055</v>
      </c>
      <c r="H10" s="79">
        <f t="shared" si="3"/>
        <v>8392.32</v>
      </c>
      <c r="I10" s="157">
        <v>226.0</v>
      </c>
      <c r="J10" s="14">
        <f t="shared" si="4"/>
        <v>1.903221239</v>
      </c>
    </row>
    <row r="11" ht="12.75" customHeight="1">
      <c r="A11" s="46" t="s">
        <v>79</v>
      </c>
      <c r="B11" s="139">
        <v>411.3</v>
      </c>
      <c r="C11" s="106">
        <v>1915.0</v>
      </c>
      <c r="D11" s="105">
        <v>0.97</v>
      </c>
      <c r="E11" s="79">
        <f t="shared" si="1"/>
        <v>57.45</v>
      </c>
      <c r="F11" s="157">
        <v>4.0</v>
      </c>
      <c r="G11" s="153">
        <f t="shared" si="2"/>
        <v>3.08475</v>
      </c>
      <c r="H11" s="79">
        <f t="shared" si="3"/>
        <v>1857.55</v>
      </c>
      <c r="I11" s="157">
        <v>258.0</v>
      </c>
      <c r="J11" s="14">
        <f t="shared" si="4"/>
        <v>1.546360465</v>
      </c>
    </row>
    <row r="12" ht="12.75" customHeight="1">
      <c r="A12" s="46" t="s">
        <v>80</v>
      </c>
      <c r="B12" s="139">
        <v>112.27</v>
      </c>
      <c r="C12" s="106">
        <v>1047.0</v>
      </c>
      <c r="D12" s="105">
        <v>0.26</v>
      </c>
      <c r="E12" s="79">
        <f t="shared" si="1"/>
        <v>774.78</v>
      </c>
      <c r="F12" s="157">
        <v>11.0</v>
      </c>
      <c r="G12" s="153">
        <f t="shared" si="2"/>
        <v>7.552709091</v>
      </c>
      <c r="H12" s="79">
        <f t="shared" si="3"/>
        <v>272.22</v>
      </c>
      <c r="I12" s="157">
        <v>8.0</v>
      </c>
      <c r="J12" s="14">
        <f t="shared" si="4"/>
        <v>3.648775</v>
      </c>
    </row>
    <row r="13" ht="12.75" customHeight="1">
      <c r="A13" s="46" t="s">
        <v>81</v>
      </c>
      <c r="B13" s="139">
        <v>0.0</v>
      </c>
      <c r="C13" s="106">
        <v>0.0</v>
      </c>
      <c r="D13" s="105">
        <v>0.0</v>
      </c>
      <c r="E13" s="79">
        <f t="shared" si="1"/>
        <v>0</v>
      </c>
      <c r="F13" s="157">
        <v>0.0</v>
      </c>
      <c r="G13" s="153">
        <f t="shared" si="2"/>
        <v>0</v>
      </c>
      <c r="H13" s="79">
        <f t="shared" si="3"/>
        <v>0</v>
      </c>
      <c r="I13" s="157">
        <v>0.0</v>
      </c>
      <c r="J13" s="14">
        <f t="shared" si="4"/>
        <v>0</v>
      </c>
    </row>
    <row r="14" ht="12.75" customHeight="1">
      <c r="A14" s="46" t="s">
        <v>82</v>
      </c>
      <c r="B14" s="139">
        <v>827.9</v>
      </c>
      <c r="C14" s="106">
        <v>9985.0</v>
      </c>
      <c r="D14" s="105">
        <v>0.29</v>
      </c>
      <c r="E14" s="79">
        <f t="shared" si="1"/>
        <v>7089.35</v>
      </c>
      <c r="F14" s="157">
        <v>102.0</v>
      </c>
      <c r="G14" s="153">
        <f t="shared" si="2"/>
        <v>5.762833333</v>
      </c>
      <c r="H14" s="79">
        <f t="shared" si="3"/>
        <v>2895.65</v>
      </c>
      <c r="I14" s="157">
        <v>74.0</v>
      </c>
      <c r="J14" s="14">
        <f t="shared" si="4"/>
        <v>3.244472973</v>
      </c>
    </row>
    <row r="15" ht="12.75" customHeight="1">
      <c r="A15" s="46"/>
      <c r="B15" s="166"/>
      <c r="C15" s="79"/>
      <c r="D15" s="167"/>
      <c r="E15" s="79"/>
      <c r="F15" s="79"/>
      <c r="G15" s="14"/>
      <c r="H15" s="79"/>
      <c r="I15" s="79"/>
      <c r="J15" s="14"/>
    </row>
    <row r="16" ht="12.75" customHeight="1">
      <c r="A16" s="168" t="s">
        <v>91</v>
      </c>
      <c r="B16" s="169">
        <f t="shared" ref="B16:C16" si="5">SUM(B5:B14)</f>
        <v>9317.57</v>
      </c>
      <c r="C16" s="152">
        <f t="shared" si="5"/>
        <v>132983</v>
      </c>
      <c r="D16" s="170">
        <f>H16/C16</f>
        <v>0.2475890151</v>
      </c>
      <c r="E16" s="152">
        <f t="shared" ref="E16:F16" si="6">SUM(E5:E15)</f>
        <v>100057.87</v>
      </c>
      <c r="F16" s="172">
        <f t="shared" si="6"/>
        <v>1844</v>
      </c>
      <c r="G16" s="173">
        <f>SUMPRODUCT(G5:G14,F5:F14)/F16</f>
        <v>3.206421258</v>
      </c>
      <c r="H16" s="152">
        <f t="shared" ref="H16:I16" si="7">SUM(H5:H15)</f>
        <v>32925.13</v>
      </c>
      <c r="I16" s="172">
        <f t="shared" si="7"/>
        <v>1155</v>
      </c>
      <c r="J16" s="175">
        <f>SUMPRODUCT(J5:J14,I5:I14)/I16</f>
        <v>2.947990649</v>
      </c>
      <c r="K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ht="12.75" customHeight="1">
      <c r="A17" s="46"/>
      <c r="B17" s="166"/>
      <c r="C17" s="79"/>
      <c r="D17" s="167"/>
      <c r="E17" s="79"/>
      <c r="F17" s="79"/>
      <c r="G17" s="14"/>
      <c r="H17" s="79"/>
      <c r="I17" s="79"/>
      <c r="J17" s="14"/>
    </row>
    <row r="18" ht="12.75" customHeight="1">
      <c r="A18" s="46" t="s">
        <v>96</v>
      </c>
      <c r="B18" s="139">
        <v>0.0</v>
      </c>
      <c r="C18" s="106">
        <v>17378.0</v>
      </c>
      <c r="D18" s="105">
        <v>0.65</v>
      </c>
      <c r="E18" s="79">
        <f t="shared" ref="E18:E21" si="8">C18*(1-D18)</f>
        <v>6082.3</v>
      </c>
      <c r="F18" s="157">
        <v>98.0</v>
      </c>
      <c r="G18" s="153">
        <f t="shared" ref="G18:G21" si="9">IFERROR(B18*(1-D18)/F18, 0)</f>
        <v>0</v>
      </c>
      <c r="H18" s="79">
        <f t="shared" ref="H18:H21" si="10">C18*D18</f>
        <v>11295.7</v>
      </c>
      <c r="I18" s="157">
        <v>416.0</v>
      </c>
      <c r="J18" s="14">
        <f t="shared" ref="J18:J21" si="11">IFERROR(B18*D18/I18, 0)</f>
        <v>0</v>
      </c>
    </row>
    <row r="19" ht="12.75" customHeight="1">
      <c r="A19" s="46" t="s">
        <v>99</v>
      </c>
      <c r="B19" s="139">
        <v>892.0</v>
      </c>
      <c r="C19" s="106">
        <v>5374.0</v>
      </c>
      <c r="D19" s="105">
        <v>0.66</v>
      </c>
      <c r="E19" s="79">
        <f t="shared" si="8"/>
        <v>1827.16</v>
      </c>
      <c r="F19" s="157">
        <v>24.0</v>
      </c>
      <c r="G19" s="153">
        <f t="shared" si="9"/>
        <v>12.63666667</v>
      </c>
      <c r="H19" s="79">
        <f t="shared" si="10"/>
        <v>3546.84</v>
      </c>
      <c r="I19" s="157">
        <v>99.0</v>
      </c>
      <c r="J19" s="14">
        <f t="shared" si="11"/>
        <v>5.946666667</v>
      </c>
    </row>
    <row r="20" ht="12.75" customHeight="1">
      <c r="A20" s="46" t="s">
        <v>101</v>
      </c>
      <c r="B20" s="139">
        <v>0.0</v>
      </c>
      <c r="C20" s="106">
        <v>130320.0</v>
      </c>
      <c r="D20" s="105">
        <v>0.79</v>
      </c>
      <c r="E20" s="79">
        <f t="shared" si="8"/>
        <v>27367.2</v>
      </c>
      <c r="F20" s="157">
        <v>373.0</v>
      </c>
      <c r="G20" s="153">
        <f t="shared" si="9"/>
        <v>0</v>
      </c>
      <c r="H20" s="79">
        <f t="shared" si="10"/>
        <v>102952.8</v>
      </c>
      <c r="I20" s="157">
        <v>3146.0</v>
      </c>
      <c r="J20" s="14">
        <f t="shared" si="11"/>
        <v>0</v>
      </c>
    </row>
    <row r="21" ht="12.75" customHeight="1">
      <c r="A21" s="46" t="s">
        <v>102</v>
      </c>
      <c r="B21" s="139">
        <v>0.0</v>
      </c>
      <c r="C21" s="106">
        <v>0.0</v>
      </c>
      <c r="D21" s="105">
        <v>0.0</v>
      </c>
      <c r="E21" s="79">
        <f t="shared" si="8"/>
        <v>0</v>
      </c>
      <c r="F21" s="157">
        <v>0.0</v>
      </c>
      <c r="G21" s="153">
        <f t="shared" si="9"/>
        <v>0</v>
      </c>
      <c r="H21" s="79">
        <f t="shared" si="10"/>
        <v>0</v>
      </c>
      <c r="I21" s="157">
        <v>0.0</v>
      </c>
      <c r="J21" s="14">
        <f t="shared" si="11"/>
        <v>0</v>
      </c>
    </row>
    <row r="22" ht="12.75" customHeight="1">
      <c r="A22" s="46"/>
      <c r="B22" s="166"/>
      <c r="C22" s="79"/>
      <c r="D22" s="167"/>
      <c r="E22" s="79"/>
      <c r="F22" s="79"/>
      <c r="G22" s="14"/>
      <c r="H22" s="79"/>
      <c r="I22" s="79"/>
      <c r="J22" s="14"/>
    </row>
    <row r="23" ht="12.75" customHeight="1">
      <c r="A23" s="168" t="s">
        <v>103</v>
      </c>
      <c r="B23" s="169">
        <f t="shared" ref="B23:C23" si="12">SUM(B17:B22)</f>
        <v>892</v>
      </c>
      <c r="C23" s="152">
        <f t="shared" si="12"/>
        <v>153072</v>
      </c>
      <c r="D23" s="170">
        <f>H23/C23</f>
        <v>0.7695420456</v>
      </c>
      <c r="E23" s="152">
        <f t="shared" ref="E23:F23" si="13">SUM(E17:E22)</f>
        <v>35276.66</v>
      </c>
      <c r="F23" s="172">
        <f t="shared" si="13"/>
        <v>495</v>
      </c>
      <c r="G23" s="173">
        <f>SUMPRODUCT(G18:G21,F18:F21)/F23</f>
        <v>0.6126868687</v>
      </c>
      <c r="H23" s="152">
        <f t="shared" ref="H23:I23" si="14">SUM(H17:H22)</f>
        <v>117795.34</v>
      </c>
      <c r="I23" s="172">
        <f t="shared" si="14"/>
        <v>3661</v>
      </c>
      <c r="J23" s="175">
        <f>SUMPRODUCT(J18:J21,I18:I21)/I23</f>
        <v>0.1608085223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</row>
    <row r="24" ht="12.75" customHeight="1">
      <c r="A24" s="46"/>
      <c r="B24" s="166"/>
      <c r="C24" s="79"/>
      <c r="D24" s="167"/>
      <c r="E24" s="79"/>
      <c r="F24" s="79"/>
      <c r="G24" s="14"/>
      <c r="H24" s="79"/>
      <c r="I24" s="79"/>
      <c r="J24" s="14"/>
    </row>
    <row r="25" ht="12.75" customHeight="1">
      <c r="A25" s="177" t="s">
        <v>105</v>
      </c>
      <c r="B25" s="178">
        <f t="shared" ref="B25:C25" si="15">B23+B16</f>
        <v>10209.57</v>
      </c>
      <c r="C25" s="179">
        <f t="shared" si="15"/>
        <v>286055</v>
      </c>
      <c r="D25" s="180">
        <f>H25/C25</f>
        <v>0.5268933247</v>
      </c>
      <c r="E25" s="179">
        <f t="shared" ref="E25:F25" si="16">E23+E16</f>
        <v>135334.53</v>
      </c>
      <c r="F25" s="172">
        <f t="shared" si="16"/>
        <v>2339</v>
      </c>
      <c r="G25" s="181">
        <f>(G16*F16+G23*F23)/F25</f>
        <v>2.657512099</v>
      </c>
      <c r="H25" s="179">
        <f t="shared" ref="H25:I25" si="17">H23+H16</f>
        <v>150720.47</v>
      </c>
      <c r="I25" s="172">
        <f t="shared" si="17"/>
        <v>4816</v>
      </c>
      <c r="J25" s="182">
        <f>B25*D25/I25</f>
        <v>1.116975557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</row>
    <row r="26" ht="12.75" customHeight="1">
      <c r="B26" s="183"/>
      <c r="C26" s="184"/>
      <c r="D26" s="183"/>
      <c r="E26" s="183"/>
      <c r="F26" s="183"/>
      <c r="G26" s="183"/>
      <c r="H26" s="183"/>
      <c r="I26" s="183"/>
      <c r="J26" s="183"/>
    </row>
    <row r="27" ht="12.75" customHeight="1">
      <c r="B27" s="183"/>
      <c r="C27" s="184"/>
      <c r="D27" s="183"/>
      <c r="E27" s="183"/>
      <c r="F27" s="183"/>
      <c r="G27" s="183"/>
      <c r="H27" s="183"/>
      <c r="I27" s="183"/>
      <c r="J27" s="183"/>
    </row>
    <row r="28" ht="12.75" customHeight="1">
      <c r="B28" s="183"/>
      <c r="C28" s="183"/>
      <c r="D28" s="183"/>
      <c r="E28" s="183"/>
      <c r="F28" s="183"/>
      <c r="G28" s="183"/>
      <c r="H28" s="183"/>
      <c r="I28" s="183"/>
      <c r="J28" s="183"/>
    </row>
    <row r="29" ht="12.75" customHeight="1">
      <c r="B29" s="183"/>
      <c r="C29" s="183"/>
      <c r="D29" s="183"/>
      <c r="E29" s="183"/>
      <c r="F29" s="183"/>
      <c r="G29" s="183"/>
      <c r="H29" s="183"/>
      <c r="I29" s="183"/>
      <c r="J29" s="183"/>
    </row>
    <row r="30" ht="12.75" customHeight="1">
      <c r="B30" s="183"/>
      <c r="C30" s="183"/>
      <c r="D30" s="183"/>
      <c r="E30" s="183"/>
      <c r="F30" s="183"/>
      <c r="G30" s="183"/>
      <c r="H30" s="183"/>
      <c r="I30" s="183"/>
      <c r="J30" s="183"/>
    </row>
    <row r="31" ht="12.75" customHeight="1">
      <c r="B31" s="183"/>
      <c r="C31" s="183"/>
      <c r="D31" s="183"/>
      <c r="E31" s="183"/>
      <c r="F31" s="183"/>
      <c r="G31" s="183"/>
      <c r="H31" s="183"/>
      <c r="I31" s="183"/>
      <c r="J31" s="183"/>
    </row>
    <row r="32" ht="12.75" customHeight="1">
      <c r="B32" s="183"/>
      <c r="C32" s="183"/>
      <c r="D32" s="183"/>
      <c r="E32" s="183"/>
      <c r="F32" s="183"/>
      <c r="G32" s="183"/>
      <c r="H32" s="183"/>
      <c r="I32" s="183"/>
      <c r="J32" s="183"/>
    </row>
    <row r="33" ht="12.75" customHeight="1">
      <c r="B33" s="183"/>
      <c r="C33" s="183"/>
      <c r="D33" s="183"/>
      <c r="E33" s="183"/>
      <c r="F33" s="183"/>
      <c r="G33" s="183"/>
      <c r="H33" s="183"/>
      <c r="I33" s="183"/>
      <c r="J33" s="183"/>
    </row>
    <row r="34" ht="12.75" customHeight="1">
      <c r="B34" s="183"/>
      <c r="C34" s="183"/>
      <c r="D34" s="183"/>
      <c r="E34" s="183"/>
      <c r="F34" s="183"/>
      <c r="G34" s="183"/>
      <c r="H34" s="183"/>
      <c r="I34" s="183"/>
      <c r="J34" s="183"/>
    </row>
    <row r="35" ht="12.75" customHeight="1">
      <c r="B35" s="183"/>
      <c r="C35" s="183"/>
      <c r="D35" s="183"/>
      <c r="E35" s="183"/>
      <c r="F35" s="183"/>
      <c r="G35" s="183"/>
      <c r="H35" s="183"/>
      <c r="I35" s="183"/>
      <c r="J35" s="183"/>
    </row>
    <row r="36" ht="12.75" customHeight="1">
      <c r="B36" s="183"/>
      <c r="C36" s="183"/>
      <c r="D36" s="183"/>
      <c r="E36" s="183"/>
      <c r="F36" s="183"/>
      <c r="G36" s="183"/>
      <c r="H36" s="183"/>
      <c r="I36" s="183"/>
      <c r="J36" s="183"/>
    </row>
    <row r="37" ht="12.75" customHeight="1">
      <c r="B37" s="183"/>
      <c r="C37" s="183"/>
      <c r="D37" s="183"/>
      <c r="E37" s="183"/>
      <c r="F37" s="183"/>
      <c r="G37" s="183"/>
      <c r="H37" s="183"/>
      <c r="I37" s="183"/>
      <c r="J37" s="183"/>
    </row>
    <row r="38" ht="12.75" customHeight="1">
      <c r="B38" s="183"/>
      <c r="C38" s="183"/>
      <c r="D38" s="183"/>
      <c r="E38" s="183"/>
      <c r="F38" s="183"/>
      <c r="G38" s="183"/>
      <c r="H38" s="183"/>
      <c r="I38" s="183"/>
      <c r="J38" s="183"/>
    </row>
    <row r="39" ht="12.75" customHeight="1">
      <c r="B39" s="183"/>
      <c r="C39" s="183"/>
      <c r="D39" s="183"/>
      <c r="E39" s="183"/>
      <c r="F39" s="183"/>
      <c r="G39" s="183"/>
      <c r="H39" s="183"/>
      <c r="I39" s="183"/>
      <c r="J39" s="183"/>
    </row>
    <row r="40" ht="12.75" customHeight="1">
      <c r="B40" s="183"/>
      <c r="C40" s="183"/>
      <c r="D40" s="183"/>
      <c r="E40" s="183"/>
      <c r="F40" s="183"/>
      <c r="G40" s="183"/>
      <c r="H40" s="183"/>
      <c r="I40" s="183"/>
      <c r="J40" s="183"/>
    </row>
    <row r="41" ht="12.75" customHeight="1">
      <c r="B41" s="183"/>
      <c r="C41" s="183"/>
      <c r="D41" s="183"/>
      <c r="E41" s="183"/>
      <c r="F41" s="183"/>
      <c r="G41" s="183"/>
      <c r="H41" s="183"/>
      <c r="I41" s="183"/>
      <c r="J41" s="183"/>
    </row>
    <row r="42" ht="12.75" customHeight="1">
      <c r="B42" s="183"/>
      <c r="C42" s="183"/>
      <c r="D42" s="183"/>
      <c r="E42" s="183"/>
      <c r="F42" s="183"/>
      <c r="G42" s="183"/>
      <c r="H42" s="183"/>
      <c r="I42" s="183"/>
      <c r="J42" s="183"/>
    </row>
    <row r="43" ht="12.75" customHeight="1">
      <c r="B43" s="183"/>
      <c r="C43" s="183"/>
      <c r="D43" s="183"/>
      <c r="E43" s="183"/>
      <c r="F43" s="183"/>
      <c r="G43" s="183"/>
      <c r="H43" s="183"/>
      <c r="I43" s="183"/>
      <c r="J43" s="183"/>
    </row>
    <row r="44" ht="12.75" customHeight="1">
      <c r="B44" s="183"/>
      <c r="C44" s="183"/>
      <c r="D44" s="183"/>
      <c r="E44" s="183"/>
      <c r="F44" s="183"/>
      <c r="G44" s="183"/>
      <c r="H44" s="183"/>
      <c r="I44" s="183"/>
      <c r="J44" s="183"/>
    </row>
    <row r="45" ht="12.75" customHeight="1">
      <c r="B45" s="183"/>
      <c r="C45" s="183"/>
      <c r="D45" s="183"/>
      <c r="E45" s="183"/>
      <c r="F45" s="183"/>
      <c r="G45" s="183"/>
      <c r="H45" s="183"/>
      <c r="I45" s="183"/>
      <c r="J45" s="183"/>
    </row>
    <row r="46" ht="12.75" customHeight="1">
      <c r="B46" s="183"/>
      <c r="C46" s="183"/>
      <c r="D46" s="183"/>
      <c r="E46" s="183"/>
      <c r="F46" s="183"/>
      <c r="G46" s="183"/>
      <c r="H46" s="183"/>
      <c r="I46" s="183"/>
      <c r="J46" s="183"/>
    </row>
    <row r="47" ht="12.75" customHeight="1">
      <c r="B47" s="183"/>
      <c r="C47" s="183"/>
      <c r="D47" s="183"/>
      <c r="E47" s="183"/>
      <c r="F47" s="183"/>
      <c r="G47" s="183"/>
      <c r="H47" s="183"/>
      <c r="I47" s="183"/>
      <c r="J47" s="183"/>
    </row>
    <row r="48" ht="12.75" customHeight="1">
      <c r="B48" s="183"/>
      <c r="C48" s="183"/>
      <c r="D48" s="183"/>
      <c r="E48" s="183"/>
      <c r="F48" s="183"/>
      <c r="G48" s="183"/>
      <c r="H48" s="183"/>
      <c r="I48" s="183"/>
      <c r="J48" s="183"/>
    </row>
    <row r="49" ht="12.75" customHeight="1">
      <c r="B49" s="183"/>
      <c r="C49" s="183"/>
      <c r="D49" s="183"/>
      <c r="E49" s="183"/>
      <c r="F49" s="183"/>
      <c r="G49" s="183"/>
      <c r="H49" s="183"/>
      <c r="I49" s="183"/>
      <c r="J49" s="183"/>
    </row>
    <row r="50" ht="12.75" customHeight="1">
      <c r="B50" s="183"/>
      <c r="C50" s="183"/>
      <c r="D50" s="183"/>
      <c r="E50" s="183"/>
      <c r="F50" s="183"/>
      <c r="G50" s="183"/>
      <c r="H50" s="183"/>
      <c r="I50" s="183"/>
      <c r="J50" s="183"/>
    </row>
    <row r="51" ht="12.75" customHeight="1">
      <c r="B51" s="183"/>
      <c r="C51" s="183"/>
      <c r="D51" s="183"/>
      <c r="E51" s="183"/>
      <c r="F51" s="183"/>
      <c r="G51" s="183"/>
      <c r="H51" s="183"/>
      <c r="I51" s="183"/>
      <c r="J51" s="183"/>
    </row>
    <row r="52" ht="12.75" customHeight="1">
      <c r="B52" s="183"/>
      <c r="C52" s="183"/>
      <c r="D52" s="183"/>
      <c r="E52" s="183"/>
      <c r="F52" s="183"/>
      <c r="G52" s="183"/>
      <c r="H52" s="183"/>
      <c r="I52" s="183"/>
      <c r="J52" s="183"/>
    </row>
    <row r="53" ht="12.75" customHeight="1">
      <c r="B53" s="183"/>
      <c r="C53" s="183"/>
      <c r="D53" s="183"/>
      <c r="E53" s="183"/>
      <c r="F53" s="183"/>
      <c r="G53" s="183"/>
      <c r="H53" s="183"/>
      <c r="I53" s="183"/>
      <c r="J53" s="183"/>
    </row>
    <row r="54" ht="12.75" customHeight="1">
      <c r="B54" s="183"/>
      <c r="C54" s="183"/>
      <c r="D54" s="183"/>
      <c r="E54" s="183"/>
      <c r="F54" s="183"/>
      <c r="G54" s="183"/>
      <c r="H54" s="183"/>
      <c r="I54" s="183"/>
      <c r="J54" s="183"/>
    </row>
    <row r="55" ht="12.75" customHeight="1">
      <c r="B55" s="183"/>
      <c r="C55" s="183"/>
      <c r="D55" s="183"/>
      <c r="E55" s="183"/>
      <c r="F55" s="183"/>
      <c r="G55" s="183"/>
      <c r="H55" s="183"/>
      <c r="I55" s="183"/>
      <c r="J55" s="183"/>
    </row>
    <row r="56" ht="12.75" customHeight="1">
      <c r="B56" s="183"/>
      <c r="C56" s="183"/>
      <c r="D56" s="183"/>
      <c r="E56" s="183"/>
      <c r="F56" s="183"/>
      <c r="G56" s="183"/>
      <c r="H56" s="183"/>
      <c r="I56" s="183"/>
      <c r="J56" s="183"/>
    </row>
    <row r="57" ht="12.75" customHeight="1">
      <c r="B57" s="183"/>
      <c r="C57" s="183"/>
      <c r="D57" s="183"/>
      <c r="E57" s="183"/>
      <c r="F57" s="183"/>
      <c r="G57" s="183"/>
      <c r="H57" s="183"/>
      <c r="I57" s="183"/>
      <c r="J57" s="183"/>
    </row>
    <row r="58" ht="12.75" customHeight="1">
      <c r="B58" s="183"/>
      <c r="C58" s="183"/>
      <c r="D58" s="183"/>
      <c r="E58" s="183"/>
      <c r="F58" s="183"/>
      <c r="G58" s="183"/>
      <c r="H58" s="183"/>
      <c r="I58" s="183"/>
      <c r="J58" s="183"/>
    </row>
    <row r="59" ht="12.75" customHeight="1">
      <c r="B59" s="183"/>
      <c r="C59" s="183"/>
      <c r="D59" s="183"/>
      <c r="E59" s="183"/>
      <c r="F59" s="183"/>
      <c r="G59" s="183"/>
      <c r="H59" s="183"/>
      <c r="I59" s="183"/>
      <c r="J59" s="183"/>
    </row>
    <row r="60" ht="12.75" customHeight="1">
      <c r="B60" s="183"/>
      <c r="C60" s="183"/>
      <c r="D60" s="183"/>
      <c r="E60" s="183"/>
      <c r="F60" s="183"/>
      <c r="G60" s="183"/>
      <c r="H60" s="183"/>
      <c r="I60" s="183"/>
      <c r="J60" s="183"/>
    </row>
    <row r="61" ht="12.75" customHeight="1">
      <c r="B61" s="183"/>
      <c r="C61" s="183"/>
      <c r="D61" s="183"/>
      <c r="E61" s="183"/>
      <c r="F61" s="183"/>
      <c r="G61" s="183"/>
      <c r="H61" s="183"/>
      <c r="I61" s="183"/>
      <c r="J61" s="183"/>
    </row>
    <row r="62" ht="12.75" customHeight="1">
      <c r="B62" s="183"/>
      <c r="C62" s="183"/>
      <c r="D62" s="183"/>
      <c r="E62" s="183"/>
      <c r="F62" s="183"/>
      <c r="G62" s="183"/>
      <c r="H62" s="183"/>
      <c r="I62" s="183"/>
      <c r="J62" s="183"/>
    </row>
    <row r="63" ht="12.75" customHeight="1">
      <c r="B63" s="183"/>
      <c r="C63" s="183"/>
      <c r="D63" s="183"/>
      <c r="E63" s="183"/>
      <c r="F63" s="183"/>
      <c r="G63" s="183"/>
      <c r="H63" s="183"/>
      <c r="I63" s="183"/>
      <c r="J63" s="183"/>
    </row>
    <row r="64" ht="12.75" customHeight="1">
      <c r="B64" s="183"/>
      <c r="C64" s="183"/>
      <c r="D64" s="183"/>
      <c r="E64" s="183"/>
      <c r="F64" s="183"/>
      <c r="G64" s="183"/>
      <c r="H64" s="183"/>
      <c r="I64" s="183"/>
      <c r="J64" s="183"/>
    </row>
    <row r="65" ht="12.75" customHeight="1">
      <c r="B65" s="183"/>
      <c r="C65" s="183"/>
      <c r="D65" s="183"/>
      <c r="E65" s="183"/>
      <c r="F65" s="183"/>
      <c r="G65" s="183"/>
      <c r="H65" s="183"/>
      <c r="I65" s="183"/>
      <c r="J65" s="183"/>
    </row>
    <row r="66" ht="12.75" customHeight="1">
      <c r="B66" s="183"/>
      <c r="C66" s="183"/>
      <c r="D66" s="183"/>
      <c r="E66" s="183"/>
      <c r="F66" s="183"/>
      <c r="G66" s="183"/>
      <c r="H66" s="183"/>
      <c r="I66" s="183"/>
      <c r="J66" s="183"/>
    </row>
    <row r="67" ht="12.75" customHeight="1">
      <c r="B67" s="183"/>
      <c r="C67" s="183"/>
      <c r="D67" s="183"/>
      <c r="E67" s="183"/>
      <c r="F67" s="183"/>
      <c r="G67" s="183"/>
      <c r="H67" s="183"/>
      <c r="I67" s="183"/>
      <c r="J67" s="183"/>
    </row>
    <row r="68" ht="12.75" customHeight="1">
      <c r="B68" s="183"/>
      <c r="C68" s="183"/>
      <c r="D68" s="183"/>
      <c r="E68" s="183"/>
      <c r="F68" s="183"/>
      <c r="G68" s="183"/>
      <c r="H68" s="183"/>
      <c r="I68" s="183"/>
      <c r="J68" s="183"/>
    </row>
    <row r="69" ht="12.75" customHeight="1">
      <c r="B69" s="183"/>
      <c r="C69" s="183"/>
      <c r="D69" s="183"/>
      <c r="E69" s="183"/>
      <c r="F69" s="183"/>
      <c r="G69" s="183"/>
      <c r="H69" s="183"/>
      <c r="I69" s="183"/>
      <c r="J69" s="183"/>
    </row>
    <row r="70" ht="12.75" customHeight="1">
      <c r="B70" s="183"/>
      <c r="C70" s="183"/>
      <c r="D70" s="183"/>
      <c r="E70" s="183"/>
      <c r="F70" s="183"/>
      <c r="G70" s="183"/>
      <c r="H70" s="183"/>
      <c r="I70" s="183"/>
      <c r="J70" s="183"/>
    </row>
    <row r="71" ht="12.75" customHeight="1">
      <c r="B71" s="183"/>
      <c r="C71" s="183"/>
      <c r="D71" s="183"/>
      <c r="E71" s="183"/>
      <c r="F71" s="183"/>
      <c r="G71" s="183"/>
      <c r="H71" s="183"/>
      <c r="I71" s="183"/>
      <c r="J71" s="183"/>
    </row>
    <row r="72" ht="12.75" customHeight="1">
      <c r="B72" s="183"/>
      <c r="C72" s="183"/>
      <c r="D72" s="183"/>
      <c r="E72" s="183"/>
      <c r="F72" s="183"/>
      <c r="G72" s="183"/>
      <c r="H72" s="183"/>
      <c r="I72" s="183"/>
      <c r="J72" s="183"/>
    </row>
    <row r="73" ht="12.75" customHeight="1">
      <c r="B73" s="183"/>
      <c r="C73" s="183"/>
      <c r="D73" s="183"/>
      <c r="E73" s="183"/>
      <c r="F73" s="183"/>
      <c r="G73" s="183"/>
      <c r="H73" s="183"/>
      <c r="I73" s="183"/>
      <c r="J73" s="183"/>
    </row>
    <row r="74" ht="12.75" customHeight="1">
      <c r="B74" s="183"/>
      <c r="C74" s="183"/>
      <c r="D74" s="183"/>
      <c r="E74" s="183"/>
      <c r="F74" s="183"/>
      <c r="G74" s="183"/>
      <c r="H74" s="183"/>
      <c r="I74" s="183"/>
      <c r="J74" s="183"/>
    </row>
    <row r="75" ht="12.75" customHeight="1">
      <c r="B75" s="183"/>
      <c r="C75" s="183"/>
      <c r="D75" s="183"/>
      <c r="E75" s="183"/>
      <c r="F75" s="183"/>
      <c r="G75" s="183"/>
      <c r="H75" s="183"/>
      <c r="I75" s="183"/>
      <c r="J75" s="183"/>
    </row>
    <row r="76" ht="12.75" customHeight="1">
      <c r="B76" s="183"/>
      <c r="C76" s="183"/>
      <c r="D76" s="183"/>
      <c r="E76" s="183"/>
      <c r="F76" s="183"/>
      <c r="G76" s="183"/>
      <c r="H76" s="183"/>
      <c r="I76" s="183"/>
      <c r="J76" s="183"/>
    </row>
    <row r="77" ht="12.75" customHeight="1">
      <c r="B77" s="183"/>
      <c r="C77" s="183"/>
      <c r="D77" s="183"/>
      <c r="E77" s="183"/>
      <c r="F77" s="183"/>
      <c r="G77" s="183"/>
      <c r="H77" s="183"/>
      <c r="I77" s="183"/>
      <c r="J77" s="183"/>
    </row>
    <row r="78" ht="12.75" customHeight="1">
      <c r="B78" s="183"/>
      <c r="C78" s="183"/>
      <c r="D78" s="183"/>
      <c r="E78" s="183"/>
      <c r="F78" s="183"/>
      <c r="G78" s="183"/>
      <c r="H78" s="183"/>
      <c r="I78" s="183"/>
      <c r="J78" s="183"/>
    </row>
    <row r="79" ht="12.75" customHeight="1">
      <c r="B79" s="183"/>
      <c r="C79" s="183"/>
      <c r="D79" s="183"/>
      <c r="E79" s="183"/>
      <c r="F79" s="183"/>
      <c r="G79" s="183"/>
      <c r="H79" s="183"/>
      <c r="I79" s="183"/>
      <c r="J79" s="183"/>
    </row>
    <row r="80" ht="12.75" customHeight="1">
      <c r="B80" s="183"/>
      <c r="C80" s="183"/>
      <c r="D80" s="183"/>
      <c r="E80" s="183"/>
      <c r="F80" s="183"/>
      <c r="G80" s="183"/>
      <c r="H80" s="183"/>
      <c r="I80" s="183"/>
      <c r="J80" s="183"/>
    </row>
    <row r="81" ht="12.75" customHeight="1">
      <c r="B81" s="183"/>
      <c r="C81" s="183"/>
      <c r="D81" s="183"/>
      <c r="E81" s="183"/>
      <c r="F81" s="183"/>
      <c r="G81" s="183"/>
      <c r="H81" s="183"/>
      <c r="I81" s="183"/>
      <c r="J81" s="183"/>
    </row>
    <row r="82" ht="12.75" customHeight="1">
      <c r="B82" s="183"/>
      <c r="C82" s="183"/>
      <c r="D82" s="183"/>
      <c r="E82" s="183"/>
      <c r="F82" s="183"/>
      <c r="G82" s="183"/>
      <c r="H82" s="183"/>
      <c r="I82" s="183"/>
      <c r="J82" s="183"/>
    </row>
    <row r="83" ht="12.75" customHeight="1">
      <c r="B83" s="183"/>
      <c r="C83" s="183"/>
      <c r="D83" s="183"/>
      <c r="E83" s="183"/>
      <c r="F83" s="183"/>
      <c r="G83" s="183"/>
      <c r="H83" s="183"/>
      <c r="I83" s="183"/>
      <c r="J83" s="183"/>
    </row>
    <row r="84" ht="12.75" customHeight="1">
      <c r="B84" s="183"/>
      <c r="C84" s="183"/>
      <c r="D84" s="183"/>
      <c r="E84" s="183"/>
      <c r="F84" s="183"/>
      <c r="G84" s="183"/>
      <c r="H84" s="183"/>
      <c r="I84" s="183"/>
      <c r="J84" s="183"/>
    </row>
    <row r="85" ht="12.75" customHeight="1">
      <c r="B85" s="183"/>
      <c r="C85" s="183"/>
      <c r="D85" s="183"/>
      <c r="E85" s="183"/>
      <c r="F85" s="183"/>
      <c r="G85" s="183"/>
      <c r="H85" s="183"/>
      <c r="I85" s="183"/>
      <c r="J85" s="183"/>
    </row>
    <row r="86" ht="12.75" customHeight="1">
      <c r="B86" s="183"/>
      <c r="C86" s="183"/>
      <c r="D86" s="183"/>
      <c r="E86" s="183"/>
      <c r="F86" s="183"/>
      <c r="G86" s="183"/>
      <c r="H86" s="183"/>
      <c r="I86" s="183"/>
      <c r="J86" s="183"/>
    </row>
    <row r="87" ht="12.75" customHeight="1">
      <c r="B87" s="183"/>
      <c r="C87" s="183"/>
      <c r="D87" s="183"/>
      <c r="E87" s="183"/>
      <c r="F87" s="183"/>
      <c r="G87" s="183"/>
      <c r="H87" s="183"/>
      <c r="I87" s="183"/>
      <c r="J87" s="183"/>
    </row>
    <row r="88" ht="12.75" customHeight="1">
      <c r="B88" s="183"/>
      <c r="C88" s="183"/>
      <c r="D88" s="183"/>
      <c r="E88" s="183"/>
      <c r="F88" s="183"/>
      <c r="G88" s="183"/>
      <c r="H88" s="183"/>
      <c r="I88" s="183"/>
      <c r="J88" s="183"/>
    </row>
    <row r="89" ht="12.75" customHeight="1">
      <c r="B89" s="183"/>
      <c r="C89" s="183"/>
      <c r="D89" s="183"/>
      <c r="E89" s="183"/>
      <c r="F89" s="183"/>
      <c r="G89" s="183"/>
      <c r="H89" s="183"/>
      <c r="I89" s="183"/>
      <c r="J89" s="183"/>
    </row>
    <row r="90" ht="12.75" customHeight="1">
      <c r="B90" s="183"/>
      <c r="C90" s="183"/>
      <c r="D90" s="183"/>
      <c r="E90" s="183"/>
      <c r="F90" s="183"/>
      <c r="G90" s="183"/>
      <c r="H90" s="183"/>
      <c r="I90" s="183"/>
      <c r="J90" s="183"/>
    </row>
    <row r="91" ht="12.75" customHeight="1">
      <c r="B91" s="183"/>
      <c r="C91" s="183"/>
      <c r="D91" s="183"/>
      <c r="E91" s="183"/>
      <c r="F91" s="183"/>
      <c r="G91" s="183"/>
      <c r="H91" s="183"/>
      <c r="I91" s="183"/>
      <c r="J91" s="183"/>
    </row>
    <row r="92" ht="12.75" customHeight="1">
      <c r="B92" s="183"/>
      <c r="C92" s="183"/>
      <c r="D92" s="183"/>
      <c r="E92" s="183"/>
      <c r="F92" s="183"/>
      <c r="G92" s="183"/>
      <c r="H92" s="183"/>
      <c r="I92" s="183"/>
      <c r="J92" s="183"/>
    </row>
    <row r="93" ht="12.75" customHeight="1">
      <c r="B93" s="183"/>
      <c r="C93" s="183"/>
      <c r="D93" s="183"/>
      <c r="E93" s="183"/>
      <c r="F93" s="183"/>
      <c r="G93" s="183"/>
      <c r="H93" s="183"/>
      <c r="I93" s="183"/>
      <c r="J93" s="183"/>
    </row>
    <row r="94" ht="12.75" customHeight="1">
      <c r="B94" s="183"/>
      <c r="C94" s="183"/>
      <c r="D94" s="183"/>
      <c r="E94" s="183"/>
      <c r="F94" s="183"/>
      <c r="G94" s="183"/>
      <c r="H94" s="183"/>
      <c r="I94" s="183"/>
      <c r="J94" s="183"/>
    </row>
    <row r="95" ht="12.75" customHeight="1">
      <c r="B95" s="183"/>
      <c r="C95" s="183"/>
      <c r="D95" s="183"/>
      <c r="E95" s="183"/>
      <c r="F95" s="183"/>
      <c r="G95" s="183"/>
      <c r="H95" s="183"/>
      <c r="I95" s="183"/>
      <c r="J95" s="183"/>
    </row>
    <row r="96" ht="12.75" customHeight="1">
      <c r="B96" s="183"/>
      <c r="C96" s="183"/>
      <c r="D96" s="183"/>
      <c r="E96" s="183"/>
      <c r="F96" s="183"/>
      <c r="G96" s="183"/>
      <c r="H96" s="183"/>
      <c r="I96" s="183"/>
      <c r="J96" s="183"/>
    </row>
    <row r="97" ht="12.75" customHeight="1">
      <c r="B97" s="183"/>
      <c r="C97" s="183"/>
      <c r="D97" s="183"/>
      <c r="E97" s="183"/>
      <c r="F97" s="183"/>
      <c r="G97" s="183"/>
      <c r="H97" s="183"/>
      <c r="I97" s="183"/>
      <c r="J97" s="183"/>
    </row>
    <row r="98" ht="12.75" customHeight="1">
      <c r="B98" s="183"/>
      <c r="C98" s="183"/>
      <c r="D98" s="183"/>
      <c r="E98" s="183"/>
      <c r="F98" s="183"/>
      <c r="G98" s="183"/>
      <c r="H98" s="183"/>
      <c r="I98" s="183"/>
      <c r="J98" s="183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