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мат_стат_долгосрочка\Даша\1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F26" i="1"/>
  <c r="F24" i="1"/>
  <c r="E24" i="1"/>
  <c r="E22" i="1"/>
  <c r="E21" i="1"/>
  <c r="E20" i="1"/>
  <c r="E19" i="1"/>
  <c r="E13" i="1"/>
  <c r="F13" i="1"/>
  <c r="F11" i="1"/>
  <c r="E11" i="1"/>
  <c r="E9" i="1"/>
  <c r="F9" i="1"/>
  <c r="E7" i="1"/>
  <c r="F7" i="1"/>
  <c r="E5" i="1"/>
  <c r="E3" i="1"/>
  <c r="L71" i="1"/>
  <c r="L70" i="1"/>
  <c r="L73" i="1"/>
  <c r="L78" i="1"/>
  <c r="L87" i="1"/>
  <c r="L88" i="1"/>
  <c r="L8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4" i="1"/>
  <c r="L75" i="1"/>
  <c r="L76" i="1"/>
  <c r="L77" i="1"/>
  <c r="L79" i="1"/>
  <c r="L80" i="1"/>
  <c r="L81" i="1"/>
  <c r="L82" i="1"/>
  <c r="L83" i="1"/>
  <c r="L84" i="1"/>
  <c r="L85" i="1"/>
  <c r="L2" i="1"/>
  <c r="AK161" i="1" l="1"/>
  <c r="AA162" i="1"/>
  <c r="AG164" i="1"/>
  <c r="AG163" i="1"/>
  <c r="AH163" i="1"/>
  <c r="AH164" i="1" s="1"/>
  <c r="AH165" i="1" s="1"/>
  <c r="AH166" i="1" s="1"/>
  <c r="AH167" i="1" s="1"/>
  <c r="AH168" i="1" s="1"/>
  <c r="AH169" i="1" s="1"/>
  <c r="AF162" i="1"/>
  <c r="AF163" i="1" s="1"/>
  <c r="AH151" i="1"/>
  <c r="AH152" i="1" s="1"/>
  <c r="AH153" i="1" s="1"/>
  <c r="AH154" i="1" s="1"/>
  <c r="AH155" i="1" s="1"/>
  <c r="AH156" i="1" s="1"/>
  <c r="AH157" i="1" s="1"/>
  <c r="AH158" i="1" s="1"/>
  <c r="AF151" i="1"/>
  <c r="AF139" i="1"/>
  <c r="AB132" i="1"/>
  <c r="AF164" i="1" l="1"/>
  <c r="AI163" i="1"/>
  <c r="AI162" i="1"/>
  <c r="AI151" i="1"/>
  <c r="AF152" i="1"/>
  <c r="AF140" i="1"/>
  <c r="H146" i="1"/>
  <c r="AF165" i="1" l="1"/>
  <c r="AI164" i="1"/>
  <c r="AI152" i="1"/>
  <c r="AF153" i="1"/>
  <c r="AF141" i="1"/>
  <c r="B152" i="1"/>
  <c r="E150" i="1"/>
  <c r="C112" i="1"/>
  <c r="AI165" i="1" l="1"/>
  <c r="AF166" i="1"/>
  <c r="AI153" i="1"/>
  <c r="AF154" i="1"/>
  <c r="AF142" i="1"/>
  <c r="B258" i="1"/>
  <c r="G104" i="1"/>
  <c r="D104" i="1"/>
  <c r="AF167" i="1" l="1"/>
  <c r="AI166" i="1"/>
  <c r="AI154" i="1"/>
  <c r="AF155" i="1"/>
  <c r="AF143" i="1"/>
  <c r="F104" i="1"/>
  <c r="J145" i="1"/>
  <c r="B270" i="1"/>
  <c r="B267" i="1"/>
  <c r="E247" i="1"/>
  <c r="B233" i="1"/>
  <c r="AF168" i="1" l="1"/>
  <c r="AI167" i="1"/>
  <c r="AI155" i="1"/>
  <c r="AF156" i="1"/>
  <c r="AF144" i="1"/>
  <c r="B234" i="1"/>
  <c r="AF169" i="1" l="1"/>
  <c r="AI169" i="1" s="1"/>
  <c r="AI168" i="1"/>
  <c r="AI156" i="1"/>
  <c r="AF157" i="1"/>
  <c r="AF145" i="1"/>
  <c r="B230" i="1"/>
  <c r="AI157" i="1" l="1"/>
  <c r="AF158" i="1"/>
  <c r="AI158" i="1" s="1"/>
  <c r="AF146" i="1"/>
  <c r="Q153" i="1"/>
  <c r="T153" i="1" s="1"/>
  <c r="W153" i="1" s="1"/>
  <c r="Z153" i="1" s="1"/>
  <c r="H153" i="1"/>
  <c r="K153" i="1" s="1"/>
  <c r="N153" i="1" s="1"/>
  <c r="C152" i="1"/>
  <c r="F143" i="1"/>
  <c r="B120" i="1"/>
  <c r="B137" i="1"/>
  <c r="B125" i="1"/>
  <c r="F153" i="1" l="1"/>
  <c r="G153" i="1" s="1"/>
  <c r="F142" i="1"/>
  <c r="F149" i="1"/>
  <c r="X153" i="1" s="1"/>
  <c r="Y153" i="1" s="1"/>
  <c r="F145" i="1"/>
  <c r="F146" i="1"/>
  <c r="O153" i="1" s="1"/>
  <c r="P153" i="1" s="1"/>
  <c r="F148" i="1"/>
  <c r="U153" i="1" s="1"/>
  <c r="V153" i="1" s="1"/>
  <c r="F144" i="1"/>
  <c r="F147" i="1"/>
  <c r="R153" i="1" s="1"/>
  <c r="S153" i="1" s="1"/>
  <c r="B129" i="1"/>
  <c r="B133" i="1" s="1"/>
  <c r="F150" i="1" l="1"/>
  <c r="I153" i="1"/>
  <c r="J153" i="1" s="1"/>
  <c r="L153" i="1"/>
  <c r="M153" i="1"/>
  <c r="D153" i="1"/>
  <c r="C153" i="1"/>
  <c r="C142" i="1"/>
  <c r="D152" i="1" l="1"/>
  <c r="E152" i="1" s="1"/>
  <c r="F152" i="1" s="1"/>
  <c r="B211" i="1"/>
  <c r="C211" i="1" s="1"/>
  <c r="C222" i="1" s="1"/>
  <c r="B143" i="1"/>
  <c r="D142" i="1"/>
  <c r="D222" i="1" l="1"/>
  <c r="C143" i="1"/>
  <c r="D143" i="1" s="1"/>
  <c r="B212" i="1" l="1"/>
  <c r="C212" i="1" s="1"/>
  <c r="C223" i="1" s="1"/>
  <c r="B144" i="1"/>
  <c r="G152" i="1"/>
  <c r="H152" i="1" s="1"/>
  <c r="I152" i="1" s="1"/>
  <c r="D223" i="1" l="1"/>
  <c r="C144" i="1"/>
  <c r="B213" i="1" l="1"/>
  <c r="C213" i="1" s="1"/>
  <c r="C224" i="1" s="1"/>
  <c r="D144" i="1"/>
  <c r="J152" i="1"/>
  <c r="K152" i="1" s="1"/>
  <c r="L152" i="1" s="1"/>
  <c r="B145" i="1"/>
  <c r="I144" i="1" l="1"/>
  <c r="H144" i="1"/>
  <c r="D224" i="1"/>
  <c r="C145" i="1"/>
  <c r="J144" i="1" l="1"/>
  <c r="B146" i="1"/>
  <c r="M152" i="1"/>
  <c r="N152" i="1" s="1"/>
  <c r="O152" i="1" s="1"/>
  <c r="B214" i="1"/>
  <c r="C214" i="1" s="1"/>
  <c r="C225" i="1" s="1"/>
  <c r="D145" i="1"/>
  <c r="D225" i="1" l="1"/>
  <c r="C146" i="1"/>
  <c r="B215" i="1" s="1"/>
  <c r="C215" i="1" s="1"/>
  <c r="C226" i="1" s="1"/>
  <c r="D226" i="1" s="1"/>
  <c r="D146" i="1" l="1"/>
  <c r="B147" i="1"/>
  <c r="P152" i="1"/>
  <c r="Q152" i="1" s="1"/>
  <c r="R152" i="1" s="1"/>
  <c r="C147" i="1" l="1"/>
  <c r="B148" i="1" l="1"/>
  <c r="S152" i="1"/>
  <c r="T152" i="1" s="1"/>
  <c r="U152" i="1" s="1"/>
  <c r="D147" i="1"/>
  <c r="B216" i="1"/>
  <c r="C216" i="1" s="1"/>
  <c r="C227" i="1" s="1"/>
  <c r="D227" i="1" s="1"/>
  <c r="C148" i="1" l="1"/>
  <c r="B217" i="1" s="1"/>
  <c r="C217" i="1" s="1"/>
  <c r="C228" i="1" s="1"/>
  <c r="D228" i="1" s="1"/>
  <c r="D148" i="1" l="1"/>
  <c r="B149" i="1"/>
  <c r="V152" i="1"/>
  <c r="W152" i="1" s="1"/>
  <c r="X152" i="1" s="1"/>
  <c r="C149" i="1" l="1"/>
  <c r="Y152" i="1" s="1"/>
  <c r="Z152" i="1" s="1"/>
  <c r="B218" i="1" l="1"/>
  <c r="C218" i="1" s="1"/>
  <c r="C229" i="1" s="1"/>
  <c r="D149" i="1"/>
  <c r="G141" i="1" l="1"/>
  <c r="L141" i="1"/>
  <c r="D229" i="1"/>
  <c r="D230" i="1" s="1"/>
  <c r="C230" i="1"/>
  <c r="L143" i="1" l="1"/>
  <c r="O143" i="1" s="1"/>
  <c r="Q141" i="1" s="1"/>
  <c r="Q143" i="1"/>
  <c r="B238" i="1"/>
  <c r="C247" i="1"/>
  <c r="C252" i="1"/>
  <c r="Q140" i="1" l="1"/>
  <c r="S140" i="1" s="1"/>
  <c r="U143" i="1"/>
  <c r="U139" i="1"/>
  <c r="U140" i="1"/>
  <c r="U142" i="1"/>
  <c r="U141" i="1"/>
  <c r="U138" i="1"/>
  <c r="U144" i="1"/>
  <c r="X141" i="1" l="1"/>
  <c r="Y141" i="1" s="1"/>
  <c r="X139" i="1"/>
  <c r="X138" i="1"/>
  <c r="X140" i="1"/>
  <c r="X145" i="1"/>
  <c r="U145" i="1"/>
  <c r="X142" i="1"/>
  <c r="X143" i="1"/>
  <c r="X144" i="1"/>
  <c r="AG142" i="1" l="1"/>
  <c r="Y138" i="1"/>
  <c r="AG139" i="1"/>
  <c r="AH139" i="1" s="1"/>
  <c r="Y142" i="1"/>
  <c r="AG143" i="1"/>
  <c r="Y139" i="1"/>
  <c r="AG140" i="1"/>
  <c r="Y144" i="1"/>
  <c r="AG145" i="1"/>
  <c r="Y145" i="1"/>
  <c r="AG146" i="1"/>
  <c r="Y143" i="1"/>
  <c r="AG144" i="1"/>
  <c r="Y140" i="1"/>
  <c r="AG141" i="1"/>
  <c r="AA139" i="1" l="1"/>
  <c r="AB137" i="1" s="1"/>
  <c r="AH140" i="1"/>
  <c r="AI139" i="1"/>
  <c r="AH141" i="1" l="1"/>
  <c r="AI140" i="1"/>
  <c r="AH142" i="1" l="1"/>
  <c r="AI141" i="1"/>
  <c r="AH143" i="1" l="1"/>
  <c r="AI142" i="1"/>
  <c r="AH144" i="1" l="1"/>
  <c r="AI143" i="1"/>
  <c r="AH145" i="1" l="1"/>
  <c r="AI144" i="1"/>
  <c r="AH146" i="1" l="1"/>
  <c r="AI146" i="1" s="1"/>
  <c r="AI145" i="1"/>
</calcChain>
</file>

<file path=xl/sharedStrings.xml><?xml version="1.0" encoding="utf-8"?>
<sst xmlns="http://schemas.openxmlformats.org/spreadsheetml/2006/main" count="211" uniqueCount="195">
  <si>
    <t>Регион России</t>
  </si>
  <si>
    <t>Медиана</t>
  </si>
  <si>
    <t>Мода</t>
  </si>
  <si>
    <t>Ненецкий авт. округ</t>
  </si>
  <si>
    <t>Ямало-Ненецкий авт. округ</t>
  </si>
  <si>
    <t>г. Москва</t>
  </si>
  <si>
    <t>Чукотский авт. округ</t>
  </si>
  <si>
    <t>Сахалинская область</t>
  </si>
  <si>
    <t>Магаданская область</t>
  </si>
  <si>
    <t>Ханты-Мансийский АО</t>
  </si>
  <si>
    <t>Тюменская область с АО</t>
  </si>
  <si>
    <t>г. Cанкт-Петербург</t>
  </si>
  <si>
    <t>Камчатский край</t>
  </si>
  <si>
    <t>Московская область</t>
  </si>
  <si>
    <t>Республика Саха (Якутия)</t>
  </si>
  <si>
    <t>Хабаровский край</t>
  </si>
  <si>
    <t>Мурманская область</t>
  </si>
  <si>
    <t>Свердловская область</t>
  </si>
  <si>
    <t>Приморский край</t>
  </si>
  <si>
    <t>Республика Коми</t>
  </si>
  <si>
    <t>Пермский край</t>
  </si>
  <si>
    <t>Архангельская обл. с НАО</t>
  </si>
  <si>
    <t>Республика Татарстан</t>
  </si>
  <si>
    <t>Краснодарский край</t>
  </si>
  <si>
    <t>Архангельская обл. без НАО</t>
  </si>
  <si>
    <t>Нижегородская область</t>
  </si>
  <si>
    <t>Российская Федерация</t>
  </si>
  <si>
    <t>Воронежская область</t>
  </si>
  <si>
    <t>Амурская область</t>
  </si>
  <si>
    <t>Тюменская область без АО</t>
  </si>
  <si>
    <t>Белгородская область</t>
  </si>
  <si>
    <t>Республика Башкортостан</t>
  </si>
  <si>
    <t>Липецкая область</t>
  </si>
  <si>
    <t>Ярославская область</t>
  </si>
  <si>
    <t>Самарская область</t>
  </si>
  <si>
    <t>Красноярский край</t>
  </si>
  <si>
    <t>Республика Дагестан</t>
  </si>
  <si>
    <t>Калужская область</t>
  </si>
  <si>
    <t>Ростовская область</t>
  </si>
  <si>
    <t>Тульская область</t>
  </si>
  <si>
    <t>Ленинградская область</t>
  </si>
  <si>
    <t>Курская область</t>
  </si>
  <si>
    <t>Омская область</t>
  </si>
  <si>
    <t>Республика Карелия</t>
  </si>
  <si>
    <t>Вологодская область</t>
  </si>
  <si>
    <t>Новгородская область</t>
  </si>
  <si>
    <t>Республика Бурятия</t>
  </si>
  <si>
    <t>Брянская область</t>
  </si>
  <si>
    <t>Тамбовская область</t>
  </si>
  <si>
    <t>Калининградская область</t>
  </si>
  <si>
    <t>Удмуртская Республика</t>
  </si>
  <si>
    <t>Челябинская область</t>
  </si>
  <si>
    <t>Еврейская авт. область</t>
  </si>
  <si>
    <t>Рязанская область</t>
  </si>
  <si>
    <t>Смоленская область</t>
  </si>
  <si>
    <t>Астраханская область</t>
  </si>
  <si>
    <t>Новосибирская область</t>
  </si>
  <si>
    <t>Томская область</t>
  </si>
  <si>
    <t>Тверская область</t>
  </si>
  <si>
    <t>Оренбургская область</t>
  </si>
  <si>
    <t>Владимирская область</t>
  </si>
  <si>
    <t>Забайкальский край</t>
  </si>
  <si>
    <t>Орловская область</t>
  </si>
  <si>
    <t>Ульяновская область</t>
  </si>
  <si>
    <t>Ставропольский край</t>
  </si>
  <si>
    <t>Ивановская область</t>
  </si>
  <si>
    <t>Чеченская Республика</t>
  </si>
  <si>
    <t>Кировская область</t>
  </si>
  <si>
    <t>Республика Адыгея</t>
  </si>
  <si>
    <t>Костромская область</t>
  </si>
  <si>
    <t>Иркутская область</t>
  </si>
  <si>
    <t>Волгоградская область</t>
  </si>
  <si>
    <t> - Алания</t>
  </si>
  <si>
    <t>Кемеровская область</t>
  </si>
  <si>
    <t>Псковская область</t>
  </si>
  <si>
    <t>Пензенская область</t>
  </si>
  <si>
    <t>Алтайский край</t>
  </si>
  <si>
    <t>Республика Хакасия</t>
  </si>
  <si>
    <t>Курганская область</t>
  </si>
  <si>
    <t>Саратовская область</t>
  </si>
  <si>
    <t>Кабардино-Балкарская Респ.</t>
  </si>
  <si>
    <t>Чувашская Республика</t>
  </si>
  <si>
    <t>Республика Алтай</t>
  </si>
  <si>
    <t>Карачаево-Черкесская Респ.</t>
  </si>
  <si>
    <t>Республика Марий Эл</t>
  </si>
  <si>
    <t>Республика Мордовия</t>
  </si>
  <si>
    <t>Республика Тыва</t>
  </si>
  <si>
    <t>Республика Калмыкия</t>
  </si>
  <si>
    <t>Республика Ингушетия</t>
  </si>
  <si>
    <t>Средне-душевой 
доход, руб / м</t>
  </si>
  <si>
    <t>Среднее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</si>
  <si>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</si>
  <si>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</si>
  <si>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</si>
  <si>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</si>
  <si>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</si>
  <si>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</si>
  <si>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</si>
  <si>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</si>
  <si>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</si>
  <si>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</si>
  <si>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интервальный вариационный ряд</t>
  </si>
  <si>
    <t>Вычислим число интервалов по Стерджессу. K =</t>
  </si>
  <si>
    <t>шаг интервала h</t>
  </si>
  <si>
    <t>h(округл)</t>
  </si>
  <si>
    <t>начальная точка отсчета</t>
  </si>
  <si>
    <t>размах вариации</t>
  </si>
  <si>
    <t>Нижняя граница</t>
  </si>
  <si>
    <t>Верхняя граница</t>
  </si>
  <si>
    <t>интервалы</t>
  </si>
  <si>
    <t>ni</t>
  </si>
  <si>
    <t>wi</t>
  </si>
  <si>
    <t>xi</t>
  </si>
  <si>
    <t>x</t>
  </si>
  <si>
    <t>y</t>
  </si>
  <si>
    <t xml:space="preserve"> </t>
  </si>
  <si>
    <t>нормальное распределение</t>
  </si>
  <si>
    <t>середины интервала xi</t>
  </si>
  <si>
    <t>Значение функции Гаусса</t>
  </si>
  <si>
    <t>mi(теор. частоты)</t>
  </si>
  <si>
    <t>Критерий откл Пирсона</t>
  </si>
  <si>
    <t>пороговое значение</t>
  </si>
  <si>
    <t>сумм</t>
  </si>
  <si>
    <t>степ - 2 -1</t>
  </si>
  <si>
    <t xml:space="preserve">Рассчитаем p-value для 5-ти степеней </t>
  </si>
  <si>
    <t>Ф1</t>
  </si>
  <si>
    <t>Ф2</t>
  </si>
  <si>
    <t>в-ть, что статистика хи примет значение большее или рвное 105 =</t>
  </si>
  <si>
    <t>или</t>
  </si>
  <si>
    <t>&lt; 0,05 =&gt; нулевая гипотеза отвергается</t>
  </si>
  <si>
    <t>ni(наблюдаемые частоты) observed</t>
  </si>
  <si>
    <t xml:space="preserve">под Ho что подразумевалось ? Написать </t>
  </si>
  <si>
    <t>критерий согласия Пирсона</t>
  </si>
  <si>
    <t>a = 0,05</t>
  </si>
  <si>
    <t>в табл распределения</t>
  </si>
  <si>
    <t xml:space="preserve">хи 0,05(8-2-1) = </t>
  </si>
  <si>
    <t>а =0.01</t>
  </si>
  <si>
    <t>&lt;  сравнить с &lt;-</t>
  </si>
  <si>
    <t>найдем вероятность для 5 степеней , что статистика примет щаничегое большее или равное 105</t>
  </si>
  <si>
    <t xml:space="preserve">хи 0,01(8-2-1) = </t>
  </si>
  <si>
    <t xml:space="preserve">лямбда = D*sqrtn </t>
  </si>
  <si>
    <t>из лк</t>
  </si>
  <si>
    <t>=- значение статистики</t>
  </si>
  <si>
    <t xml:space="preserve">№  </t>
  </si>
  <si>
    <t xml:space="preserve">                                  </t>
  </si>
  <si>
    <t xml:space="preserve">      7(возьмем 8)</t>
  </si>
  <si>
    <t>z y1</t>
  </si>
  <si>
    <t>z y2</t>
  </si>
  <si>
    <t>O1 C</t>
  </si>
  <si>
    <t>№ группы</t>
  </si>
  <si>
    <t>∑ =</t>
  </si>
  <si>
    <t>Dв</t>
  </si>
  <si>
    <t>Xв</t>
  </si>
  <si>
    <t>сигма</t>
  </si>
  <si>
    <t>просто расчеты</t>
  </si>
  <si>
    <t>а</t>
  </si>
  <si>
    <t>б</t>
  </si>
  <si>
    <t>f(x)</t>
  </si>
  <si>
    <t>λ</t>
  </si>
  <si>
    <t>посчитаем  е</t>
  </si>
  <si>
    <t>p1</t>
  </si>
  <si>
    <t>e^(-λ*48322,1)</t>
  </si>
  <si>
    <t>p2</t>
  </si>
  <si>
    <t>p3</t>
  </si>
  <si>
    <t>p4</t>
  </si>
  <si>
    <t>p5</t>
  </si>
  <si>
    <t>p6</t>
  </si>
  <si>
    <t>p7</t>
  </si>
  <si>
    <t xml:space="preserve">p8 </t>
  </si>
  <si>
    <t>m</t>
  </si>
  <si>
    <t xml:space="preserve">показательное </t>
  </si>
  <si>
    <t>хм квадрат</t>
  </si>
  <si>
    <t>романовского</t>
  </si>
  <si>
    <t>норм романовского</t>
  </si>
  <si>
    <t>колмогорова</t>
  </si>
  <si>
    <t>Fn(x)</t>
  </si>
  <si>
    <t>pi</t>
  </si>
  <si>
    <t>Fn*(x)</t>
  </si>
  <si>
    <t>|Fn(x)-Fn*(x)|</t>
  </si>
  <si>
    <t>для показ</t>
  </si>
  <si>
    <t>для норм</t>
  </si>
  <si>
    <t>для равномерн</t>
  </si>
  <si>
    <t>хи</t>
  </si>
  <si>
    <t>mi</t>
  </si>
  <si>
    <t>S^2</t>
  </si>
  <si>
    <t>tmp</t>
  </si>
  <si>
    <t>S</t>
  </si>
  <si>
    <t>интервалы для тета 1 при гамма 1:</t>
  </si>
  <si>
    <t>интервалы для тета 1 при гамма 2:</t>
  </si>
  <si>
    <t>интервал для статистики t гамма1:</t>
  </si>
  <si>
    <t>интервал для статистики t гамма2:</t>
  </si>
  <si>
    <t>теперь разберемся с тета 2:</t>
  </si>
  <si>
    <t>вот эти 4 разных Хи2:</t>
  </si>
  <si>
    <t>интервалы для тета 2 при гамма1:</t>
  </si>
  <si>
    <t>интервалы для тета 2 при гамма2: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</si>
</sst>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0.000000000E+00"/>
    <numFmt numFmtId="165" formatCode="0.000"/>
  </numFmts>
  <fonts count="1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3"/>
      <color rgb="FF000000"/>
      <name val="Arial"/>
      <family val="2"/>
    </font>
    <font>
      <sz val="13"/>
      <color theme="1"/>
      <name val="Arial"/>
      <family val="2"/>
    </font>
    <font>
      <i/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68C1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4" fontId="0" fillId="0" borderId="0" xfId="0" applyNumberFormat="1"/>
    <xf numFmtId="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4" fontId="2" fillId="0" borderId="0" xfId="0" applyNumberFormat="1" applyFont="1"/>
    <xf numFmtId="2" fontId="0" fillId="0" borderId="0" xfId="0" applyNumberFormat="1"/>
    <xf numFmtId="4" fontId="5" fillId="0" borderId="0" xfId="0" applyNumberFormat="1" applyFont="1"/>
    <xf numFmtId="44" fontId="0" fillId="0" borderId="1" xfId="1" applyFont="1" applyFill="1" applyBorder="1" applyAlignment="1"/>
    <xf numFmtId="0" fontId="3" fillId="0" borderId="0" xfId="0" applyFont="1"/>
    <xf numFmtId="0" fontId="0" fillId="0" borderId="0" xfId="0" quotePrefix="1"/>
    <xf numFmtId="0" fontId="1" fillId="3" borderId="0" xfId="3"/>
    <xf numFmtId="0" fontId="1" fillId="2" borderId="0" xfId="2"/>
    <xf numFmtId="0" fontId="1" fillId="4" borderId="0" xfId="4"/>
    <xf numFmtId="0" fontId="1" fillId="6" borderId="0" xfId="6"/>
    <xf numFmtId="0" fontId="1" fillId="7" borderId="0" xfId="7"/>
    <xf numFmtId="0" fontId="1" fillId="8" borderId="0" xfId="8"/>
    <xf numFmtId="0" fontId="1" fillId="5" borderId="0" xfId="5"/>
    <xf numFmtId="2" fontId="1" fillId="8" borderId="0" xfId="8" applyNumberFormat="1"/>
    <xf numFmtId="0" fontId="0" fillId="9" borderId="0" xfId="0" applyFill="1"/>
    <xf numFmtId="0" fontId="0" fillId="10" borderId="0" xfId="0" applyFill="1"/>
    <xf numFmtId="4" fontId="2" fillId="10" borderId="0" xfId="0" applyNumberFormat="1" applyFont="1" applyFill="1"/>
    <xf numFmtId="4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0" fillId="0" borderId="0" xfId="0" applyNumberFormat="1" applyFont="1"/>
    <xf numFmtId="0" fontId="1" fillId="20" borderId="0" xfId="15"/>
    <xf numFmtId="0" fontId="9" fillId="21" borderId="0" xfId="16"/>
    <xf numFmtId="0" fontId="7" fillId="15" borderId="0" xfId="10"/>
    <xf numFmtId="0" fontId="6" fillId="14" borderId="0" xfId="9"/>
    <xf numFmtId="0" fontId="8" fillId="16" borderId="0" xfId="11"/>
    <xf numFmtId="0" fontId="9" fillId="22" borderId="0" xfId="17"/>
    <xf numFmtId="2" fontId="10" fillId="0" borderId="0" xfId="0" applyNumberFormat="1" applyFont="1"/>
    <xf numFmtId="0" fontId="1" fillId="17" borderId="0" xfId="12"/>
    <xf numFmtId="0" fontId="1" fillId="18" borderId="0" xfId="13"/>
    <xf numFmtId="0" fontId="1" fillId="19" borderId="0" xfId="14"/>
    <xf numFmtId="0" fontId="12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4" fontId="3" fillId="0" borderId="0" xfId="0" applyNumberFormat="1" applyFont="1"/>
    <xf numFmtId="0" fontId="3" fillId="0" borderId="0" xfId="0" applyFont="1"/>
    <xf numFmtId="0" fontId="3" fillId="23" borderId="0" xfId="0" applyFont="1" applyFill="1"/>
    <xf numFmtId="2" fontId="3" fillId="23" borderId="0" xfId="0" applyNumberFormat="1" applyFont="1" applyFill="1"/>
    <xf numFmtId="2" fontId="0" fillId="23" borderId="0" xfId="0" applyNumberFormat="1" applyFill="1"/>
    <xf numFmtId="4" fontId="3" fillId="23" borderId="0" xfId="0" applyNumberFormat="1" applyFont="1" applyFill="1"/>
  </cellXfs>
  <cellStyles count="18">
    <cellStyle name="20% — акцент1" xfId="2" builtinId="30"/>
    <cellStyle name="20% — акцент2" xfId="13" builtinId="34"/>
    <cellStyle name="20% — акцент3" xfId="4" builtinId="38"/>
    <cellStyle name="20% — акцент4" xfId="6" builtinId="42"/>
    <cellStyle name="20% — акцент5" xfId="7" builtinId="46"/>
    <cellStyle name="20% — акцент6" xfId="8" builtinId="50"/>
    <cellStyle name="40% — акцент1" xfId="3" builtinId="31"/>
    <cellStyle name="40% — акцент2" xfId="14" builtinId="35"/>
    <cellStyle name="40% — акцент3" xfId="5" builtinId="39"/>
    <cellStyle name="60% — акцент1" xfId="12" builtinId="32"/>
    <cellStyle name="60% — акцент2" xfId="15" builtinId="36"/>
    <cellStyle name="Акцент3" xfId="16" builtinId="37"/>
    <cellStyle name="Акцент4" xfId="17" builtinId="41"/>
    <cellStyle name="Денежный" xfId="1" builtinId="4"/>
    <cellStyle name="Нейтральный" xfId="11" builtinId="28"/>
    <cellStyle name="Обычный" xfId="0" builtinId="0"/>
    <cellStyle name="Плохой" xfId="10" builtinId="27"/>
    <cellStyle name="Хороший" xfId="9" builtinId="26"/>
  </cellStyles>
  <dxfs count="0"/>
  <tableStyles count="0" defaultTableStyle="TableStyleMedium2" defaultPivotStyle="PivotStyleLight16"/>
  <colors>
    <mruColors>
      <color rgb="FF68C1ED"/>
      <color rgb="FFB84F71"/>
      <color rgb="FFF65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30877819796344E-2"/>
          <c:y val="0.11588772888411877"/>
          <c:w val="0.90420140575558516"/>
          <c:h val="0.83402326514239866"/>
        </c:manualLayout>
      </c:layout>
      <c:scatterChart>
        <c:scatterStyle val="lineMarker"/>
        <c:varyColors val="0"/>
        <c:ser>
          <c:idx val="0"/>
          <c:order val="0"/>
          <c:spPr>
            <a:ln w="88900" cap="rnd" cmpd="tri">
              <a:gradFill>
                <a:gsLst>
                  <a:gs pos="0">
                    <a:srgbClr val="FF0000">
                      <a:lumMod val="78000"/>
                      <a:lumOff val="22000"/>
                    </a:srgb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68C1ED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Лист1!$B$152:$AJ$152</c:f>
              <c:numCache>
                <c:formatCode>General</c:formatCode>
                <c:ptCount val="35"/>
                <c:pt idx="0">
                  <c:v>9449.6</c:v>
                </c:pt>
                <c:pt idx="1">
                  <c:v>9449.6</c:v>
                </c:pt>
                <c:pt idx="2">
                  <c:v>17224.099999999999</c:v>
                </c:pt>
                <c:pt idx="3">
                  <c:v>17224.099999999999</c:v>
                </c:pt>
                <c:pt idx="4">
                  <c:v>17224.099999999999</c:v>
                </c:pt>
                <c:pt idx="5">
                  <c:v>24998.6</c:v>
                </c:pt>
                <c:pt idx="6">
                  <c:v>24998.6</c:v>
                </c:pt>
                <c:pt idx="7" formatCode="#,##0.00">
                  <c:v>24998.6</c:v>
                </c:pt>
                <c:pt idx="8">
                  <c:v>32773.1</c:v>
                </c:pt>
                <c:pt idx="9">
                  <c:v>32773.1</c:v>
                </c:pt>
                <c:pt idx="10">
                  <c:v>32773.1</c:v>
                </c:pt>
                <c:pt idx="11">
                  <c:v>40547.599999999999</c:v>
                </c:pt>
                <c:pt idx="12">
                  <c:v>40547.599999999999</c:v>
                </c:pt>
                <c:pt idx="13">
                  <c:v>40547.599999999999</c:v>
                </c:pt>
                <c:pt idx="14">
                  <c:v>48322.1</c:v>
                </c:pt>
                <c:pt idx="15">
                  <c:v>48322.1</c:v>
                </c:pt>
                <c:pt idx="16">
                  <c:v>48322.1</c:v>
                </c:pt>
                <c:pt idx="17">
                  <c:v>56096.6</c:v>
                </c:pt>
                <c:pt idx="18">
                  <c:v>56096.6</c:v>
                </c:pt>
                <c:pt idx="19">
                  <c:v>56096.6</c:v>
                </c:pt>
                <c:pt idx="20">
                  <c:v>63871.1</c:v>
                </c:pt>
                <c:pt idx="21">
                  <c:v>63871.1</c:v>
                </c:pt>
                <c:pt idx="22">
                  <c:v>63871.1</c:v>
                </c:pt>
                <c:pt idx="23">
                  <c:v>71645.600000000006</c:v>
                </c:pt>
                <c:pt idx="24">
                  <c:v>71645.600000000006</c:v>
                </c:pt>
                <c:pt idx="28">
                  <c:v>2</c:v>
                </c:pt>
                <c:pt idx="29" formatCode="0.00">
                  <c:v>0.42</c:v>
                </c:pt>
                <c:pt idx="30" formatCode="0.00">
                  <c:v>0.44999999999999996</c:v>
                </c:pt>
                <c:pt idx="31">
                  <c:v>0.23530000000000001</c:v>
                </c:pt>
                <c:pt idx="32">
                  <c:v>0.34210000000000002</c:v>
                </c:pt>
                <c:pt idx="33" formatCode="0.00">
                  <c:v>0.10789999999999994</c:v>
                </c:pt>
              </c:numCache>
            </c:numRef>
          </c:xVal>
          <c:yVal>
            <c:numRef>
              <c:f>Лист1!$B$153:$AJ$153</c:f>
              <c:numCache>
                <c:formatCode>0.00</c:formatCode>
                <c:ptCount val="35"/>
                <c:pt idx="0" formatCode="General">
                  <c:v>0</c:v>
                </c:pt>
                <c:pt idx="1">
                  <c:v>3.4883720930232558E-2</c:v>
                </c:pt>
                <c:pt idx="2">
                  <c:v>3.4883720930232558E-2</c:v>
                </c:pt>
                <c:pt idx="3" formatCode="General">
                  <c:v>0</c:v>
                </c:pt>
                <c:pt idx="4">
                  <c:v>0.41860465116279072</c:v>
                </c:pt>
                <c:pt idx="5">
                  <c:v>0.41860465116279072</c:v>
                </c:pt>
                <c:pt idx="6" formatCode="General">
                  <c:v>0</c:v>
                </c:pt>
                <c:pt idx="7" formatCode="#,##0.00">
                  <c:v>0.34883720930232559</c:v>
                </c:pt>
                <c:pt idx="8" formatCode="#,##0.00">
                  <c:v>0.34883720930232559</c:v>
                </c:pt>
                <c:pt idx="9" formatCode="General">
                  <c:v>0</c:v>
                </c:pt>
                <c:pt idx="10">
                  <c:v>0.10465116279069768</c:v>
                </c:pt>
                <c:pt idx="11">
                  <c:v>0.10465116279069768</c:v>
                </c:pt>
                <c:pt idx="12" formatCode="General">
                  <c:v>0</c:v>
                </c:pt>
                <c:pt idx="13">
                  <c:v>2.3255813953488372E-2</c:v>
                </c:pt>
                <c:pt idx="14">
                  <c:v>2.3255813953488372E-2</c:v>
                </c:pt>
                <c:pt idx="15" formatCode="General">
                  <c:v>0</c:v>
                </c:pt>
                <c:pt idx="16">
                  <c:v>2.3255813953488372E-2</c:v>
                </c:pt>
                <c:pt idx="17">
                  <c:v>2.3255813953488372E-2</c:v>
                </c:pt>
                <c:pt idx="18" formatCode="General">
                  <c:v>0</c:v>
                </c:pt>
                <c:pt idx="19">
                  <c:v>3.4883720930232558E-2</c:v>
                </c:pt>
                <c:pt idx="20">
                  <c:v>3.4883720930232558E-2</c:v>
                </c:pt>
                <c:pt idx="21" formatCode="General">
                  <c:v>0</c:v>
                </c:pt>
                <c:pt idx="22">
                  <c:v>1.1627906976744186E-2</c:v>
                </c:pt>
                <c:pt idx="23">
                  <c:v>1.1627906976744186E-2</c:v>
                </c:pt>
                <c:pt idx="24" formatCode="General">
                  <c:v>0</c:v>
                </c:pt>
                <c:pt idx="28" formatCode="General">
                  <c:v>3</c:v>
                </c:pt>
                <c:pt idx="29">
                  <c:v>0.35</c:v>
                </c:pt>
                <c:pt idx="30">
                  <c:v>0.79999999999999993</c:v>
                </c:pt>
                <c:pt idx="31" formatCode="General">
                  <c:v>0.2969</c:v>
                </c:pt>
                <c:pt idx="32" formatCode="General">
                  <c:v>0.63900000000000001</c:v>
                </c:pt>
                <c:pt idx="33">
                  <c:v>0.16099999999999992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914A-AECD-8FE486E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53016"/>
        <c:axId val="317453408"/>
      </c:scatterChart>
      <c:valAx>
        <c:axId val="317453016"/>
        <c:scaling>
          <c:orientation val="minMax"/>
          <c:max val="72000"/>
          <c:min val="9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453408"/>
        <c:crosses val="autoZero"/>
        <c:crossBetween val="midCat"/>
        <c:majorUnit val="7774.5"/>
      </c:valAx>
      <c:valAx>
        <c:axId val="3174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4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распределения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30877819796344E-2"/>
          <c:y val="0.11588772888411877"/>
          <c:w val="0.90420140575558516"/>
          <c:h val="0.83402326514239866"/>
        </c:manualLayout>
      </c:layout>
      <c:scatterChart>
        <c:scatterStyle val="lineMarker"/>
        <c:varyColors val="0"/>
        <c:ser>
          <c:idx val="0"/>
          <c:order val="0"/>
          <c:spPr>
            <a:ln w="60325" cap="rnd">
              <a:gradFill flip="none" rotWithShape="1">
                <a:gsLst>
                  <a:gs pos="93000">
                    <a:srgbClr val="00B0F0"/>
                  </a:gs>
                  <a:gs pos="7000">
                    <a:srgbClr val="FF0000"/>
                  </a:gs>
                  <a:gs pos="80000">
                    <a:srgbClr val="00B0F0"/>
                  </a:gs>
                  <a:gs pos="18000">
                    <a:srgbClr val="FF000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 cap="rnd">
                <a:gradFill flip="none" rotWithShape="1">
                  <a:gsLst>
                    <a:gs pos="93000">
                      <a:srgbClr val="00B0F0"/>
                    </a:gs>
                    <a:gs pos="7000">
                      <a:srgbClr val="FF0000"/>
                    </a:gs>
                    <a:gs pos="80000">
                      <a:srgbClr val="00B0F0"/>
                    </a:gs>
                    <a:gs pos="18000">
                      <a:srgbClr val="FF0000"/>
                    </a:gs>
                  </a:gsLst>
                  <a:lin ang="5400000" scaled="0"/>
                  <a:tileRect/>
                </a:gra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C83-6F49-A221-D1F86A8B2C27}"/>
              </c:ext>
            </c:extLst>
          </c:dPt>
          <c:xVal>
            <c:numRef>
              <c:f>Лист1!$D$142:$D$149</c:f>
              <c:numCache>
                <c:formatCode>General</c:formatCode>
                <c:ptCount val="8"/>
                <c:pt idx="0">
                  <c:v>13336.849999999999</c:v>
                </c:pt>
                <c:pt idx="1">
                  <c:v>21111.35</c:v>
                </c:pt>
                <c:pt idx="2">
                  <c:v>28885.85</c:v>
                </c:pt>
                <c:pt idx="3">
                  <c:v>36660.35</c:v>
                </c:pt>
                <c:pt idx="4">
                  <c:v>44434.85</c:v>
                </c:pt>
                <c:pt idx="5">
                  <c:v>52209.35</c:v>
                </c:pt>
                <c:pt idx="6">
                  <c:v>59983.85</c:v>
                </c:pt>
                <c:pt idx="7">
                  <c:v>67758.350000000006</c:v>
                </c:pt>
              </c:numCache>
            </c:numRef>
          </c:xVal>
          <c:yVal>
            <c:numRef>
              <c:f>Лист1!$F$142:$F$149</c:f>
              <c:numCache>
                <c:formatCode>0.000</c:formatCode>
                <c:ptCount val="8"/>
                <c:pt idx="0">
                  <c:v>3.4883720930232558E-2</c:v>
                </c:pt>
                <c:pt idx="1">
                  <c:v>0.41860465116279072</c:v>
                </c:pt>
                <c:pt idx="2">
                  <c:v>0.34883720930232559</c:v>
                </c:pt>
                <c:pt idx="3">
                  <c:v>0.10465116279069768</c:v>
                </c:pt>
                <c:pt idx="4">
                  <c:v>2.3255813953488372E-2</c:v>
                </c:pt>
                <c:pt idx="5">
                  <c:v>2.3255813953488372E-2</c:v>
                </c:pt>
                <c:pt idx="6">
                  <c:v>3.4883720930232558E-2</c:v>
                </c:pt>
                <c:pt idx="7">
                  <c:v>1.1627906976744186E-2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914A-AECD-8FE486E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54192"/>
        <c:axId val="314302480"/>
      </c:scatterChart>
      <c:valAx>
        <c:axId val="317454192"/>
        <c:scaling>
          <c:orientation val="minMax"/>
          <c:max val="72000"/>
          <c:min val="9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02480"/>
        <c:crosses val="autoZero"/>
        <c:crossBetween val="midCat"/>
        <c:majorUnit val="7774.5"/>
      </c:valAx>
      <c:valAx>
        <c:axId val="314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454192"/>
        <c:crosses val="autoZero"/>
        <c:crossBetween val="midCat"/>
      </c:valAx>
      <c:spPr>
        <a:noFill/>
        <a:ln w="0">
          <a:solidFill>
            <a:srgbClr val="68C1ED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514328</xdr:colOff>
      <xdr:row>163</xdr:row>
      <xdr:rowOff>151685</xdr:rowOff>
    </xdr:from>
    <xdr:to>
      <xdr:col>5</xdr:col>
      <xdr:colOff>729844</xdr:colOff>
      <xdr:row>182</xdr:row>
      <xdr:rowOff>154866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2A1AE541-2394-7148-AAB4-447B6398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487753</xdr:colOff>
      <xdr:row>185</xdr:row>
      <xdr:rowOff>118338</xdr:rowOff>
    </xdr:from>
    <xdr:to>
      <xdr:col>5</xdr:col>
      <xdr:colOff>711437</xdr:colOff>
      <xdr:row>203</xdr:row>
      <xdr:rowOff>164352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7958A7B0-D7D0-6A4C-87A6-4F26CD91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137</xdr:row>
      <xdr:rowOff>0</xdr:rowOff>
    </xdr:from>
    <xdr:to>
      <xdr:col>19</xdr:col>
      <xdr:colOff>736600</xdr:colOff>
      <xdr:row>138</xdr:row>
      <xdr:rowOff>0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3FAAA4EF-561F-3A4E-B344-3AA00A0C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29527500"/>
          <a:ext cx="736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138</xdr:row>
      <xdr:rowOff>0</xdr:rowOff>
    </xdr:from>
    <xdr:to>
      <xdr:col>19</xdr:col>
      <xdr:colOff>685800</xdr:colOff>
      <xdr:row>139</xdr:row>
      <xdr:rowOff>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C5E1E137-C1B1-7149-BD38-299714660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29730700"/>
          <a:ext cx="685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139</xdr:row>
      <xdr:rowOff>0</xdr:rowOff>
    </xdr:from>
    <xdr:to>
      <xdr:col>19</xdr:col>
      <xdr:colOff>685800</xdr:colOff>
      <xdr:row>140</xdr:row>
      <xdr:rowOff>0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B75E4683-C7A1-5D46-BD64-2A3A4B279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29933900"/>
          <a:ext cx="685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140</xdr:row>
      <xdr:rowOff>0</xdr:rowOff>
    </xdr:from>
    <xdr:to>
      <xdr:col>19</xdr:col>
      <xdr:colOff>685800</xdr:colOff>
      <xdr:row>141</xdr:row>
      <xdr:rowOff>0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C18E2164-9453-FD4D-B9CB-2C033095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30137100"/>
          <a:ext cx="685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142</xdr:row>
      <xdr:rowOff>0</xdr:rowOff>
    </xdr:from>
    <xdr:to>
      <xdr:col>19</xdr:col>
      <xdr:colOff>685800</xdr:colOff>
      <xdr:row>142</xdr:row>
      <xdr:rowOff>203200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C5652967-B768-5A43-85F3-88A18DB52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30543500"/>
          <a:ext cx="685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143</xdr:row>
      <xdr:rowOff>0</xdr:rowOff>
    </xdr:from>
    <xdr:to>
      <xdr:col>19</xdr:col>
      <xdr:colOff>685800</xdr:colOff>
      <xdr:row>143</xdr:row>
      <xdr:rowOff>203200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021E633B-88FA-A445-89B1-9DF1DAB5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30772100"/>
          <a:ext cx="685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иний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abSelected="1" topLeftCell="B1" zoomScale="86" zoomScaleNormal="75" workbookViewId="0">
      <selection activeCell="H15" sqref="H15"/>
    </sheetView>
  </sheetViews>
  <sheetFormatPr defaultColWidth="11" defaultRowHeight="15.75" x14ac:dyDescent="0.25"/>
  <cols>
    <col min="1" max="1" width="9.125" customWidth="1"/>
    <col min="2" max="2" width="15.375" customWidth="1"/>
    <col min="3" max="3" width="15.875" customWidth="1"/>
    <col min="4" max="4" width="11.5" customWidth="1"/>
    <col min="5" max="5" width="29.625" customWidth="1"/>
    <col min="6" max="6" width="26.625" customWidth="1"/>
    <col min="7" max="7" width="12.125" bestFit="1" customWidth="1"/>
    <col min="12" max="12" width="14" bestFit="1" customWidth="1"/>
    <col min="13" max="16" width="11" bestFit="1" customWidth="1"/>
    <col min="17" max="17" width="13" bestFit="1" customWidth="1"/>
    <col min="18" max="18" width="11" bestFit="1" customWidth="1"/>
    <col min="19" max="19" width="18.125" customWidth="1"/>
    <col min="20" max="20" width="11" bestFit="1" customWidth="1"/>
    <col min="21" max="21" width="12.375" bestFit="1" customWidth="1"/>
    <col min="22" max="23" width="11" bestFit="1" customWidth="1"/>
    <col min="24" max="24" width="14" customWidth="1"/>
  </cols>
  <sheetData>
    <row r="1" spans="1:12" ht="49.5" x14ac:dyDescent="0.25">
      <c r="A1" s="47" t="s">
        <v>143</v>
      </c>
      <c r="B1" s="47" t="s">
        <v>0</v>
      </c>
      <c r="C1" s="5" t="s">
        <v>89</v>
      </c>
      <c r="D1" s="1"/>
      <c r="E1" s="1"/>
      <c r="F1" s="1"/>
      <c r="G1" s="1"/>
      <c r="L1" t="s">
        <v>185</v>
      </c>
    </row>
    <row r="2" spans="1:12" ht="16.5" x14ac:dyDescent="0.25">
      <c r="A2" s="47"/>
      <c r="B2" s="47"/>
      <c r="C2" s="4"/>
      <c r="D2" s="1"/>
      <c r="E2" s="48" t="s">
        <v>184</v>
      </c>
      <c r="F2" s="48"/>
      <c r="G2" s="1"/>
      <c r="L2" s="11">
        <f>(C6-C$99)^2/85</f>
        <v>21566104.096900012</v>
      </c>
    </row>
    <row r="3" spans="1:12" ht="16.5" x14ac:dyDescent="0.25">
      <c r="A3" s="47"/>
      <c r="B3" s="47"/>
      <c r="C3" s="4"/>
      <c r="D3" s="1"/>
      <c r="E3" s="49">
        <f>SUM(L2:L71)</f>
        <v>89811239.436023906</v>
      </c>
      <c r="F3" s="48"/>
      <c r="G3" s="1"/>
      <c r="L3" s="11">
        <f t="shared" ref="L3:L66" si="0">(C7-C$99)^2/85</f>
        <v>14230206.089778256</v>
      </c>
    </row>
    <row r="4" spans="1:12" ht="16.5" x14ac:dyDescent="0.25">
      <c r="A4" s="47"/>
      <c r="B4" s="47"/>
      <c r="C4" s="4"/>
      <c r="D4" s="1"/>
      <c r="E4" s="48" t="s">
        <v>186</v>
      </c>
      <c r="F4" s="48"/>
      <c r="G4" s="1"/>
      <c r="L4" s="11">
        <f t="shared" si="0"/>
        <v>11533084.330005342</v>
      </c>
    </row>
    <row r="5" spans="1:12" ht="16.5" x14ac:dyDescent="0.25">
      <c r="A5" s="47"/>
      <c r="B5" s="47"/>
      <c r="C5" s="4"/>
      <c r="E5" s="50">
        <f>SQRT(E3)</f>
        <v>9476.8792034099442</v>
      </c>
      <c r="F5" s="48"/>
      <c r="G5" s="1"/>
      <c r="L5" s="11">
        <f t="shared" si="0"/>
        <v>9946275.1236359868</v>
      </c>
    </row>
    <row r="6" spans="1:12" ht="16.5" x14ac:dyDescent="0.25">
      <c r="A6" s="1">
        <v>1</v>
      </c>
      <c r="B6" s="1" t="s">
        <v>3</v>
      </c>
      <c r="C6" s="3">
        <v>71072</v>
      </c>
      <c r="D6" s="3"/>
      <c r="E6" s="51" t="s">
        <v>187</v>
      </c>
      <c r="F6" s="51"/>
      <c r="G6" s="1"/>
      <c r="L6" s="11">
        <f t="shared" si="0"/>
        <v>4990259.2216742905</v>
      </c>
    </row>
    <row r="7" spans="1:12" ht="16.5" x14ac:dyDescent="0.25">
      <c r="A7" s="1">
        <v>2</v>
      </c>
      <c r="B7" s="1" t="s">
        <v>4</v>
      </c>
      <c r="C7" s="3">
        <v>63035.9</v>
      </c>
      <c r="D7" s="3"/>
      <c r="E7" s="51">
        <f>C99-(1.96*E5/SQRT(86))</f>
        <v>26254.10318569501</v>
      </c>
      <c r="F7" s="51">
        <f>C99+(1.96*E5/SQRT(86))</f>
        <v>30260.022395700344</v>
      </c>
      <c r="G7" s="1"/>
      <c r="L7" s="11">
        <f t="shared" si="0"/>
        <v>4933095.8622187478</v>
      </c>
    </row>
    <row r="8" spans="1:12" ht="16.5" x14ac:dyDescent="0.25">
      <c r="A8" s="14">
        <v>3</v>
      </c>
      <c r="B8" s="1" t="s">
        <v>5</v>
      </c>
      <c r="C8" s="3">
        <v>59567</v>
      </c>
      <c r="D8" s="3"/>
      <c r="E8" s="51" t="s">
        <v>188</v>
      </c>
      <c r="F8" s="51"/>
      <c r="G8" s="1"/>
      <c r="L8" s="11">
        <f t="shared" si="0"/>
        <v>3111451.4000162864</v>
      </c>
    </row>
    <row r="9" spans="1:12" ht="16.5" x14ac:dyDescent="0.25">
      <c r="A9" s="14">
        <v>4</v>
      </c>
      <c r="B9" s="1" t="s">
        <v>6</v>
      </c>
      <c r="C9" s="3">
        <v>57333.4</v>
      </c>
      <c r="D9" s="3"/>
      <c r="E9" s="51">
        <f>C99-(2.58*E5/SQRT(86))</f>
        <v>25620.513922888043</v>
      </c>
      <c r="F9" s="51">
        <f>C99+(2.58*E5/SQRT(86))</f>
        <v>30893.61165850731</v>
      </c>
      <c r="G9" s="1"/>
      <c r="L9" s="11">
        <f t="shared" si="0"/>
        <v>1945472.0628234015</v>
      </c>
    </row>
    <row r="10" spans="1:12" ht="16.5" x14ac:dyDescent="0.25">
      <c r="A10" s="14">
        <v>5</v>
      </c>
      <c r="B10" s="1" t="s">
        <v>7</v>
      </c>
      <c r="C10" s="3">
        <v>48852.5</v>
      </c>
      <c r="D10" s="3"/>
      <c r="E10" s="51" t="s">
        <v>189</v>
      </c>
      <c r="F10" s="51"/>
      <c r="G10" s="1"/>
      <c r="L10" s="11">
        <f t="shared" si="0"/>
        <v>1579686.3069930312</v>
      </c>
    </row>
    <row r="11" spans="1:12" ht="16.5" x14ac:dyDescent="0.25">
      <c r="A11" s="14">
        <v>6</v>
      </c>
      <c r="B11" s="1" t="s">
        <v>8</v>
      </c>
      <c r="C11" s="3">
        <v>48734.2</v>
      </c>
      <c r="D11" s="3"/>
      <c r="E11" s="51">
        <f>C99-(1.96*C103/SQRT(86))</f>
        <v>26053.812548733498</v>
      </c>
      <c r="F11" s="51">
        <f>C99+(1.96*C103/SQRT(86))</f>
        <v>30460.313032661856</v>
      </c>
      <c r="G11" s="1"/>
      <c r="L11" s="11">
        <f t="shared" si="0"/>
        <v>1485541.2381558223</v>
      </c>
    </row>
    <row r="12" spans="1:12" ht="16.5" x14ac:dyDescent="0.25">
      <c r="A12" s="14">
        <v>7</v>
      </c>
      <c r="B12" s="1" t="s">
        <v>9</v>
      </c>
      <c r="C12" s="3">
        <v>44519.7</v>
      </c>
      <c r="D12" s="3"/>
      <c r="E12" s="51" t="s">
        <v>190</v>
      </c>
      <c r="F12" s="51"/>
      <c r="G12" s="1"/>
      <c r="L12" s="11">
        <f t="shared" si="0"/>
        <v>1209364.9406674511</v>
      </c>
    </row>
    <row r="13" spans="1:12" ht="16.5" x14ac:dyDescent="0.25">
      <c r="A13" s="14">
        <v>8</v>
      </c>
      <c r="B13" s="1" t="s">
        <v>10</v>
      </c>
      <c r="C13" s="3">
        <v>41116.5</v>
      </c>
      <c r="D13" s="3"/>
      <c r="E13" s="51">
        <f>C99-(2.58*C103/SQRT(86))</f>
        <v>25356.866043622376</v>
      </c>
      <c r="F13" s="51">
        <f>C99+(2.58*C103/SQRT(86))</f>
        <v>31157.259537772978</v>
      </c>
      <c r="G13" s="1"/>
      <c r="L13" s="11">
        <f t="shared" si="0"/>
        <v>1084288.8761749754</v>
      </c>
    </row>
    <row r="14" spans="1:12" ht="16.5" x14ac:dyDescent="0.25">
      <c r="A14" s="14">
        <v>9</v>
      </c>
      <c r="B14" s="1" t="s">
        <v>11</v>
      </c>
      <c r="C14" s="3">
        <v>39844.699999999997</v>
      </c>
      <c r="D14" s="3"/>
      <c r="E14" s="51"/>
      <c r="F14" s="51"/>
      <c r="G14" s="1"/>
      <c r="L14" s="11">
        <f t="shared" si="0"/>
        <v>1044010.224464989</v>
      </c>
    </row>
    <row r="15" spans="1:12" ht="16.5" x14ac:dyDescent="0.25">
      <c r="A15" s="14">
        <v>10</v>
      </c>
      <c r="B15" s="1" t="s">
        <v>12</v>
      </c>
      <c r="C15" s="3">
        <v>39494.1</v>
      </c>
      <c r="D15" s="3"/>
      <c r="E15" s="51" t="s">
        <v>191</v>
      </c>
      <c r="F15" s="51"/>
      <c r="G15" s="1"/>
      <c r="L15" s="11">
        <f t="shared" si="0"/>
        <v>696666.77302860061</v>
      </c>
    </row>
    <row r="16" spans="1:12" ht="16.5" x14ac:dyDescent="0.25">
      <c r="A16" s="14">
        <v>11</v>
      </c>
      <c r="B16" s="1" t="s">
        <v>13</v>
      </c>
      <c r="C16" s="3">
        <v>38395.9</v>
      </c>
      <c r="D16" s="3"/>
      <c r="E16" s="51"/>
      <c r="F16" s="51"/>
      <c r="G16" s="1"/>
      <c r="L16" s="11">
        <f t="shared" si="0"/>
        <v>487824.27876594645</v>
      </c>
    </row>
    <row r="17" spans="1:12" ht="16.5" x14ac:dyDescent="0.25">
      <c r="A17" s="14">
        <v>12</v>
      </c>
      <c r="B17" s="1" t="s">
        <v>14</v>
      </c>
      <c r="C17" s="3">
        <v>37857.300000000003</v>
      </c>
      <c r="D17" s="3"/>
      <c r="E17" s="51" t="s">
        <v>192</v>
      </c>
      <c r="F17" s="51"/>
      <c r="G17" s="1"/>
      <c r="L17" s="11">
        <f t="shared" si="0"/>
        <v>398997.06288906484</v>
      </c>
    </row>
    <row r="18" spans="1:12" ht="16.5" x14ac:dyDescent="0.25">
      <c r="A18" s="14">
        <v>13</v>
      </c>
      <c r="B18" s="1" t="s">
        <v>15</v>
      </c>
      <c r="C18" s="3">
        <v>37677.300000000003</v>
      </c>
      <c r="D18" s="3"/>
      <c r="E18" s="51"/>
      <c r="F18" s="51"/>
      <c r="G18" s="1"/>
      <c r="L18" s="11">
        <f t="shared" si="0"/>
        <v>300687.72323106241</v>
      </c>
    </row>
    <row r="19" spans="1:12" ht="16.5" x14ac:dyDescent="0.25">
      <c r="A19" s="14">
        <v>14</v>
      </c>
      <c r="B19" s="1" t="s">
        <v>16</v>
      </c>
      <c r="C19" s="3">
        <v>35952.300000000003</v>
      </c>
      <c r="D19" s="3"/>
      <c r="E19" s="51">
        <f>_xlfn.CHISQ.INV.RT(0.025,86)</f>
        <v>113.54359755698131</v>
      </c>
      <c r="F19" s="51"/>
      <c r="G19" s="1"/>
      <c r="L19" s="11">
        <f t="shared" si="0"/>
        <v>231416.96547456476</v>
      </c>
    </row>
    <row r="20" spans="1:12" ht="16.5" x14ac:dyDescent="0.25">
      <c r="A20" s="14">
        <v>15</v>
      </c>
      <c r="B20" s="1" t="s">
        <v>17</v>
      </c>
      <c r="C20" s="3">
        <v>34696.400000000001</v>
      </c>
      <c r="D20" s="3"/>
      <c r="E20" s="51">
        <f>_xlfn.CHISQ.INV.RT(0.975,86)</f>
        <v>62.23862642393437</v>
      </c>
      <c r="F20" s="51"/>
      <c r="G20" s="1"/>
      <c r="L20" s="11">
        <f t="shared" si="0"/>
        <v>202679.87344994099</v>
      </c>
    </row>
    <row r="21" spans="1:12" ht="16.5" x14ac:dyDescent="0.25">
      <c r="A21" s="14">
        <v>16</v>
      </c>
      <c r="B21" s="1" t="s">
        <v>18</v>
      </c>
      <c r="C21" s="3">
        <v>34080.699999999997</v>
      </c>
      <c r="D21" s="3"/>
      <c r="E21" s="51">
        <f>_xlfn.CHISQ.INV.RT(0.005,86)</f>
        <v>123.52170422177655</v>
      </c>
      <c r="F21" s="51"/>
      <c r="G21" s="1"/>
      <c r="L21" s="11">
        <f t="shared" si="0"/>
        <v>115569.91628441423</v>
      </c>
    </row>
    <row r="22" spans="1:12" ht="16.5" x14ac:dyDescent="0.25">
      <c r="A22" s="14">
        <v>17</v>
      </c>
      <c r="B22" s="1" t="s">
        <v>19</v>
      </c>
      <c r="C22" s="3">
        <v>33312.6</v>
      </c>
      <c r="D22" s="3"/>
      <c r="E22" s="51">
        <f>_xlfn.CHISQ.INV.RT(0.995,86)</f>
        <v>55.972703266248892</v>
      </c>
      <c r="F22" s="51"/>
      <c r="G22" s="1"/>
      <c r="L22" s="11">
        <f t="shared" si="0"/>
        <v>114437.00633092601</v>
      </c>
    </row>
    <row r="23" spans="1:12" ht="16.5" x14ac:dyDescent="0.25">
      <c r="A23" s="14">
        <v>18</v>
      </c>
      <c r="B23" s="1" t="s">
        <v>20</v>
      </c>
      <c r="C23" s="3">
        <v>32692.2</v>
      </c>
      <c r="D23" s="3"/>
      <c r="E23" s="51" t="s">
        <v>193</v>
      </c>
      <c r="F23" s="51"/>
      <c r="G23" s="1"/>
      <c r="L23" s="11">
        <f t="shared" si="0"/>
        <v>83576.734579900032</v>
      </c>
    </row>
    <row r="24" spans="1:12" ht="16.5" x14ac:dyDescent="0.25">
      <c r="A24" s="14">
        <v>19</v>
      </c>
      <c r="B24" s="1" t="s">
        <v>21</v>
      </c>
      <c r="C24" s="3">
        <v>32407.7</v>
      </c>
      <c r="D24" s="3"/>
      <c r="E24" s="51">
        <f>SQRT(85)*C103/SQRT(E19)</f>
        <v>9019.5551496973294</v>
      </c>
      <c r="F24" s="51">
        <f>SQRT(85)*C103/SQRT(E20)</f>
        <v>12182.500668963759</v>
      </c>
      <c r="G24" s="1"/>
      <c r="L24" s="11">
        <f t="shared" si="0"/>
        <v>79073.51978373024</v>
      </c>
    </row>
    <row r="25" spans="1:12" ht="16.5" x14ac:dyDescent="0.25">
      <c r="A25" s="14">
        <v>20</v>
      </c>
      <c r="B25" s="1" t="s">
        <v>22</v>
      </c>
      <c r="C25" s="3">
        <v>31391.3</v>
      </c>
      <c r="D25" s="3"/>
      <c r="E25" s="51" t="s">
        <v>194</v>
      </c>
      <c r="F25" s="51"/>
      <c r="G25" s="1"/>
      <c r="L25" s="11">
        <f t="shared" si="0"/>
        <v>56478.165324085938</v>
      </c>
    </row>
    <row r="26" spans="1:12" ht="16.5" x14ac:dyDescent="0.25">
      <c r="A26" s="14">
        <v>21</v>
      </c>
      <c r="B26" s="1" t="s">
        <v>23</v>
      </c>
      <c r="C26" s="3">
        <v>31375.9</v>
      </c>
      <c r="D26" s="3"/>
      <c r="E26" s="51">
        <f>SQRT(85)*C103/SQRT(E21)</f>
        <v>8647.5843348318813</v>
      </c>
      <c r="F26" s="51">
        <f>SQRT(85)*C103/SQRT(E22)</f>
        <v>12846.307177245655</v>
      </c>
      <c r="G26" s="1"/>
      <c r="L26" s="11">
        <f t="shared" si="0"/>
        <v>41759.955365125643</v>
      </c>
    </row>
    <row r="27" spans="1:12" ht="16.5" x14ac:dyDescent="0.25">
      <c r="A27" s="14">
        <v>22</v>
      </c>
      <c r="B27" s="1" t="s">
        <v>24</v>
      </c>
      <c r="C27" s="3">
        <v>30922.400000000001</v>
      </c>
      <c r="D27" s="3"/>
      <c r="E27" s="3"/>
      <c r="F27" s="3"/>
      <c r="G27" s="1"/>
      <c r="L27" s="11">
        <f t="shared" si="0"/>
        <v>24627.504826138098</v>
      </c>
    </row>
    <row r="28" spans="1:12" ht="16.5" x14ac:dyDescent="0.25">
      <c r="A28" s="14">
        <v>23</v>
      </c>
      <c r="B28" s="1" t="s">
        <v>25</v>
      </c>
      <c r="C28" s="3">
        <v>30849.599999999999</v>
      </c>
      <c r="D28" s="3"/>
      <c r="E28" s="3"/>
      <c r="F28" s="3"/>
      <c r="G28" s="1"/>
      <c r="L28" s="11">
        <f t="shared" si="0"/>
        <v>8975.2065716921188</v>
      </c>
    </row>
    <row r="29" spans="1:12" ht="16.5" x14ac:dyDescent="0.25">
      <c r="A29" s="14">
        <v>24</v>
      </c>
      <c r="B29" s="1" t="s">
        <v>26</v>
      </c>
      <c r="C29" s="3">
        <v>30448.1</v>
      </c>
      <c r="D29" s="3"/>
      <c r="E29" s="3"/>
      <c r="F29" s="3"/>
      <c r="G29" s="1"/>
      <c r="L29" s="11">
        <f t="shared" si="0"/>
        <v>1440.8700573283186</v>
      </c>
    </row>
    <row r="30" spans="1:12" ht="16.5" x14ac:dyDescent="0.25">
      <c r="A30" s="14">
        <v>25</v>
      </c>
      <c r="B30" s="1" t="s">
        <v>27</v>
      </c>
      <c r="C30" s="3">
        <v>30141.1</v>
      </c>
      <c r="D30" s="3"/>
      <c r="E30" s="3"/>
      <c r="F30" s="3"/>
      <c r="G30" s="1"/>
      <c r="L30" s="11">
        <f t="shared" si="0"/>
        <v>2304.2567495307744</v>
      </c>
    </row>
    <row r="31" spans="1:12" ht="16.5" x14ac:dyDescent="0.25">
      <c r="A31" s="14">
        <v>26</v>
      </c>
      <c r="B31" s="1" t="s">
        <v>28</v>
      </c>
      <c r="C31" s="3">
        <v>29703.9</v>
      </c>
      <c r="D31" s="3"/>
      <c r="E31" s="3"/>
      <c r="F31" s="3"/>
      <c r="G31" s="1"/>
      <c r="L31" s="11">
        <f t="shared" si="0"/>
        <v>4631.8771024719836</v>
      </c>
    </row>
    <row r="32" spans="1:12" ht="16.5" x14ac:dyDescent="0.25">
      <c r="A32" s="14">
        <v>27</v>
      </c>
      <c r="B32" s="1" t="s">
        <v>29</v>
      </c>
      <c r="C32" s="3">
        <v>29130.5</v>
      </c>
      <c r="D32" s="3"/>
      <c r="E32" s="3"/>
      <c r="F32" s="3"/>
      <c r="G32" s="1"/>
      <c r="L32" s="11">
        <f t="shared" si="0"/>
        <v>18401.851953361151</v>
      </c>
    </row>
    <row r="33" spans="1:12" ht="16.5" x14ac:dyDescent="0.25">
      <c r="A33" s="14">
        <v>28</v>
      </c>
      <c r="B33" s="1" t="s">
        <v>30</v>
      </c>
      <c r="C33" s="3">
        <v>27907.1</v>
      </c>
      <c r="D33" s="3"/>
      <c r="E33" s="3"/>
      <c r="F33" s="3"/>
      <c r="G33" s="1"/>
      <c r="L33" s="11">
        <f t="shared" si="0"/>
        <v>21132.992330926198</v>
      </c>
    </row>
    <row r="34" spans="1:12" ht="16.5" x14ac:dyDescent="0.25">
      <c r="A34" s="14">
        <v>29</v>
      </c>
      <c r="B34" s="1" t="s">
        <v>31</v>
      </c>
      <c r="C34" s="3">
        <v>27814.5</v>
      </c>
      <c r="D34" s="3"/>
      <c r="E34" s="3"/>
      <c r="F34" s="3"/>
      <c r="G34" s="1"/>
      <c r="L34" s="11">
        <f t="shared" si="0"/>
        <v>23169.730850761996</v>
      </c>
    </row>
    <row r="35" spans="1:12" ht="16.5" x14ac:dyDescent="0.25">
      <c r="A35" s="14">
        <v>30</v>
      </c>
      <c r="B35" s="1" t="s">
        <v>32</v>
      </c>
      <c r="C35" s="3">
        <v>27629.599999999999</v>
      </c>
      <c r="D35" s="3"/>
      <c r="E35" s="3"/>
      <c r="F35" s="3"/>
      <c r="G35" s="1"/>
      <c r="L35" s="11">
        <f t="shared" si="0"/>
        <v>24672.65256895623</v>
      </c>
    </row>
    <row r="36" spans="1:12" ht="16.5" x14ac:dyDescent="0.25">
      <c r="A36" s="14">
        <v>31</v>
      </c>
      <c r="B36" s="1" t="s">
        <v>33</v>
      </c>
      <c r="C36" s="3">
        <v>27006.400000000001</v>
      </c>
      <c r="D36" s="3"/>
      <c r="E36" s="3"/>
      <c r="F36" s="3"/>
      <c r="G36" s="1"/>
      <c r="L36" s="11">
        <f t="shared" si="0"/>
        <v>28702.679523812702</v>
      </c>
    </row>
    <row r="37" spans="1:12" ht="16.5" x14ac:dyDescent="0.25">
      <c r="A37" s="14">
        <v>32</v>
      </c>
      <c r="B37" s="1" t="s">
        <v>34</v>
      </c>
      <c r="C37" s="3">
        <v>26916.799999999999</v>
      </c>
      <c r="D37" s="3"/>
      <c r="E37" s="3"/>
      <c r="F37" s="3"/>
      <c r="G37" s="1"/>
      <c r="L37" s="11">
        <f t="shared" si="0"/>
        <v>37144.016199599224</v>
      </c>
    </row>
    <row r="38" spans="1:12" ht="16.5" x14ac:dyDescent="0.25">
      <c r="A38" s="14">
        <v>33</v>
      </c>
      <c r="B38" s="1" t="s">
        <v>35</v>
      </c>
      <c r="C38" s="3">
        <v>26853.7</v>
      </c>
      <c r="D38" s="3"/>
      <c r="E38" s="3"/>
      <c r="F38" s="3"/>
      <c r="G38" s="1"/>
      <c r="L38" s="11">
        <f t="shared" si="0"/>
        <v>39457.525542964482</v>
      </c>
    </row>
    <row r="39" spans="1:12" ht="16.5" x14ac:dyDescent="0.25">
      <c r="A39" s="14">
        <v>34</v>
      </c>
      <c r="B39" s="1" t="s">
        <v>36</v>
      </c>
      <c r="C39" s="3">
        <v>26808.9</v>
      </c>
      <c r="D39" s="3"/>
      <c r="E39" s="3"/>
      <c r="F39" s="3"/>
      <c r="G39" s="1"/>
      <c r="L39" s="11">
        <f t="shared" si="0"/>
        <v>48278.998637355806</v>
      </c>
    </row>
    <row r="40" spans="1:12" ht="16.5" x14ac:dyDescent="0.25">
      <c r="A40" s="14">
        <v>35</v>
      </c>
      <c r="B40" s="1" t="s">
        <v>37</v>
      </c>
      <c r="C40" s="3">
        <v>26695.1</v>
      </c>
      <c r="D40" s="3"/>
      <c r="E40" s="3"/>
      <c r="F40" s="3"/>
      <c r="G40" s="1"/>
      <c r="L40" s="11">
        <f t="shared" si="0"/>
        <v>72145.560837082157</v>
      </c>
    </row>
    <row r="41" spans="1:12" ht="16.5" x14ac:dyDescent="0.25">
      <c r="A41" s="14">
        <v>36</v>
      </c>
      <c r="B41" s="1" t="s">
        <v>38</v>
      </c>
      <c r="C41" s="3">
        <v>26480.2</v>
      </c>
      <c r="D41" s="3"/>
      <c r="E41" s="3"/>
      <c r="F41" s="3"/>
      <c r="G41" s="1"/>
      <c r="L41" s="11">
        <f t="shared" si="0"/>
        <v>72723.560757738873</v>
      </c>
    </row>
    <row r="42" spans="1:12" ht="16.5" x14ac:dyDescent="0.25">
      <c r="A42" s="14">
        <v>37</v>
      </c>
      <c r="B42" s="1" t="s">
        <v>39</v>
      </c>
      <c r="C42" s="3">
        <v>26425.7</v>
      </c>
      <c r="D42" s="3"/>
      <c r="E42" s="3"/>
      <c r="F42" s="3"/>
      <c r="G42" s="1"/>
      <c r="L42" s="11">
        <f t="shared" si="0"/>
        <v>76168.128155823739</v>
      </c>
    </row>
    <row r="43" spans="1:12" ht="16.5" x14ac:dyDescent="0.25">
      <c r="A43" s="14">
        <v>38</v>
      </c>
      <c r="B43" s="1" t="s">
        <v>40</v>
      </c>
      <c r="C43" s="3">
        <v>26231.3</v>
      </c>
      <c r="D43" s="3"/>
      <c r="E43" s="3"/>
      <c r="F43" s="3"/>
      <c r="G43" s="1"/>
      <c r="L43" s="11">
        <f t="shared" si="0"/>
        <v>78892.181729011063</v>
      </c>
    </row>
    <row r="44" spans="1:12" ht="16.5" x14ac:dyDescent="0.25">
      <c r="A44" s="14">
        <v>39</v>
      </c>
      <c r="B44" s="1" t="s">
        <v>41</v>
      </c>
      <c r="C44" s="3">
        <v>25780.7</v>
      </c>
      <c r="D44" s="3"/>
      <c r="E44" s="3"/>
      <c r="F44" s="3"/>
      <c r="G44" s="1"/>
      <c r="L44" s="11">
        <f t="shared" si="0"/>
        <v>80465.87605185654</v>
      </c>
    </row>
    <row r="45" spans="1:12" ht="16.5" x14ac:dyDescent="0.25">
      <c r="A45" s="14">
        <v>40</v>
      </c>
      <c r="B45" s="1" t="s">
        <v>42</v>
      </c>
      <c r="C45" s="3">
        <v>25770.799999999999</v>
      </c>
      <c r="D45" s="3"/>
      <c r="E45" s="3"/>
      <c r="F45" s="3"/>
      <c r="G45" s="1"/>
      <c r="L45" s="11">
        <f t="shared" si="0"/>
        <v>99786.553231063022</v>
      </c>
    </row>
    <row r="46" spans="1:12" ht="16.5" x14ac:dyDescent="0.25">
      <c r="A46" s="14">
        <v>41</v>
      </c>
      <c r="B46" s="1" t="s">
        <v>43</v>
      </c>
      <c r="C46" s="3">
        <v>25712.6</v>
      </c>
      <c r="D46" s="3"/>
      <c r="E46" s="3"/>
      <c r="F46" s="3"/>
      <c r="G46" s="1"/>
      <c r="L46" s="11">
        <f t="shared" si="0"/>
        <v>118562.92837743791</v>
      </c>
    </row>
    <row r="47" spans="1:12" ht="16.5" x14ac:dyDescent="0.25">
      <c r="A47" s="14">
        <v>42</v>
      </c>
      <c r="B47" s="1" t="s">
        <v>44</v>
      </c>
      <c r="C47" s="3">
        <v>25667.5</v>
      </c>
      <c r="D47" s="3"/>
      <c r="E47" s="3"/>
      <c r="F47" s="3"/>
      <c r="G47" s="1"/>
      <c r="L47" s="11">
        <f t="shared" si="0"/>
        <v>118876.85740616574</v>
      </c>
    </row>
    <row r="48" spans="1:12" ht="16.5" x14ac:dyDescent="0.25">
      <c r="A48" s="14">
        <v>43</v>
      </c>
      <c r="B48" s="1" t="s">
        <v>45</v>
      </c>
      <c r="C48" s="3">
        <v>25641.8</v>
      </c>
      <c r="D48" s="3"/>
      <c r="E48" s="3"/>
      <c r="F48" s="3"/>
      <c r="G48" s="1"/>
      <c r="L48" s="11">
        <f t="shared" si="0"/>
        <v>121546.8857372191</v>
      </c>
    </row>
    <row r="49" spans="1:12" ht="16.5" x14ac:dyDescent="0.25">
      <c r="A49" s="14">
        <v>44</v>
      </c>
      <c r="B49" s="1" t="s">
        <v>46</v>
      </c>
      <c r="C49" s="3">
        <v>25344.7</v>
      </c>
      <c r="D49" s="3"/>
      <c r="E49" s="3"/>
      <c r="F49" s="3"/>
      <c r="G49" s="1"/>
      <c r="L49" s="11">
        <f t="shared" si="0"/>
        <v>130141.51158947633</v>
      </c>
    </row>
    <row r="50" spans="1:12" ht="16.5" x14ac:dyDescent="0.25">
      <c r="A50" s="14">
        <v>45</v>
      </c>
      <c r="B50" s="1" t="s">
        <v>47</v>
      </c>
      <c r="C50" s="3">
        <v>25082.5</v>
      </c>
      <c r="D50" s="3"/>
      <c r="E50" s="3"/>
      <c r="F50" s="3"/>
      <c r="G50" s="1"/>
      <c r="L50" s="11">
        <f t="shared" si="0"/>
        <v>169262.65099029706</v>
      </c>
    </row>
    <row r="51" spans="1:12" ht="16.5" x14ac:dyDescent="0.25">
      <c r="A51" s="14">
        <v>46</v>
      </c>
      <c r="B51" s="1" t="s">
        <v>48</v>
      </c>
      <c r="C51" s="3">
        <v>25078.3</v>
      </c>
      <c r="D51" s="3"/>
      <c r="E51" s="3"/>
      <c r="F51" s="3"/>
      <c r="G51" s="1"/>
      <c r="L51" s="11">
        <f t="shared" si="0"/>
        <v>201541.32920917546</v>
      </c>
    </row>
    <row r="52" spans="1:12" ht="16.5" x14ac:dyDescent="0.25">
      <c r="A52" s="14">
        <v>47</v>
      </c>
      <c r="B52" s="1" t="s">
        <v>49</v>
      </c>
      <c r="C52" s="3">
        <v>25042.799999999999</v>
      </c>
      <c r="D52" s="3"/>
      <c r="E52" s="3"/>
      <c r="F52" s="3"/>
      <c r="G52" s="1"/>
      <c r="L52" s="11">
        <f t="shared" si="0"/>
        <v>205839.30736239004</v>
      </c>
    </row>
    <row r="53" spans="1:12" ht="16.5" x14ac:dyDescent="0.25">
      <c r="A53" s="14">
        <v>48</v>
      </c>
      <c r="B53" s="1" t="s">
        <v>50</v>
      </c>
      <c r="C53" s="3">
        <v>24931.1</v>
      </c>
      <c r="D53" s="3"/>
      <c r="E53" s="3"/>
      <c r="F53" s="3"/>
      <c r="G53" s="1"/>
      <c r="L53" s="11">
        <f t="shared" si="0"/>
        <v>206479.53637743791</v>
      </c>
    </row>
    <row r="54" spans="1:12" ht="16.5" x14ac:dyDescent="0.25">
      <c r="A54" s="14">
        <v>49</v>
      </c>
      <c r="B54" s="1" t="s">
        <v>51</v>
      </c>
      <c r="C54" s="3">
        <v>24464</v>
      </c>
      <c r="D54" s="3"/>
      <c r="E54" s="3"/>
      <c r="F54" s="3"/>
      <c r="G54" s="1"/>
      <c r="L54" s="11">
        <f t="shared" si="0"/>
        <v>211786.87836102204</v>
      </c>
    </row>
    <row r="55" spans="1:12" ht="16.5" x14ac:dyDescent="0.25">
      <c r="A55" s="14">
        <v>50</v>
      </c>
      <c r="B55" s="1" t="s">
        <v>52</v>
      </c>
      <c r="C55" s="3">
        <v>24118.1</v>
      </c>
      <c r="D55" s="3"/>
      <c r="E55" s="3"/>
      <c r="F55" s="3"/>
      <c r="G55" s="1"/>
      <c r="L55" s="11">
        <f t="shared" si="0"/>
        <v>234392.85631177452</v>
      </c>
    </row>
    <row r="56" spans="1:12" ht="16.5" x14ac:dyDescent="0.25">
      <c r="A56" s="14">
        <v>51</v>
      </c>
      <c r="B56" s="1" t="s">
        <v>53</v>
      </c>
      <c r="C56" s="3">
        <v>24074.2</v>
      </c>
      <c r="D56" s="3"/>
      <c r="E56" s="3"/>
      <c r="F56" s="3"/>
      <c r="G56" s="1"/>
      <c r="L56" s="11">
        <f t="shared" si="0"/>
        <v>235086.53382750624</v>
      </c>
    </row>
    <row r="57" spans="1:12" ht="16.5" x14ac:dyDescent="0.25">
      <c r="A57" s="14">
        <v>52</v>
      </c>
      <c r="B57" s="1" t="s">
        <v>54</v>
      </c>
      <c r="C57" s="3">
        <v>24067.7</v>
      </c>
      <c r="D57" s="3"/>
      <c r="E57" s="3"/>
      <c r="F57" s="3"/>
      <c r="G57" s="1"/>
      <c r="L57" s="11">
        <f t="shared" si="0"/>
        <v>257462.01733776633</v>
      </c>
    </row>
    <row r="58" spans="1:12" ht="16.5" x14ac:dyDescent="0.25">
      <c r="A58" s="14">
        <v>53</v>
      </c>
      <c r="B58" s="1" t="s">
        <v>55</v>
      </c>
      <c r="C58" s="3">
        <v>24014.2</v>
      </c>
      <c r="D58" s="3"/>
      <c r="E58" s="3"/>
      <c r="F58" s="3"/>
      <c r="G58" s="1"/>
      <c r="L58" s="11">
        <f t="shared" si="0"/>
        <v>300262.68280698673</v>
      </c>
    </row>
    <row r="59" spans="1:12" ht="16.5" x14ac:dyDescent="0.25">
      <c r="A59" s="14">
        <v>54</v>
      </c>
      <c r="B59" s="1" t="s">
        <v>56</v>
      </c>
      <c r="C59" s="3">
        <v>23793.5</v>
      </c>
      <c r="D59" s="3"/>
      <c r="E59" s="3"/>
      <c r="F59" s="3"/>
      <c r="G59" s="1"/>
      <c r="L59" s="11">
        <f t="shared" si="0"/>
        <v>315341.7647522671</v>
      </c>
    </row>
    <row r="60" spans="1:12" ht="16.5" x14ac:dyDescent="0.25">
      <c r="A60" s="14">
        <v>55</v>
      </c>
      <c r="B60" s="1" t="s">
        <v>57</v>
      </c>
      <c r="C60" s="3">
        <v>23786.9</v>
      </c>
      <c r="D60" s="3"/>
      <c r="E60" s="3"/>
      <c r="F60" s="3"/>
      <c r="G60" s="1"/>
      <c r="L60" s="11">
        <f t="shared" si="0"/>
        <v>321929.62259084434</v>
      </c>
    </row>
    <row r="61" spans="1:12" ht="16.5" x14ac:dyDescent="0.25">
      <c r="A61" s="14">
        <v>56</v>
      </c>
      <c r="B61" s="1" t="s">
        <v>58</v>
      </c>
      <c r="C61" s="3">
        <v>23579</v>
      </c>
      <c r="D61" s="3"/>
      <c r="E61" s="3"/>
      <c r="F61" s="3"/>
      <c r="G61" s="1"/>
      <c r="L61" s="11">
        <f t="shared" si="0"/>
        <v>347924.87691916153</v>
      </c>
    </row>
    <row r="62" spans="1:12" ht="16.5" x14ac:dyDescent="0.25">
      <c r="A62" s="14">
        <v>57</v>
      </c>
      <c r="B62" s="1" t="s">
        <v>59</v>
      </c>
      <c r="C62" s="3">
        <v>23205.1</v>
      </c>
      <c r="D62" s="3"/>
      <c r="E62" s="3"/>
      <c r="F62" s="3"/>
      <c r="G62" s="1"/>
      <c r="L62" s="11">
        <f t="shared" si="0"/>
        <v>354158.45386854594</v>
      </c>
    </row>
    <row r="63" spans="1:12" ht="16.5" x14ac:dyDescent="0.25">
      <c r="A63" s="14">
        <v>58</v>
      </c>
      <c r="B63" s="1" t="s">
        <v>60</v>
      </c>
      <c r="C63" s="3">
        <v>23079.8</v>
      </c>
      <c r="D63" s="3"/>
      <c r="E63" s="3"/>
      <c r="F63" s="3"/>
      <c r="G63" s="1"/>
      <c r="L63" s="11">
        <f t="shared" si="0"/>
        <v>366555.20251970884</v>
      </c>
    </row>
    <row r="64" spans="1:12" ht="16.5" x14ac:dyDescent="0.25">
      <c r="A64" s="14">
        <v>59</v>
      </c>
      <c r="B64" s="1" t="s">
        <v>61</v>
      </c>
      <c r="C64" s="3">
        <v>23026</v>
      </c>
      <c r="D64" s="3"/>
      <c r="E64" s="3"/>
      <c r="F64" s="3"/>
      <c r="G64" s="1"/>
      <c r="L64" s="11">
        <f t="shared" si="0"/>
        <v>390726.35443489382</v>
      </c>
    </row>
    <row r="65" spans="1:12" ht="16.5" x14ac:dyDescent="0.25">
      <c r="A65" s="14">
        <v>60</v>
      </c>
      <c r="B65" s="1" t="s">
        <v>62</v>
      </c>
      <c r="C65" s="3">
        <v>22818.9</v>
      </c>
      <c r="D65" s="3"/>
      <c r="E65" s="3"/>
      <c r="F65" s="3"/>
      <c r="G65" s="1"/>
      <c r="L65" s="11">
        <f t="shared" si="0"/>
        <v>395732.33445130952</v>
      </c>
    </row>
    <row r="66" spans="1:12" ht="16.5" x14ac:dyDescent="0.25">
      <c r="A66" s="14">
        <v>61</v>
      </c>
      <c r="B66" s="1" t="s">
        <v>63</v>
      </c>
      <c r="C66" s="3">
        <v>22770.400000000001</v>
      </c>
      <c r="D66" s="3"/>
      <c r="E66" s="3"/>
      <c r="F66" s="3"/>
      <c r="G66" s="1"/>
      <c r="L66" s="11">
        <f t="shared" si="0"/>
        <v>400605.39881245856</v>
      </c>
    </row>
    <row r="67" spans="1:12" ht="16.5" x14ac:dyDescent="0.25">
      <c r="A67" s="14">
        <v>62</v>
      </c>
      <c r="B67" s="1" t="s">
        <v>64</v>
      </c>
      <c r="C67" s="3">
        <v>22675.200000000001</v>
      </c>
      <c r="D67" s="3"/>
      <c r="E67" s="3"/>
      <c r="F67" s="3"/>
      <c r="G67" s="1"/>
      <c r="L67" s="11">
        <f t="shared" ref="L67:L88" si="1">(C71-C$99)^2/85</f>
        <v>401484.6176797637</v>
      </c>
    </row>
    <row r="68" spans="1:12" ht="16.5" x14ac:dyDescent="0.25">
      <c r="A68" s="14">
        <v>63</v>
      </c>
      <c r="B68" s="1" t="s">
        <v>65</v>
      </c>
      <c r="C68" s="3">
        <v>22494.1</v>
      </c>
      <c r="D68" s="3"/>
      <c r="E68" s="3"/>
      <c r="F68" s="3"/>
      <c r="G68" s="1"/>
      <c r="L68" s="11">
        <f t="shared" si="1"/>
        <v>405646.43547456554</v>
      </c>
    </row>
    <row r="69" spans="1:12" ht="16.5" x14ac:dyDescent="0.25">
      <c r="A69" s="14">
        <v>64</v>
      </c>
      <c r="B69" s="1" t="s">
        <v>66</v>
      </c>
      <c r="C69" s="3">
        <v>22457.3</v>
      </c>
      <c r="D69" s="3"/>
      <c r="E69" s="3"/>
      <c r="F69" s="3"/>
      <c r="G69" s="1"/>
      <c r="L69" s="11">
        <f t="shared" si="1"/>
        <v>431153.45795336156</v>
      </c>
    </row>
    <row r="70" spans="1:12" ht="16.5" x14ac:dyDescent="0.25">
      <c r="A70" s="14">
        <v>65</v>
      </c>
      <c r="B70" s="1" t="s">
        <v>67</v>
      </c>
      <c r="C70" s="3">
        <v>22421.7</v>
      </c>
      <c r="D70" s="3"/>
      <c r="E70" s="3"/>
      <c r="F70" s="3"/>
      <c r="G70" s="1"/>
      <c r="L70" s="11">
        <f>(C74-C$99)^2/85</f>
        <v>460539.16795883328</v>
      </c>
    </row>
    <row r="71" spans="1:12" ht="16.5" x14ac:dyDescent="0.25">
      <c r="A71" s="14">
        <v>66</v>
      </c>
      <c r="B71" s="1" t="s">
        <v>68</v>
      </c>
      <c r="C71" s="3">
        <v>22415.3</v>
      </c>
      <c r="D71" s="3"/>
      <c r="E71" s="3"/>
      <c r="F71" s="3"/>
      <c r="G71" s="1"/>
      <c r="L71" s="11">
        <f>(C75-C$99)^2/85</f>
        <v>477070.00122011959</v>
      </c>
    </row>
    <row r="72" spans="1:12" ht="16.5" x14ac:dyDescent="0.25">
      <c r="A72" s="14">
        <v>67</v>
      </c>
      <c r="B72" s="1" t="s">
        <v>69</v>
      </c>
      <c r="C72" s="3">
        <v>22385.1</v>
      </c>
      <c r="D72" s="3"/>
      <c r="E72" s="3"/>
      <c r="F72" s="3"/>
      <c r="G72" s="1"/>
      <c r="L72" s="11"/>
    </row>
    <row r="73" spans="1:12" ht="16.5" x14ac:dyDescent="0.25">
      <c r="A73" s="14">
        <v>68</v>
      </c>
      <c r="B73" s="1" t="s">
        <v>70</v>
      </c>
      <c r="C73" s="3">
        <v>22203.3</v>
      </c>
      <c r="D73" s="3"/>
      <c r="E73" s="3"/>
      <c r="F73" s="3"/>
      <c r="G73" s="1"/>
      <c r="L73" s="11">
        <f>(C77-C$99)^2/85</f>
        <v>528774.1026373558</v>
      </c>
    </row>
    <row r="74" spans="1:12" ht="16.5" x14ac:dyDescent="0.25">
      <c r="A74" s="14">
        <v>69</v>
      </c>
      <c r="B74" s="1" t="s">
        <v>71</v>
      </c>
      <c r="C74" s="3">
        <v>22000.400000000001</v>
      </c>
      <c r="D74" s="3"/>
      <c r="E74" s="3"/>
      <c r="F74" s="3"/>
      <c r="G74" s="1"/>
      <c r="L74" s="11">
        <f t="shared" si="1"/>
        <v>589499.61064009182</v>
      </c>
    </row>
    <row r="75" spans="1:12" ht="16.5" x14ac:dyDescent="0.25">
      <c r="A75" s="14"/>
      <c r="B75" s="1"/>
      <c r="C75" s="46">
        <v>21889.1</v>
      </c>
      <c r="D75" s="46"/>
      <c r="E75" s="46"/>
      <c r="F75" s="46"/>
      <c r="G75" s="47"/>
      <c r="L75" s="11">
        <f t="shared" si="1"/>
        <v>602040.71294652158</v>
      </c>
    </row>
    <row r="76" spans="1:12" ht="16.5" x14ac:dyDescent="0.25">
      <c r="A76" s="14">
        <v>70</v>
      </c>
      <c r="B76" s="1" t="s">
        <v>72</v>
      </c>
      <c r="C76" s="46"/>
      <c r="D76" s="46"/>
      <c r="E76" s="46"/>
      <c r="F76" s="46"/>
      <c r="G76" s="47"/>
      <c r="L76" s="11">
        <f t="shared" si="1"/>
        <v>618256.60010110447</v>
      </c>
    </row>
    <row r="77" spans="1:12" ht="16.5" x14ac:dyDescent="0.25">
      <c r="A77" s="14">
        <v>71</v>
      </c>
      <c r="B77" s="1" t="s">
        <v>73</v>
      </c>
      <c r="C77" s="3">
        <v>21552.9</v>
      </c>
      <c r="D77" s="3"/>
      <c r="E77" s="3"/>
      <c r="F77" s="3"/>
      <c r="G77" s="1"/>
      <c r="L77" s="11">
        <f t="shared" si="1"/>
        <v>681025.69829262281</v>
      </c>
    </row>
    <row r="78" spans="1:12" ht="16.5" x14ac:dyDescent="0.25">
      <c r="A78" s="14">
        <v>72</v>
      </c>
      <c r="B78" s="1" t="s">
        <v>74</v>
      </c>
      <c r="C78" s="3">
        <v>21178.400000000001</v>
      </c>
      <c r="D78" s="3"/>
      <c r="E78" s="3"/>
      <c r="F78" s="3"/>
      <c r="G78" s="1"/>
      <c r="L78" s="11">
        <f>(C82-C$99)^2/85</f>
        <v>775099.54780014663</v>
      </c>
    </row>
    <row r="79" spans="1:12" ht="16.5" x14ac:dyDescent="0.25">
      <c r="A79" s="14">
        <v>73</v>
      </c>
      <c r="B79" s="1" t="s">
        <v>75</v>
      </c>
      <c r="C79" s="3">
        <v>21103.5</v>
      </c>
      <c r="D79" s="3"/>
      <c r="E79" s="3"/>
      <c r="F79" s="3"/>
      <c r="G79" s="1"/>
      <c r="L79" s="11">
        <f t="shared" si="1"/>
        <v>777125.31075500348</v>
      </c>
    </row>
    <row r="80" spans="1:12" ht="16.5" x14ac:dyDescent="0.25">
      <c r="A80" s="14">
        <v>74</v>
      </c>
      <c r="B80" s="1" t="s">
        <v>76</v>
      </c>
      <c r="C80" s="3">
        <v>21007.8</v>
      </c>
      <c r="D80" s="3"/>
      <c r="E80" s="3"/>
      <c r="F80" s="3"/>
      <c r="G80" s="1"/>
      <c r="L80" s="11">
        <f t="shared" si="1"/>
        <v>1059767.9164348939</v>
      </c>
    </row>
    <row r="81" spans="1:12" ht="16.5" x14ac:dyDescent="0.25">
      <c r="A81" s="14">
        <v>75</v>
      </c>
      <c r="B81" s="1" t="s">
        <v>77</v>
      </c>
      <c r="C81" s="3">
        <v>20648.7</v>
      </c>
      <c r="D81" s="3"/>
      <c r="E81" s="3"/>
      <c r="F81" s="3"/>
      <c r="G81" s="1"/>
      <c r="L81" s="11">
        <f t="shared" si="1"/>
        <v>1118213.2348480267</v>
      </c>
    </row>
    <row r="82" spans="1:12" ht="16.5" x14ac:dyDescent="0.25">
      <c r="A82" s="14">
        <v>76</v>
      </c>
      <c r="B82" s="1" t="s">
        <v>78</v>
      </c>
      <c r="C82" s="3">
        <v>20140.2</v>
      </c>
      <c r="D82" s="3"/>
      <c r="E82" s="3"/>
      <c r="F82" s="3"/>
      <c r="G82" s="1"/>
      <c r="L82" s="11">
        <f t="shared" si="1"/>
        <v>1194909.9954499418</v>
      </c>
    </row>
    <row r="83" spans="1:12" ht="16.5" x14ac:dyDescent="0.25">
      <c r="A83" s="14">
        <v>77</v>
      </c>
      <c r="B83" s="1" t="s">
        <v>79</v>
      </c>
      <c r="C83" s="3">
        <v>20129.599999999999</v>
      </c>
      <c r="D83" s="3"/>
      <c r="E83" s="3"/>
      <c r="F83" s="3"/>
      <c r="G83" s="1"/>
      <c r="L83" s="11">
        <f t="shared" si="1"/>
        <v>1258770.558032705</v>
      </c>
    </row>
    <row r="84" spans="1:12" ht="16.5" x14ac:dyDescent="0.25">
      <c r="A84" s="14">
        <v>78</v>
      </c>
      <c r="B84" s="1" t="s">
        <v>80</v>
      </c>
      <c r="C84" s="3">
        <v>18766</v>
      </c>
      <c r="D84" s="3"/>
      <c r="E84" s="3"/>
      <c r="F84" s="3"/>
      <c r="G84" s="1"/>
      <c r="L84" s="11">
        <f t="shared" si="1"/>
        <v>1313008.9549820893</v>
      </c>
    </row>
    <row r="85" spans="1:12" ht="16.5" x14ac:dyDescent="0.25">
      <c r="A85" s="14">
        <v>79</v>
      </c>
      <c r="B85" s="1" t="s">
        <v>81</v>
      </c>
      <c r="C85" s="3">
        <v>18507.8</v>
      </c>
      <c r="D85" s="3"/>
      <c r="E85" s="3"/>
      <c r="F85" s="3"/>
      <c r="G85" s="1"/>
      <c r="L85" s="11">
        <f t="shared" si="1"/>
        <v>1372530.7956606117</v>
      </c>
    </row>
    <row r="86" spans="1:12" ht="16.5" x14ac:dyDescent="0.25">
      <c r="A86" s="14">
        <v>80</v>
      </c>
      <c r="B86" s="1" t="s">
        <v>82</v>
      </c>
      <c r="C86" s="3">
        <v>18179</v>
      </c>
      <c r="D86" s="3"/>
      <c r="E86" s="3"/>
      <c r="F86" s="3"/>
      <c r="G86" s="1"/>
      <c r="L86" s="11">
        <f t="shared" si="1"/>
        <v>2038302.2557837314</v>
      </c>
    </row>
    <row r="87" spans="1:12" ht="16.5" x14ac:dyDescent="0.25">
      <c r="A87" s="14">
        <v>81</v>
      </c>
      <c r="B87" s="1" t="s">
        <v>83</v>
      </c>
      <c r="C87" s="3">
        <v>17913.2</v>
      </c>
      <c r="D87" s="3"/>
      <c r="E87" s="3"/>
      <c r="F87" s="3"/>
      <c r="G87" s="1"/>
      <c r="L87" s="11">
        <f>(C91-C$99)^2/85</f>
        <v>2313518.7606400927</v>
      </c>
    </row>
    <row r="88" spans="1:12" ht="16.5" x14ac:dyDescent="0.25">
      <c r="A88" s="14">
        <v>82</v>
      </c>
      <c r="B88" s="1" t="s">
        <v>84</v>
      </c>
      <c r="C88" s="3">
        <v>17692.7</v>
      </c>
      <c r="D88" s="3"/>
      <c r="E88" s="3"/>
      <c r="F88" s="3"/>
      <c r="G88" s="1"/>
      <c r="L88" s="11">
        <f>(C92-C$99)^2/85</f>
        <v>2618991.0793350311</v>
      </c>
    </row>
    <row r="89" spans="1:12" ht="16.5" x14ac:dyDescent="0.25">
      <c r="A89" s="14">
        <v>83</v>
      </c>
      <c r="B89" s="1" t="s">
        <v>85</v>
      </c>
      <c r="C89" s="3">
        <v>17455.900000000001</v>
      </c>
      <c r="D89" s="3"/>
      <c r="E89" s="3"/>
      <c r="F89" s="3"/>
      <c r="G89" s="1"/>
    </row>
    <row r="90" spans="1:12" ht="16.5" x14ac:dyDescent="0.25">
      <c r="A90" s="14">
        <v>84</v>
      </c>
      <c r="B90" s="1" t="s">
        <v>86</v>
      </c>
      <c r="C90" s="3">
        <v>15094.4</v>
      </c>
      <c r="D90" s="3"/>
      <c r="E90" s="3"/>
      <c r="F90" s="3"/>
      <c r="G90" s="1"/>
    </row>
    <row r="91" spans="1:12" ht="16.5" x14ac:dyDescent="0.25">
      <c r="A91" s="14">
        <v>85</v>
      </c>
      <c r="B91" s="1" t="s">
        <v>87</v>
      </c>
      <c r="C91" s="3">
        <v>14233.9</v>
      </c>
      <c r="D91" s="3"/>
      <c r="E91" s="3"/>
      <c r="F91" s="3"/>
      <c r="G91" s="1"/>
    </row>
    <row r="92" spans="1:12" ht="16.5" x14ac:dyDescent="0.25">
      <c r="A92" s="14">
        <v>86</v>
      </c>
      <c r="B92" s="1" t="s">
        <v>88</v>
      </c>
      <c r="C92" s="3">
        <v>13336.8</v>
      </c>
      <c r="D92" s="3"/>
      <c r="E92" s="3"/>
      <c r="F92" s="3"/>
      <c r="G92" s="1"/>
    </row>
    <row r="96" spans="1:12" ht="16.5" thickBot="1" x14ac:dyDescent="0.3"/>
    <row r="97" spans="2:7" x14ac:dyDescent="0.25">
      <c r="B97" s="9" t="s">
        <v>144</v>
      </c>
      <c r="C97" s="9"/>
    </row>
    <row r="98" spans="2:7" x14ac:dyDescent="0.25">
      <c r="B98" s="6"/>
      <c r="C98" s="6"/>
    </row>
    <row r="99" spans="2:7" x14ac:dyDescent="0.25">
      <c r="B99" s="6" t="s">
        <v>90</v>
      </c>
      <c r="C99" s="6">
        <v>28257.062790697677</v>
      </c>
    </row>
    <row r="100" spans="2:7" x14ac:dyDescent="0.25">
      <c r="B100" s="6" t="s">
        <v>91</v>
      </c>
      <c r="C100" s="6">
        <v>1124.1072663082555</v>
      </c>
    </row>
    <row r="101" spans="2:7" x14ac:dyDescent="0.25">
      <c r="B101" s="6" t="s">
        <v>1</v>
      </c>
      <c r="C101" s="6">
        <v>25493.25</v>
      </c>
      <c r="F101" t="s">
        <v>146</v>
      </c>
      <c r="G101" t="s">
        <v>147</v>
      </c>
    </row>
    <row r="102" spans="2:7" x14ac:dyDescent="0.25">
      <c r="B102" s="6" t="s">
        <v>2</v>
      </c>
      <c r="C102" s="6"/>
      <c r="F102">
        <v>1.96</v>
      </c>
      <c r="G102">
        <v>2.58</v>
      </c>
    </row>
    <row r="103" spans="2:7" x14ac:dyDescent="0.25">
      <c r="B103" s="6" t="s">
        <v>92</v>
      </c>
      <c r="C103" s="6">
        <v>10424.541935757352</v>
      </c>
    </row>
    <row r="104" spans="2:7" x14ac:dyDescent="0.25">
      <c r="B104" s="6" t="s">
        <v>93</v>
      </c>
      <c r="C104" s="6">
        <v>108671074.57036366</v>
      </c>
      <c r="D104">
        <f>SQRT(C104)</f>
        <v>10424.541935757352</v>
      </c>
      <c r="E104" t="s">
        <v>148</v>
      </c>
      <c r="F104">
        <f>C99- (F102*C103/C112)</f>
        <v>26053.812548733498</v>
      </c>
      <c r="G104">
        <f>C99+(G102*C103/C112)</f>
        <v>31157.259537772978</v>
      </c>
    </row>
    <row r="105" spans="2:7" x14ac:dyDescent="0.25">
      <c r="B105" s="6" t="s">
        <v>94</v>
      </c>
      <c r="C105" s="6">
        <v>4.6366256137666593</v>
      </c>
    </row>
    <row r="106" spans="2:7" x14ac:dyDescent="0.25">
      <c r="B106" s="6" t="s">
        <v>95</v>
      </c>
      <c r="C106" s="6">
        <v>1.9721814613806252</v>
      </c>
    </row>
    <row r="107" spans="2:7" x14ac:dyDescent="0.25">
      <c r="B107" s="6" t="s">
        <v>96</v>
      </c>
      <c r="C107" s="6">
        <v>57735.199999999997</v>
      </c>
    </row>
    <row r="108" spans="2:7" x14ac:dyDescent="0.25">
      <c r="B108" s="6" t="s">
        <v>97</v>
      </c>
      <c r="C108" s="6">
        <v>13336.8</v>
      </c>
    </row>
    <row r="109" spans="2:7" x14ac:dyDescent="0.25">
      <c r="B109" s="6" t="s">
        <v>98</v>
      </c>
      <c r="C109" s="6">
        <v>71072</v>
      </c>
    </row>
    <row r="110" spans="2:7" x14ac:dyDescent="0.25">
      <c r="B110" s="6" t="s">
        <v>99</v>
      </c>
      <c r="C110" s="6">
        <v>2430107.4000000004</v>
      </c>
    </row>
    <row r="111" spans="2:7" ht="16.5" thickBot="1" x14ac:dyDescent="0.3">
      <c r="B111" s="7" t="s">
        <v>100</v>
      </c>
      <c r="C111" s="7">
        <v>86</v>
      </c>
    </row>
    <row r="112" spans="2:7" x14ac:dyDescent="0.25">
      <c r="C112">
        <f>SQRT(C111)</f>
        <v>9.2736184954957039</v>
      </c>
    </row>
    <row r="116" spans="2:11" x14ac:dyDescent="0.25">
      <c r="B116" t="s">
        <v>101</v>
      </c>
    </row>
    <row r="118" spans="2:11" x14ac:dyDescent="0.25">
      <c r="B118" t="s">
        <v>102</v>
      </c>
    </row>
    <row r="120" spans="2:11" x14ac:dyDescent="0.25">
      <c r="B120">
        <f>1+3.322*LOG(C111)</f>
        <v>7.4264038550311318</v>
      </c>
      <c r="C120" t="s">
        <v>145</v>
      </c>
    </row>
    <row r="123" spans="2:11" ht="16.5" thickBot="1" x14ac:dyDescent="0.3">
      <c r="B123" t="s">
        <v>103</v>
      </c>
    </row>
    <row r="124" spans="2:11" x14ac:dyDescent="0.25">
      <c r="J124" s="8"/>
      <c r="K124" s="8"/>
    </row>
    <row r="125" spans="2:11" x14ac:dyDescent="0.25">
      <c r="B125">
        <f>(C109-C108)/(1+LOG(C111,2))</f>
        <v>7774.460230958467</v>
      </c>
      <c r="J125" s="6"/>
      <c r="K125" s="6"/>
    </row>
    <row r="126" spans="2:11" x14ac:dyDescent="0.25">
      <c r="J126" s="6"/>
      <c r="K126" s="6"/>
    </row>
    <row r="127" spans="2:11" x14ac:dyDescent="0.25">
      <c r="B127" t="s">
        <v>104</v>
      </c>
      <c r="J127" s="6"/>
      <c r="K127" s="6"/>
    </row>
    <row r="128" spans="2:11" x14ac:dyDescent="0.25">
      <c r="J128" s="6"/>
      <c r="K128" s="6"/>
    </row>
    <row r="129" spans="1:35" x14ac:dyDescent="0.25">
      <c r="B129">
        <f>ROUND(B125,1)</f>
        <v>7774.5</v>
      </c>
      <c r="J129" s="6"/>
      <c r="K129" s="6"/>
    </row>
    <row r="130" spans="1:35" x14ac:dyDescent="0.25">
      <c r="J130" s="6"/>
      <c r="K130" s="6"/>
    </row>
    <row r="131" spans="1:35" x14ac:dyDescent="0.25">
      <c r="B131" t="s">
        <v>105</v>
      </c>
      <c r="J131" s="6"/>
      <c r="K131" s="6"/>
      <c r="AB131" s="36" t="s">
        <v>173</v>
      </c>
    </row>
    <row r="132" spans="1:35" x14ac:dyDescent="0.25">
      <c r="J132" s="6"/>
      <c r="K132" s="6"/>
      <c r="AB132">
        <f>((105.9699848-6)/SQRT(12))</f>
        <v>28.8588488175814</v>
      </c>
    </row>
    <row r="133" spans="1:35" x14ac:dyDescent="0.25">
      <c r="B133">
        <f>ROUND((C108-B129/2),1)</f>
        <v>9449.6</v>
      </c>
      <c r="J133" s="6"/>
      <c r="K133" s="6"/>
    </row>
    <row r="134" spans="1:35" ht="16.5" thickBot="1" x14ac:dyDescent="0.3">
      <c r="J134" s="7"/>
      <c r="K134" s="13"/>
    </row>
    <row r="135" spans="1:35" x14ac:dyDescent="0.25">
      <c r="B135" t="s">
        <v>106</v>
      </c>
      <c r="W135" s="34" t="s">
        <v>170</v>
      </c>
    </row>
    <row r="136" spans="1:35" x14ac:dyDescent="0.25">
      <c r="AB136" s="36" t="s">
        <v>172</v>
      </c>
      <c r="AD136" s="37" t="s">
        <v>174</v>
      </c>
    </row>
    <row r="137" spans="1:35" x14ac:dyDescent="0.25">
      <c r="B137">
        <f>(C109-C108)/7</f>
        <v>8247.8857142857141</v>
      </c>
      <c r="U137" s="22" t="s">
        <v>159</v>
      </c>
      <c r="Y137" s="18" t="s">
        <v>169</v>
      </c>
      <c r="AA137" s="35" t="s">
        <v>171</v>
      </c>
      <c r="AB137">
        <f>AA139-7/(SQRT(14))</f>
        <v>150.71122176865595</v>
      </c>
      <c r="AD137" t="s">
        <v>179</v>
      </c>
    </row>
    <row r="138" spans="1:35" x14ac:dyDescent="0.25">
      <c r="U138" s="31">
        <f xml:space="preserve"> -Q$143*C142</f>
        <v>-0.60769257940426002</v>
      </c>
      <c r="W138" s="32" t="s">
        <v>160</v>
      </c>
      <c r="X138">
        <f>EXP(0) - EXP(U138)</f>
        <v>0.45539394437473935</v>
      </c>
      <c r="Y138">
        <f>X138*86</f>
        <v>39.163879216227585</v>
      </c>
      <c r="AD138" s="39" t="s">
        <v>149</v>
      </c>
      <c r="AE138" s="20" t="s">
        <v>111</v>
      </c>
      <c r="AF138" s="19" t="s">
        <v>175</v>
      </c>
      <c r="AG138" s="40" t="s">
        <v>176</v>
      </c>
      <c r="AH138" s="41" t="s">
        <v>177</v>
      </c>
      <c r="AI138" s="34" t="s">
        <v>178</v>
      </c>
    </row>
    <row r="139" spans="1:35" x14ac:dyDescent="0.25">
      <c r="A139" t="s">
        <v>109</v>
      </c>
      <c r="H139" s="29" t="s">
        <v>154</v>
      </c>
      <c r="S139" s="30" t="s">
        <v>157</v>
      </c>
      <c r="U139" s="31">
        <f t="shared" ref="U139:U140" si="2" xml:space="preserve"> -Q$143*C143</f>
        <v>-0.88198882469884266</v>
      </c>
      <c r="W139" s="32" t="s">
        <v>162</v>
      </c>
      <c r="X139">
        <f>EXP(U138) - EXP(U139)</f>
        <v>0.13064725466556809</v>
      </c>
      <c r="Y139">
        <f t="shared" ref="Y139:Y145" si="3">X139*86</f>
        <v>11.235663901238857</v>
      </c>
      <c r="AA139">
        <f>((E142-Y138)^2/Y138)+((E143-Y139)^2/Y139) + ((E144-Y140)^2/Y140) + ((E145-Y141)^2/Y141) + ((E146-Y142)^2/Y142) + ((E147-Y143)^2/Y143) + ((E148-Y144)^2/Y144) + ((E149-Y145)^2/Y145)</f>
        <v>152.58205046204293</v>
      </c>
      <c r="AD139">
        <v>1</v>
      </c>
      <c r="AE139" s="38">
        <v>0.03</v>
      </c>
      <c r="AF139" s="11">
        <f>AE139</f>
        <v>0.03</v>
      </c>
      <c r="AG139">
        <f>X138</f>
        <v>0.45539394437473935</v>
      </c>
      <c r="AH139">
        <f>AG139</f>
        <v>0.45539394437473935</v>
      </c>
      <c r="AI139" s="11">
        <f>ABS(AF139-AH139)</f>
        <v>0.42539394437473932</v>
      </c>
    </row>
    <row r="140" spans="1:35" x14ac:dyDescent="0.25">
      <c r="G140" s="24" t="s">
        <v>152</v>
      </c>
      <c r="P140" s="28" t="s">
        <v>155</v>
      </c>
      <c r="Q140">
        <f>G141 - O143*H146</f>
        <v>10231.597695151951</v>
      </c>
      <c r="S140" s="44">
        <f>1/(Q141-Q140)</f>
        <v>2.760624281746478E-5</v>
      </c>
      <c r="U140" s="31">
        <f t="shared" si="2"/>
        <v>-1.1562850699934253</v>
      </c>
      <c r="W140" s="32" t="s">
        <v>163</v>
      </c>
      <c r="X140">
        <f>EXP(U139) - EXP(U140)</f>
        <v>9.930587501077659E-2</v>
      </c>
      <c r="Y140">
        <f t="shared" si="3"/>
        <v>8.5403052509267869</v>
      </c>
      <c r="AD140">
        <v>2</v>
      </c>
      <c r="AE140" s="38">
        <v>0.42</v>
      </c>
      <c r="AF140" s="11">
        <f>AF139+AE140</f>
        <v>0.44999999999999996</v>
      </c>
      <c r="AG140">
        <f t="shared" ref="AG140:AG146" si="4">X139</f>
        <v>0.13064725466556809</v>
      </c>
      <c r="AH140">
        <f>AH139+AG140</f>
        <v>0.58604119904030738</v>
      </c>
      <c r="AI140" s="11">
        <f t="shared" ref="AI140:AI146" si="5">ABS(AF140-AH140)</f>
        <v>0.13604119904030743</v>
      </c>
    </row>
    <row r="141" spans="1:35" x14ac:dyDescent="0.25">
      <c r="A141" s="16" t="s">
        <v>149</v>
      </c>
      <c r="B141" s="17" t="s">
        <v>107</v>
      </c>
      <c r="C141" s="18" t="s">
        <v>108</v>
      </c>
      <c r="D141" s="19" t="s">
        <v>112</v>
      </c>
      <c r="E141" s="20" t="s">
        <v>110</v>
      </c>
      <c r="F141" s="21" t="s">
        <v>111</v>
      </c>
      <c r="G141">
        <f>(E142*D142+D143*E143+D144*E144+D145*E145+D146*E146+D147*E147+D148*E148+D149*E149)/86</f>
        <v>28343.443023255808</v>
      </c>
      <c r="H141" s="25" t="s">
        <v>125</v>
      </c>
      <c r="I141" s="25" t="s">
        <v>126</v>
      </c>
      <c r="J141" s="25"/>
      <c r="L141">
        <f>(E142*D142*D142 + E143*D143*D143+E144*D144*D144 +D145*E145*D145+E146*D146*D146 + E147*D147*D147 + E148*D148*D148 + E149*D149*D149)/86</f>
        <v>912697076.14226747</v>
      </c>
      <c r="P141" s="28" t="s">
        <v>156</v>
      </c>
      <c r="Q141">
        <f>G141+O143*H146</f>
        <v>46455.288351359661</v>
      </c>
      <c r="U141" s="31">
        <f xml:space="preserve"> -Q$143*C145</f>
        <v>-1.4305813152880078</v>
      </c>
      <c r="W141" s="32" t="s">
        <v>164</v>
      </c>
      <c r="X141">
        <f t="shared" ref="X141:X144" si="6">EXP(U140) - EXP(U141)</f>
        <v>7.5483077213523736E-2</v>
      </c>
      <c r="Y141">
        <f t="shared" si="3"/>
        <v>6.491544640363041</v>
      </c>
      <c r="AD141">
        <v>3</v>
      </c>
      <c r="AE141" s="38">
        <v>0.35</v>
      </c>
      <c r="AF141" s="11">
        <f>AF140+AE141</f>
        <v>0.79999999999999993</v>
      </c>
      <c r="AG141">
        <f t="shared" si="4"/>
        <v>9.930587501077659E-2</v>
      </c>
      <c r="AH141">
        <f>AH140+AG141</f>
        <v>0.68534707405108397</v>
      </c>
      <c r="AI141" s="11">
        <f t="shared" si="5"/>
        <v>0.11465292594891596</v>
      </c>
    </row>
    <row r="142" spans="1:35" x14ac:dyDescent="0.25">
      <c r="A142">
        <v>1</v>
      </c>
      <c r="B142">
        <v>9449.6</v>
      </c>
      <c r="C142">
        <f t="shared" ref="C142:C149" si="7">B142+$B$129</f>
        <v>17224.099999999999</v>
      </c>
      <c r="D142">
        <f t="shared" ref="D142:D149" si="8">(B142+C142)/2</f>
        <v>13336.849999999999</v>
      </c>
      <c r="E142">
        <v>3</v>
      </c>
      <c r="F142" s="45">
        <f t="shared" ref="F142:F149" si="9">E142/$E$150</f>
        <v>3.4883720930232558E-2</v>
      </c>
      <c r="H142" s="25"/>
      <c r="I142" s="25"/>
      <c r="J142" s="25"/>
      <c r="T142" t="s">
        <v>161</v>
      </c>
      <c r="U142" s="31">
        <f xml:space="preserve"> -Q$143*C146</f>
        <v>-1.7048775605825903</v>
      </c>
      <c r="W142" s="32" t="s">
        <v>165</v>
      </c>
      <c r="X142">
        <f t="shared" si="6"/>
        <v>5.7375205092392356E-2</v>
      </c>
      <c r="Y142">
        <f t="shared" si="3"/>
        <v>4.9342676379457426</v>
      </c>
      <c r="AD142">
        <v>4</v>
      </c>
      <c r="AE142" s="38">
        <v>0.1</v>
      </c>
      <c r="AF142" s="11">
        <f t="shared" ref="AF142:AF146" si="10">AF141+AE142</f>
        <v>0.89999999999999991</v>
      </c>
      <c r="AG142">
        <f t="shared" si="4"/>
        <v>7.5483077213523736E-2</v>
      </c>
      <c r="AH142">
        <f t="shared" ref="AH142:AH146" si="11">AH141+AG142</f>
        <v>0.76083015126460773</v>
      </c>
      <c r="AI142" s="11">
        <f t="shared" si="5"/>
        <v>0.13916984873539218</v>
      </c>
    </row>
    <row r="143" spans="1:35" x14ac:dyDescent="0.25">
      <c r="A143">
        <v>2</v>
      </c>
      <c r="B143">
        <f t="shared" ref="B143:B149" si="12">C142</f>
        <v>17224.099999999999</v>
      </c>
      <c r="C143">
        <f t="shared" si="7"/>
        <v>24998.6</v>
      </c>
      <c r="D143">
        <f t="shared" si="8"/>
        <v>21111.35</v>
      </c>
      <c r="E143">
        <v>36</v>
      </c>
      <c r="F143" s="45">
        <f t="shared" si="9"/>
        <v>0.41860465116279072</v>
      </c>
      <c r="H143" s="25"/>
      <c r="I143" s="25"/>
      <c r="J143" s="25"/>
      <c r="K143" s="24" t="s">
        <v>151</v>
      </c>
      <c r="L143">
        <f>L141-(G141^2)</f>
        <v>109346313.72971916</v>
      </c>
      <c r="N143" s="24" t="s">
        <v>153</v>
      </c>
      <c r="O143">
        <f>SQRT(L143)</f>
        <v>10456.878775701627</v>
      </c>
      <c r="P143" s="33" t="s">
        <v>158</v>
      </c>
      <c r="Q143">
        <f>1/G141</f>
        <v>3.5281528753563906E-5</v>
      </c>
      <c r="U143" s="31">
        <f xml:space="preserve"> -Q$143*C147</f>
        <v>-1.9791738058771731</v>
      </c>
      <c r="W143" s="32" t="s">
        <v>166</v>
      </c>
      <c r="X143">
        <f t="shared" si="6"/>
        <v>4.3611287203912552E-2</v>
      </c>
      <c r="Y143">
        <f t="shared" si="3"/>
        <v>3.7505706995364796</v>
      </c>
      <c r="AD143">
        <v>5</v>
      </c>
      <c r="AE143" s="38">
        <v>0.02</v>
      </c>
      <c r="AF143" s="11">
        <f t="shared" si="10"/>
        <v>0.91999999999999993</v>
      </c>
      <c r="AG143">
        <f t="shared" si="4"/>
        <v>5.7375205092392356E-2</v>
      </c>
      <c r="AH143">
        <f t="shared" si="11"/>
        <v>0.81820535635700009</v>
      </c>
      <c r="AI143" s="11">
        <f t="shared" si="5"/>
        <v>0.10179464364299984</v>
      </c>
    </row>
    <row r="144" spans="1:35" ht="16.5" x14ac:dyDescent="0.25">
      <c r="A144">
        <v>3</v>
      </c>
      <c r="B144">
        <f t="shared" si="12"/>
        <v>24998.6</v>
      </c>
      <c r="C144">
        <f t="shared" si="7"/>
        <v>32773.1</v>
      </c>
      <c r="D144">
        <f t="shared" si="8"/>
        <v>28885.85</v>
      </c>
      <c r="E144">
        <v>30</v>
      </c>
      <c r="F144" s="45">
        <f t="shared" si="9"/>
        <v>0.34883720930232559</v>
      </c>
      <c r="H144" s="25">
        <f>(C144-D144)/C103</f>
        <v>0.37289408244081163</v>
      </c>
      <c r="I144" s="26">
        <f>(B144-D144)/C103</f>
        <v>-0.37289408244081163</v>
      </c>
      <c r="J144" s="27">
        <f>H144-I144</f>
        <v>0.74578816488162325</v>
      </c>
      <c r="K144">
        <v>0.27339999999999998</v>
      </c>
      <c r="U144" s="31">
        <f xml:space="preserve"> -Q$143*C148</f>
        <v>-2.2534700511717554</v>
      </c>
      <c r="W144" s="32" t="s">
        <v>167</v>
      </c>
      <c r="X144">
        <f t="shared" si="6"/>
        <v>3.3149238743798909E-2</v>
      </c>
      <c r="Y144">
        <f t="shared" si="3"/>
        <v>2.8508345319667061</v>
      </c>
      <c r="AD144">
        <v>6</v>
      </c>
      <c r="AE144" s="38">
        <v>0.02</v>
      </c>
      <c r="AF144" s="11">
        <f t="shared" si="10"/>
        <v>0.94</v>
      </c>
      <c r="AG144">
        <f t="shared" si="4"/>
        <v>4.3611287203912552E-2</v>
      </c>
      <c r="AH144">
        <f t="shared" si="11"/>
        <v>0.8618166435609127</v>
      </c>
      <c r="AI144" s="11">
        <f t="shared" si="5"/>
        <v>7.8183356439087248E-2</v>
      </c>
    </row>
    <row r="145" spans="1:37" ht="16.5" x14ac:dyDescent="0.25">
      <c r="A145">
        <v>4</v>
      </c>
      <c r="B145">
        <f t="shared" si="12"/>
        <v>32773.1</v>
      </c>
      <c r="C145">
        <f t="shared" si="7"/>
        <v>40547.599999999999</v>
      </c>
      <c r="D145">
        <f t="shared" si="8"/>
        <v>36660.35</v>
      </c>
      <c r="E145">
        <v>9</v>
      </c>
      <c r="F145" s="45">
        <f t="shared" si="9"/>
        <v>0.10465116279069768</v>
      </c>
      <c r="H145" s="25">
        <v>0.14430000000000001</v>
      </c>
      <c r="I145" s="26"/>
      <c r="J145" s="25">
        <f>2*H145</f>
        <v>0.28860000000000002</v>
      </c>
      <c r="U145" s="31">
        <f>U144</f>
        <v>-2.2534700511717554</v>
      </c>
      <c r="W145" s="32" t="s">
        <v>168</v>
      </c>
      <c r="X145">
        <f>EXP(U144)</f>
        <v>0.10503411769528842</v>
      </c>
      <c r="Y145">
        <f t="shared" si="3"/>
        <v>9.0329341217948045</v>
      </c>
      <c r="AD145">
        <v>7</v>
      </c>
      <c r="AE145" s="38">
        <v>0.03</v>
      </c>
      <c r="AF145" s="11">
        <f t="shared" si="10"/>
        <v>0.97</v>
      </c>
      <c r="AG145">
        <f t="shared" si="4"/>
        <v>3.3149238743798909E-2</v>
      </c>
      <c r="AH145">
        <f t="shared" si="11"/>
        <v>0.89496588230471164</v>
      </c>
      <c r="AI145" s="11">
        <f t="shared" si="5"/>
        <v>7.5034117695288338E-2</v>
      </c>
    </row>
    <row r="146" spans="1:37" ht="16.5" x14ac:dyDescent="0.25">
      <c r="A146">
        <v>5</v>
      </c>
      <c r="B146">
        <f t="shared" si="12"/>
        <v>40547.599999999999</v>
      </c>
      <c r="C146">
        <f t="shared" si="7"/>
        <v>48322.1</v>
      </c>
      <c r="D146">
        <f t="shared" si="8"/>
        <v>44434.85</v>
      </c>
      <c r="E146">
        <v>2</v>
      </c>
      <c r="F146" s="45">
        <f t="shared" si="9"/>
        <v>2.3255813953488372E-2</v>
      </c>
      <c r="H146">
        <f>SQRT(3)</f>
        <v>1.7320508075688772</v>
      </c>
      <c r="I146" s="10"/>
      <c r="AD146">
        <v>8</v>
      </c>
      <c r="AE146" s="38">
        <v>0.01</v>
      </c>
      <c r="AF146" s="11">
        <f t="shared" si="10"/>
        <v>0.98</v>
      </c>
      <c r="AG146">
        <f t="shared" si="4"/>
        <v>0.10503411769528842</v>
      </c>
      <c r="AH146">
        <f t="shared" si="11"/>
        <v>1</v>
      </c>
      <c r="AI146" s="11">
        <f t="shared" si="5"/>
        <v>2.0000000000000018E-2</v>
      </c>
    </row>
    <row r="147" spans="1:37" ht="16.5" x14ac:dyDescent="0.25">
      <c r="A147">
        <v>6</v>
      </c>
      <c r="B147">
        <f t="shared" si="12"/>
        <v>48322.1</v>
      </c>
      <c r="C147">
        <f t="shared" si="7"/>
        <v>56096.6</v>
      </c>
      <c r="D147">
        <f t="shared" si="8"/>
        <v>52209.35</v>
      </c>
      <c r="E147">
        <v>2</v>
      </c>
      <c r="F147" s="45">
        <f t="shared" si="9"/>
        <v>2.3255813953488372E-2</v>
      </c>
      <c r="I147" s="10"/>
    </row>
    <row r="148" spans="1:37" ht="16.5" x14ac:dyDescent="0.25">
      <c r="A148">
        <v>7</v>
      </c>
      <c r="B148">
        <f t="shared" si="12"/>
        <v>56096.6</v>
      </c>
      <c r="C148">
        <f t="shared" si="7"/>
        <v>63871.1</v>
      </c>
      <c r="D148">
        <f t="shared" si="8"/>
        <v>59983.85</v>
      </c>
      <c r="E148">
        <v>3</v>
      </c>
      <c r="F148" s="45">
        <f t="shared" si="9"/>
        <v>3.4883720930232558E-2</v>
      </c>
      <c r="I148" s="10"/>
    </row>
    <row r="149" spans="1:37" ht="16.5" x14ac:dyDescent="0.25">
      <c r="A149">
        <v>8</v>
      </c>
      <c r="B149">
        <f t="shared" si="12"/>
        <v>63871.1</v>
      </c>
      <c r="C149">
        <f t="shared" si="7"/>
        <v>71645.600000000006</v>
      </c>
      <c r="D149">
        <f t="shared" si="8"/>
        <v>67758.350000000006</v>
      </c>
      <c r="E149">
        <v>1</v>
      </c>
      <c r="F149" s="45">
        <f t="shared" si="9"/>
        <v>1.1627906976744186E-2</v>
      </c>
      <c r="I149" s="10"/>
      <c r="AD149" t="s">
        <v>180</v>
      </c>
    </row>
    <row r="150" spans="1:37" ht="17.25" thickBot="1" x14ac:dyDescent="0.3">
      <c r="D150" s="22" t="s">
        <v>150</v>
      </c>
      <c r="E150" s="20">
        <f>SUM(E142:E149)</f>
        <v>86</v>
      </c>
      <c r="F150" s="23">
        <f>SUM(F142:F149)</f>
        <v>1</v>
      </c>
      <c r="I150" s="10"/>
      <c r="AD150" s="39" t="s">
        <v>149</v>
      </c>
      <c r="AE150" s="20" t="s">
        <v>111</v>
      </c>
      <c r="AF150" s="19" t="s">
        <v>175</v>
      </c>
      <c r="AG150" s="40" t="s">
        <v>176</v>
      </c>
      <c r="AH150" s="41" t="s">
        <v>177</v>
      </c>
      <c r="AI150" s="34" t="s">
        <v>178</v>
      </c>
    </row>
    <row r="151" spans="1:37" ht="16.5" x14ac:dyDescent="0.25">
      <c r="A151" s="8"/>
      <c r="B151" s="8"/>
      <c r="I151" s="10"/>
      <c r="AD151">
        <v>1</v>
      </c>
      <c r="AE151" s="38">
        <v>0.03</v>
      </c>
      <c r="AF151" s="11">
        <f>AE151</f>
        <v>0.03</v>
      </c>
      <c r="AG151" s="42">
        <v>0.10680000000000001</v>
      </c>
      <c r="AH151">
        <f>AG151</f>
        <v>0.10680000000000001</v>
      </c>
      <c r="AI151" s="11">
        <f>ABS(AF151-AH151)</f>
        <v>7.6800000000000007E-2</v>
      </c>
    </row>
    <row r="152" spans="1:37" x14ac:dyDescent="0.25">
      <c r="A152" s="6" t="s">
        <v>113</v>
      </c>
      <c r="B152" s="6">
        <f>B142</f>
        <v>9449.6</v>
      </c>
      <c r="C152">
        <f>B152</f>
        <v>9449.6</v>
      </c>
      <c r="D152">
        <f>C142</f>
        <v>17224.099999999999</v>
      </c>
      <c r="E152">
        <f>D152</f>
        <v>17224.099999999999</v>
      </c>
      <c r="F152">
        <f>E152</f>
        <v>17224.099999999999</v>
      </c>
      <c r="G152">
        <f>C143</f>
        <v>24998.6</v>
      </c>
      <c r="H152">
        <f>G152</f>
        <v>24998.6</v>
      </c>
      <c r="I152" s="12">
        <f>H152</f>
        <v>24998.6</v>
      </c>
      <c r="J152">
        <f>C144</f>
        <v>32773.1</v>
      </c>
      <c r="K152">
        <f>J152</f>
        <v>32773.1</v>
      </c>
      <c r="L152">
        <f>K152</f>
        <v>32773.1</v>
      </c>
      <c r="M152">
        <f>C145</f>
        <v>40547.599999999999</v>
      </c>
      <c r="N152">
        <f>M152</f>
        <v>40547.599999999999</v>
      </c>
      <c r="O152">
        <f>N152</f>
        <v>40547.599999999999</v>
      </c>
      <c r="P152">
        <f>C146</f>
        <v>48322.1</v>
      </c>
      <c r="Q152">
        <f>P152</f>
        <v>48322.1</v>
      </c>
      <c r="R152">
        <f>Q152</f>
        <v>48322.1</v>
      </c>
      <c r="S152">
        <f>C147</f>
        <v>56096.6</v>
      </c>
      <c r="T152">
        <f>S152</f>
        <v>56096.6</v>
      </c>
      <c r="U152">
        <f>T152</f>
        <v>56096.6</v>
      </c>
      <c r="V152">
        <f>C148</f>
        <v>63871.1</v>
      </c>
      <c r="W152">
        <f>V152</f>
        <v>63871.1</v>
      </c>
      <c r="X152">
        <f>W152</f>
        <v>63871.1</v>
      </c>
      <c r="Y152">
        <f>C149</f>
        <v>71645.600000000006</v>
      </c>
      <c r="Z152">
        <f>Y152</f>
        <v>71645.600000000006</v>
      </c>
      <c r="AD152">
        <v>2</v>
      </c>
      <c r="AE152" s="38">
        <v>0.42</v>
      </c>
      <c r="AF152" s="11">
        <f>AF151+AE152</f>
        <v>0.44999999999999996</v>
      </c>
      <c r="AG152">
        <v>0.23530000000000001</v>
      </c>
      <c r="AH152">
        <f>AH151+AG152</f>
        <v>0.34210000000000002</v>
      </c>
      <c r="AI152" s="11">
        <f t="shared" ref="AI152:AI158" si="13">ABS(AF152-AH152)</f>
        <v>0.10789999999999994</v>
      </c>
    </row>
    <row r="153" spans="1:37" ht="16.5" x14ac:dyDescent="0.25">
      <c r="A153" s="6" t="s">
        <v>114</v>
      </c>
      <c r="B153" s="6">
        <v>0</v>
      </c>
      <c r="C153" s="11">
        <f>F142</f>
        <v>3.4883720930232558E-2</v>
      </c>
      <c r="D153" s="11">
        <f>F142</f>
        <v>3.4883720930232558E-2</v>
      </c>
      <c r="E153">
        <v>0</v>
      </c>
      <c r="F153" s="11">
        <f>F143</f>
        <v>0.41860465116279072</v>
      </c>
      <c r="G153" s="11">
        <f>F153</f>
        <v>0.41860465116279072</v>
      </c>
      <c r="H153">
        <f>E153</f>
        <v>0</v>
      </c>
      <c r="I153" s="10">
        <f>F144</f>
        <v>0.34883720930232559</v>
      </c>
      <c r="J153" s="2">
        <f>I153</f>
        <v>0.34883720930232559</v>
      </c>
      <c r="K153">
        <f>H153</f>
        <v>0</v>
      </c>
      <c r="L153" s="11">
        <f>F145</f>
        <v>0.10465116279069768</v>
      </c>
      <c r="M153" s="11">
        <f>F145</f>
        <v>0.10465116279069768</v>
      </c>
      <c r="N153">
        <f>K153</f>
        <v>0</v>
      </c>
      <c r="O153" s="11">
        <f>F146</f>
        <v>2.3255813953488372E-2</v>
      </c>
      <c r="P153" s="11">
        <f>O153</f>
        <v>2.3255813953488372E-2</v>
      </c>
      <c r="Q153">
        <f>N154</f>
        <v>0</v>
      </c>
      <c r="R153" s="11">
        <f>F147</f>
        <v>2.3255813953488372E-2</v>
      </c>
      <c r="S153" s="11">
        <f>R153</f>
        <v>2.3255813953488372E-2</v>
      </c>
      <c r="T153">
        <f>Q153</f>
        <v>0</v>
      </c>
      <c r="U153" s="11">
        <f>F148</f>
        <v>3.4883720930232558E-2</v>
      </c>
      <c r="V153" s="11">
        <f>U153</f>
        <v>3.4883720930232558E-2</v>
      </c>
      <c r="W153">
        <f>T153</f>
        <v>0</v>
      </c>
      <c r="X153" s="11">
        <f>F149</f>
        <v>1.1627906976744186E-2</v>
      </c>
      <c r="Y153" s="11">
        <f>X153</f>
        <v>1.1627906976744186E-2</v>
      </c>
      <c r="Z153">
        <f>W153</f>
        <v>0</v>
      </c>
      <c r="AD153">
        <v>3</v>
      </c>
      <c r="AE153" s="38">
        <v>0.35</v>
      </c>
      <c r="AF153" s="11">
        <f>AF152+AE153</f>
        <v>0.79999999999999993</v>
      </c>
      <c r="AG153">
        <v>0.2969</v>
      </c>
      <c r="AH153">
        <f>AH152+AG153</f>
        <v>0.63900000000000001</v>
      </c>
      <c r="AI153" s="11">
        <f t="shared" si="13"/>
        <v>0.16099999999999992</v>
      </c>
    </row>
    <row r="154" spans="1:37" ht="16.5" x14ac:dyDescent="0.25">
      <c r="A154" s="6"/>
      <c r="B154" s="6"/>
      <c r="I154" s="10"/>
      <c r="AD154">
        <v>4</v>
      </c>
      <c r="AE154" s="38">
        <v>0.1</v>
      </c>
      <c r="AF154" s="11">
        <f t="shared" ref="AF154:AF158" si="14">AF153+AE154</f>
        <v>0.89999999999999991</v>
      </c>
      <c r="AG154">
        <v>0.21490000000000001</v>
      </c>
      <c r="AH154">
        <f>AH153+AG154</f>
        <v>0.85389999999999999</v>
      </c>
      <c r="AI154" s="11">
        <f t="shared" si="13"/>
        <v>4.6099999999999919E-2</v>
      </c>
    </row>
    <row r="155" spans="1:37" ht="16.5" x14ac:dyDescent="0.25">
      <c r="A155" s="6" t="s">
        <v>115</v>
      </c>
      <c r="E155" s="11"/>
      <c r="I155" s="10"/>
      <c r="AD155">
        <v>5</v>
      </c>
      <c r="AE155" s="38">
        <v>0.02</v>
      </c>
      <c r="AF155" s="11">
        <f t="shared" si="14"/>
        <v>0.91999999999999993</v>
      </c>
      <c r="AG155">
        <v>8.9230000000000004E-2</v>
      </c>
      <c r="AH155">
        <f>AH154+AG155</f>
        <v>0.94313000000000002</v>
      </c>
      <c r="AI155" s="11">
        <f t="shared" si="13"/>
        <v>2.3130000000000095E-2</v>
      </c>
    </row>
    <row r="156" spans="1:37" ht="16.5" x14ac:dyDescent="0.25">
      <c r="A156" s="6"/>
      <c r="B156" s="11"/>
      <c r="C156" s="11"/>
      <c r="I156" s="10"/>
      <c r="AD156">
        <v>6</v>
      </c>
      <c r="AE156" s="38">
        <v>0.02</v>
      </c>
      <c r="AF156" s="11">
        <f t="shared" si="14"/>
        <v>0.94</v>
      </c>
      <c r="AG156">
        <v>2.12E-2</v>
      </c>
      <c r="AH156">
        <f t="shared" ref="AH156:AH158" si="15">AH155+AG156</f>
        <v>0.96433000000000002</v>
      </c>
      <c r="AI156" s="11">
        <f t="shared" si="13"/>
        <v>2.4330000000000074E-2</v>
      </c>
    </row>
    <row r="157" spans="1:37" ht="16.5" x14ac:dyDescent="0.25">
      <c r="A157" s="6"/>
      <c r="B157" s="6"/>
      <c r="I157" s="10"/>
      <c r="AD157">
        <v>7</v>
      </c>
      <c r="AE157" s="38">
        <v>0.03</v>
      </c>
      <c r="AF157" s="11">
        <f t="shared" si="14"/>
        <v>0.97</v>
      </c>
      <c r="AG157">
        <v>2.8900000000000002E-3</v>
      </c>
      <c r="AH157">
        <f t="shared" si="15"/>
        <v>0.96721999999999997</v>
      </c>
      <c r="AI157" s="11">
        <f t="shared" si="13"/>
        <v>2.7800000000000047E-3</v>
      </c>
    </row>
    <row r="158" spans="1:37" ht="16.5" x14ac:dyDescent="0.25">
      <c r="A158" s="6"/>
      <c r="B158" s="6"/>
      <c r="I158" s="10"/>
      <c r="AD158">
        <v>8</v>
      </c>
      <c r="AE158" s="38">
        <v>0.01</v>
      </c>
      <c r="AF158" s="11">
        <f t="shared" si="14"/>
        <v>0.98</v>
      </c>
      <c r="AG158">
        <v>2.2599999999999999E-4</v>
      </c>
      <c r="AH158">
        <f t="shared" si="15"/>
        <v>0.96744599999999992</v>
      </c>
      <c r="AI158" s="11">
        <f t="shared" si="13"/>
        <v>1.2554000000000065E-2</v>
      </c>
    </row>
    <row r="159" spans="1:37" ht="16.5" x14ac:dyDescent="0.25">
      <c r="A159" s="6"/>
      <c r="B159" s="6"/>
      <c r="I159" s="10"/>
    </row>
    <row r="160" spans="1:37" ht="16.5" x14ac:dyDescent="0.25">
      <c r="A160" s="6"/>
      <c r="B160" s="6"/>
      <c r="I160" s="10"/>
      <c r="AD160" t="s">
        <v>181</v>
      </c>
      <c r="AK160" s="36" t="s">
        <v>172</v>
      </c>
    </row>
    <row r="161" spans="1:37" ht="17.25" thickBot="1" x14ac:dyDescent="0.3">
      <c r="A161" s="7"/>
      <c r="I161" s="10"/>
      <c r="AA161" t="s">
        <v>182</v>
      </c>
      <c r="AB161" t="s">
        <v>183</v>
      </c>
      <c r="AD161" s="39" t="s">
        <v>149</v>
      </c>
      <c r="AE161" s="20" t="s">
        <v>111</v>
      </c>
      <c r="AF161" s="19" t="s">
        <v>175</v>
      </c>
      <c r="AG161" s="40" t="s">
        <v>176</v>
      </c>
      <c r="AH161" s="41" t="s">
        <v>177</v>
      </c>
      <c r="AI161" s="34" t="s">
        <v>178</v>
      </c>
      <c r="AK161">
        <f>(AA162-6)/SQRT(12)</f>
        <v>14.550899972202574</v>
      </c>
    </row>
    <row r="162" spans="1:37" ht="16.5" x14ac:dyDescent="0.25">
      <c r="I162" s="10"/>
      <c r="AA162">
        <f>( (E142-AB162)^2/AB162)+((E143-AB163)^2/AB163) + ((E144-AB164)^2/AB163) + ((E145 -AB165)^2/AB165) + ((E146-AB166)^2/AB166)</f>
        <v>56.405796095414843</v>
      </c>
      <c r="AB162" s="42">
        <v>16.8</v>
      </c>
      <c r="AD162">
        <v>1</v>
      </c>
      <c r="AE162" s="38">
        <v>0.03</v>
      </c>
      <c r="AF162" s="11">
        <f>AE162</f>
        <v>0.03</v>
      </c>
      <c r="AG162" s="42">
        <v>0</v>
      </c>
      <c r="AH162">
        <v>0.19578999999999999</v>
      </c>
      <c r="AI162" s="11">
        <f>ABS(AF162-AH162)</f>
        <v>0.16578999999999999</v>
      </c>
    </row>
    <row r="163" spans="1:37" ht="16.5" x14ac:dyDescent="0.25">
      <c r="I163" s="10"/>
      <c r="AB163" s="43">
        <v>16.8</v>
      </c>
      <c r="AD163">
        <v>2</v>
      </c>
      <c r="AE163" s="38">
        <v>0.42</v>
      </c>
      <c r="AF163" s="11">
        <f>AF162+AE163</f>
        <v>0.44999999999999996</v>
      </c>
      <c r="AG163" s="43">
        <f xml:space="preserve"> 0.1958</f>
        <v>0.1958</v>
      </c>
      <c r="AH163">
        <f>AH162+AG163</f>
        <v>0.39158999999999999</v>
      </c>
      <c r="AI163" s="11">
        <f t="shared" ref="AI163:AI169" si="16">ABS(AF163-AH163)</f>
        <v>5.8409999999999962E-2</v>
      </c>
    </row>
    <row r="164" spans="1:37" ht="15.95" customHeight="1" x14ac:dyDescent="0.25">
      <c r="I164" s="10"/>
      <c r="AB164" s="43">
        <v>18.66</v>
      </c>
      <c r="AD164">
        <v>3</v>
      </c>
      <c r="AE164" s="38">
        <v>0.35</v>
      </c>
      <c r="AF164" s="11">
        <f>AF163+AE164</f>
        <v>0.79999999999999993</v>
      </c>
      <c r="AG164" s="43">
        <f>0.2177</f>
        <v>0.2177</v>
      </c>
      <c r="AH164">
        <f>AH163+AG164</f>
        <v>0.60929</v>
      </c>
      <c r="AI164" s="11">
        <f t="shared" si="16"/>
        <v>0.19070999999999994</v>
      </c>
    </row>
    <row r="165" spans="1:37" ht="15.95" customHeight="1" x14ac:dyDescent="0.25">
      <c r="I165" s="10"/>
      <c r="AB165" s="43">
        <v>18.66</v>
      </c>
      <c r="AD165">
        <v>4</v>
      </c>
      <c r="AE165" s="38">
        <v>0.1</v>
      </c>
      <c r="AF165" s="11">
        <f t="shared" ref="AF165:AF169" si="17">AF164+AE165</f>
        <v>0.89999999999999991</v>
      </c>
      <c r="AG165" s="43">
        <v>0.21759999999999999</v>
      </c>
      <c r="AH165">
        <f t="shared" ref="AH165:AH169" si="18">AH164+AG165</f>
        <v>0.82689000000000001</v>
      </c>
      <c r="AI165" s="11">
        <f t="shared" si="16"/>
        <v>7.3109999999999897E-2</v>
      </c>
    </row>
    <row r="166" spans="1:37" ht="16.5" x14ac:dyDescent="0.25">
      <c r="I166" s="10"/>
      <c r="AB166" s="43">
        <v>14.19</v>
      </c>
      <c r="AD166">
        <v>5</v>
      </c>
      <c r="AE166" s="38">
        <v>0.02</v>
      </c>
      <c r="AF166" s="11">
        <f t="shared" si="17"/>
        <v>0.91999999999999993</v>
      </c>
      <c r="AG166" s="43">
        <v>0.16539999999999999</v>
      </c>
      <c r="AH166">
        <f t="shared" si="18"/>
        <v>0.99229000000000001</v>
      </c>
      <c r="AI166" s="11">
        <f t="shared" si="16"/>
        <v>7.2290000000000076E-2</v>
      </c>
    </row>
    <row r="167" spans="1:37" ht="16.5" x14ac:dyDescent="0.25">
      <c r="I167" s="10"/>
      <c r="AB167" s="43"/>
      <c r="AD167">
        <v>6</v>
      </c>
      <c r="AE167" s="38">
        <v>0.02</v>
      </c>
      <c r="AF167" s="11">
        <f t="shared" si="17"/>
        <v>0.94</v>
      </c>
      <c r="AG167" s="43">
        <v>0</v>
      </c>
      <c r="AH167">
        <f t="shared" si="18"/>
        <v>0.99229000000000001</v>
      </c>
      <c r="AI167" s="11">
        <f t="shared" si="16"/>
        <v>5.2290000000000059E-2</v>
      </c>
    </row>
    <row r="168" spans="1:37" ht="16.5" x14ac:dyDescent="0.25">
      <c r="I168" s="10"/>
      <c r="AB168" s="43"/>
      <c r="AD168">
        <v>7</v>
      </c>
      <c r="AE168" s="38">
        <v>0.03</v>
      </c>
      <c r="AF168" s="11">
        <f t="shared" si="17"/>
        <v>0.97</v>
      </c>
      <c r="AG168" s="43">
        <v>0</v>
      </c>
      <c r="AH168">
        <f t="shared" si="18"/>
        <v>0.99229000000000001</v>
      </c>
      <c r="AI168" s="11">
        <f t="shared" si="16"/>
        <v>2.2290000000000032E-2</v>
      </c>
    </row>
    <row r="169" spans="1:37" ht="16.5" x14ac:dyDescent="0.25">
      <c r="I169" s="10"/>
      <c r="AB169" s="43"/>
      <c r="AD169">
        <v>8</v>
      </c>
      <c r="AE169" s="38">
        <v>0.01</v>
      </c>
      <c r="AF169" s="11">
        <f t="shared" si="17"/>
        <v>0.98</v>
      </c>
      <c r="AG169" s="43">
        <v>0</v>
      </c>
      <c r="AH169">
        <f t="shared" si="18"/>
        <v>0.99229000000000001</v>
      </c>
      <c r="AI169" s="11">
        <f t="shared" si="16"/>
        <v>1.2290000000000023E-2</v>
      </c>
    </row>
    <row r="170" spans="1:37" ht="16.5" x14ac:dyDescent="0.25">
      <c r="I170" s="10"/>
    </row>
    <row r="171" spans="1:37" ht="16.5" x14ac:dyDescent="0.25">
      <c r="I171" s="10"/>
    </row>
    <row r="172" spans="1:37" ht="16.5" x14ac:dyDescent="0.25">
      <c r="I172" s="10"/>
    </row>
    <row r="173" spans="1:37" ht="16.5" x14ac:dyDescent="0.25">
      <c r="I173" s="10"/>
    </row>
    <row r="174" spans="1:37" ht="16.5" x14ac:dyDescent="0.25">
      <c r="I174" s="10"/>
    </row>
    <row r="175" spans="1:37" ht="16.5" x14ac:dyDescent="0.25">
      <c r="I175" s="10"/>
    </row>
    <row r="176" spans="1:37" ht="16.5" x14ac:dyDescent="0.25">
      <c r="I176" s="10"/>
    </row>
    <row r="177" spans="9:9" ht="16.5" x14ac:dyDescent="0.25">
      <c r="I177" s="10"/>
    </row>
    <row r="178" spans="9:9" ht="16.5" x14ac:dyDescent="0.25">
      <c r="I178" s="10"/>
    </row>
    <row r="181" spans="9:9" ht="15.95" customHeight="1" x14ac:dyDescent="0.25"/>
    <row r="182" spans="9:9" ht="15.95" customHeight="1" x14ac:dyDescent="0.25"/>
    <row r="208" spans="2:2" x14ac:dyDescent="0.25">
      <c r="B208" t="s">
        <v>116</v>
      </c>
    </row>
    <row r="210" spans="1:4" x14ac:dyDescent="0.25">
      <c r="B210" t="s">
        <v>117</v>
      </c>
      <c r="C210" t="s">
        <v>118</v>
      </c>
    </row>
    <row r="211" spans="1:4" x14ac:dyDescent="0.25">
      <c r="B211">
        <f t="shared" ref="B211:B218" si="19">(B142+C142)/2</f>
        <v>13336.849999999999</v>
      </c>
      <c r="C211">
        <f>_xlfn.NORM.DIST(B211,C99,C103,0)</f>
        <v>1.3741269432626356E-5</v>
      </c>
    </row>
    <row r="212" spans="1:4" x14ac:dyDescent="0.25">
      <c r="B212">
        <f t="shared" si="19"/>
        <v>21111.35</v>
      </c>
      <c r="C212">
        <f>_xlfn.NORM.DIST(B212,C99,C103,0)</f>
        <v>3.025674770231278E-5</v>
      </c>
    </row>
    <row r="213" spans="1:4" x14ac:dyDescent="0.25">
      <c r="B213">
        <f t="shared" si="19"/>
        <v>28885.85</v>
      </c>
      <c r="C213">
        <f>_xlfn.NORM.DIST(B213,C99,C103,0)</f>
        <v>3.8199972255351035E-5</v>
      </c>
    </row>
    <row r="214" spans="1:4" x14ac:dyDescent="0.25">
      <c r="B214">
        <f t="shared" si="19"/>
        <v>36660.35</v>
      </c>
      <c r="C214">
        <f>_xlfn.NORM.DIST(B214,C99,C103,0)</f>
        <v>2.7653446500781099E-5</v>
      </c>
    </row>
    <row r="215" spans="1:4" x14ac:dyDescent="0.25">
      <c r="B215">
        <f t="shared" si="19"/>
        <v>44434.85</v>
      </c>
      <c r="C215">
        <f>_xlfn.NORM.DIST(B215,C99,C103,0)</f>
        <v>1.1478387955348132E-5</v>
      </c>
    </row>
    <row r="216" spans="1:4" x14ac:dyDescent="0.25">
      <c r="B216">
        <f t="shared" si="19"/>
        <v>52209.35</v>
      </c>
      <c r="C216">
        <f>_xlfn.NORM.DIST(B216,C99,C103,0)</f>
        <v>2.7318569066524159E-6</v>
      </c>
    </row>
    <row r="217" spans="1:4" x14ac:dyDescent="0.25">
      <c r="B217">
        <f t="shared" si="19"/>
        <v>59983.85</v>
      </c>
      <c r="C217">
        <f>_xlfn.NORM.DIST(B217,C99,C103,0)</f>
        <v>3.7280386871285446E-7</v>
      </c>
    </row>
    <row r="218" spans="1:4" x14ac:dyDescent="0.25">
      <c r="B218">
        <f t="shared" si="19"/>
        <v>67758.350000000006</v>
      </c>
      <c r="C218">
        <f>_xlfn.NORM.DIST(B218,C99,C103,0)</f>
        <v>2.9170796559296075E-8</v>
      </c>
    </row>
    <row r="221" spans="1:4" x14ac:dyDescent="0.25">
      <c r="B221" t="s">
        <v>130</v>
      </c>
      <c r="C221" t="s">
        <v>119</v>
      </c>
      <c r="D221" t="s">
        <v>120</v>
      </c>
    </row>
    <row r="222" spans="1:4" x14ac:dyDescent="0.25">
      <c r="A222">
        <v>1</v>
      </c>
      <c r="B222">
        <v>3</v>
      </c>
      <c r="C222">
        <f t="shared" ref="C222:C229" si="20">B$230*B$125*C211</f>
        <v>9.1874619345081374</v>
      </c>
      <c r="D222">
        <f t="shared" ref="D222:D229" si="21">(B222-C222)^2/C222</f>
        <v>4.1670578298876837</v>
      </c>
    </row>
    <row r="223" spans="1:4" x14ac:dyDescent="0.25">
      <c r="A223">
        <v>2</v>
      </c>
      <c r="B223">
        <v>36</v>
      </c>
      <c r="C223">
        <f t="shared" si="20"/>
        <v>20.22976982876062</v>
      </c>
      <c r="D223">
        <f t="shared" si="21"/>
        <v>12.293771098685085</v>
      </c>
    </row>
    <row r="224" spans="1:4" x14ac:dyDescent="0.25">
      <c r="A224">
        <v>3</v>
      </c>
      <c r="B224">
        <v>30</v>
      </c>
      <c r="C224">
        <f t="shared" si="20"/>
        <v>25.540638200573134</v>
      </c>
      <c r="D224">
        <f t="shared" si="21"/>
        <v>0.7785986983575599</v>
      </c>
    </row>
    <row r="225" spans="1:5" x14ac:dyDescent="0.25">
      <c r="A225">
        <v>4</v>
      </c>
      <c r="B225">
        <v>9</v>
      </c>
      <c r="C225">
        <f t="shared" si="20"/>
        <v>18.489193325956379</v>
      </c>
      <c r="D225">
        <f t="shared" si="21"/>
        <v>4.8701308050559522</v>
      </c>
    </row>
    <row r="226" spans="1:5" x14ac:dyDescent="0.25">
      <c r="A226">
        <v>5</v>
      </c>
      <c r="B226">
        <v>2</v>
      </c>
      <c r="C226">
        <f t="shared" si="20"/>
        <v>7.6744912779955374</v>
      </c>
      <c r="D226">
        <f t="shared" si="21"/>
        <v>4.195698463606508</v>
      </c>
    </row>
    <row r="227" spans="1:5" x14ac:dyDescent="0.25">
      <c r="A227">
        <v>6</v>
      </c>
      <c r="B227">
        <v>2</v>
      </c>
      <c r="C227">
        <f t="shared" si="20"/>
        <v>1.8265293074597044</v>
      </c>
      <c r="D227">
        <f t="shared" si="21"/>
        <v>1.6475005929284071E-2</v>
      </c>
    </row>
    <row r="228" spans="1:5" x14ac:dyDescent="0.25">
      <c r="A228">
        <v>7</v>
      </c>
      <c r="B228">
        <v>3</v>
      </c>
      <c r="C228">
        <f t="shared" si="20"/>
        <v>0.24925800120797717</v>
      </c>
      <c r="D228">
        <f t="shared" si="21"/>
        <v>30.356423895114567</v>
      </c>
    </row>
    <row r="229" spans="1:5" x14ac:dyDescent="0.25">
      <c r="A229">
        <v>8</v>
      </c>
      <c r="B229">
        <v>1</v>
      </c>
      <c r="C229">
        <f t="shared" si="20"/>
        <v>1.9503699006983958E-2</v>
      </c>
      <c r="D229">
        <f t="shared" si="21"/>
        <v>49.291828996988471</v>
      </c>
    </row>
    <row r="230" spans="1:5" x14ac:dyDescent="0.25">
      <c r="A230" t="s">
        <v>122</v>
      </c>
      <c r="B230">
        <f>SUM(B222:B229)</f>
        <v>86</v>
      </c>
      <c r="C230">
        <f>SUM(C222:C229)</f>
        <v>83.216845575468497</v>
      </c>
      <c r="D230">
        <f>SUM(D222:D229)</f>
        <v>105.96998479362512</v>
      </c>
      <c r="E230" s="15" t="s">
        <v>142</v>
      </c>
    </row>
    <row r="232" spans="1:5" x14ac:dyDescent="0.25">
      <c r="B232" t="s">
        <v>121</v>
      </c>
    </row>
    <row r="233" spans="1:5" x14ac:dyDescent="0.25">
      <c r="B233">
        <f>_xlfn.CHISQ.INV.RT(0.95,5)</f>
        <v>1.1454762260617699</v>
      </c>
    </row>
    <row r="234" spans="1:5" x14ac:dyDescent="0.25">
      <c r="B234">
        <f>_xlfn.CHISQ.INV(0.05,5)</f>
        <v>1.1454762260617692</v>
      </c>
    </row>
    <row r="236" spans="1:5" x14ac:dyDescent="0.25">
      <c r="B236" t="s">
        <v>124</v>
      </c>
    </row>
    <row r="237" spans="1:5" x14ac:dyDescent="0.25">
      <c r="B237" t="s">
        <v>127</v>
      </c>
    </row>
    <row r="238" spans="1:5" x14ac:dyDescent="0.25">
      <c r="B238">
        <f>_xlfn.CHISQ.DIST.RT(D230,5)</f>
        <v>2.9089689714783769E-21</v>
      </c>
      <c r="C238" t="s">
        <v>129</v>
      </c>
      <c r="E238" t="s">
        <v>131</v>
      </c>
    </row>
    <row r="239" spans="1:5" x14ac:dyDescent="0.25">
      <c r="B239" t="s">
        <v>128</v>
      </c>
    </row>
    <row r="241" spans="2:5" x14ac:dyDescent="0.25">
      <c r="B241" t="s">
        <v>123</v>
      </c>
    </row>
    <row r="243" spans="2:5" x14ac:dyDescent="0.25">
      <c r="B243" t="s">
        <v>132</v>
      </c>
    </row>
    <row r="244" spans="2:5" x14ac:dyDescent="0.25">
      <c r="B244" t="s">
        <v>133</v>
      </c>
    </row>
    <row r="245" spans="2:5" x14ac:dyDescent="0.25">
      <c r="B245" t="s">
        <v>134</v>
      </c>
    </row>
    <row r="247" spans="2:5" x14ac:dyDescent="0.25">
      <c r="B247" t="s">
        <v>135</v>
      </c>
      <c r="C247">
        <f>D230</f>
        <v>105.96998479362512</v>
      </c>
      <c r="D247" t="s">
        <v>137</v>
      </c>
      <c r="E247" t="e">
        <f>- нипотеза верна или нет</f>
        <v>#NAME?</v>
      </c>
    </row>
    <row r="249" spans="2:5" x14ac:dyDescent="0.25">
      <c r="B249" t="s">
        <v>136</v>
      </c>
    </row>
    <row r="250" spans="2:5" x14ac:dyDescent="0.25">
      <c r="B250" t="s">
        <v>134</v>
      </c>
    </row>
    <row r="252" spans="2:5" x14ac:dyDescent="0.25">
      <c r="B252" t="s">
        <v>139</v>
      </c>
      <c r="C252">
        <f>D230</f>
        <v>105.96998479362512</v>
      </c>
    </row>
    <row r="254" spans="2:5" x14ac:dyDescent="0.25">
      <c r="B254" t="s">
        <v>138</v>
      </c>
    </row>
    <row r="258" spans="2:2" x14ac:dyDescent="0.25">
      <c r="B258">
        <f>_xlfn.CHISQ.INV(0.005,85)</f>
        <v>55.169604278380227</v>
      </c>
    </row>
    <row r="263" spans="2:2" x14ac:dyDescent="0.25">
      <c r="B263" s="15"/>
    </row>
    <row r="266" spans="2:2" x14ac:dyDescent="0.25">
      <c r="B266" t="s">
        <v>140</v>
      </c>
    </row>
    <row r="267" spans="2:2" x14ac:dyDescent="0.25">
      <c r="B267">
        <f>C104*SQRT(C111)</f>
        <v>1007774087.0611173</v>
      </c>
    </row>
    <row r="269" spans="2:2" x14ac:dyDescent="0.25">
      <c r="B269" t="s">
        <v>141</v>
      </c>
    </row>
    <row r="270" spans="2:2" x14ac:dyDescent="0.25">
      <c r="B270">
        <f xml:space="preserve"> 1 / C99</f>
        <v>3.5389382378737658E-5</v>
      </c>
    </row>
  </sheetData>
  <mergeCells count="7">
    <mergeCell ref="C75:C76"/>
    <mergeCell ref="B1:B5"/>
    <mergeCell ref="A1:A5"/>
    <mergeCell ref="F75:F76"/>
    <mergeCell ref="G75:G76"/>
    <mergeCell ref="D75:D76"/>
    <mergeCell ref="E75:E76"/>
  </mergeCells>
  <phoneticPr fontId="1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Рудковская</dc:creator>
  <cp:lastModifiedBy>asus</cp:lastModifiedBy>
  <cp:lastPrinted>2019-12-04T16:46:00Z</cp:lastPrinted>
  <dcterms:created xsi:type="dcterms:W3CDTF">2019-11-30T12:15:00Z</dcterms:created>
  <dcterms:modified xsi:type="dcterms:W3CDTF">2020-01-19T21:47:27Z</dcterms:modified>
</cp:coreProperties>
</file>